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G0000sv0ns101\d11268$\doc\060 施設指導G\■施設指導G（R0201～）\00 指導グループ共通\04 ホームページ関係\R070630_電子申請\2.変更後\"/>
    </mc:Choice>
  </mc:AlternateContent>
  <xr:revisionPtr revIDLastSave="0" documentId="13_ncr:1_{521CA119-CDB5-4694-BE07-F392EA9F536D}" xr6:coauthVersionLast="47" xr6:coauthVersionMax="47" xr10:uidLastSave="{00000000-0000-0000-0000-000000000000}"/>
  <bookViews>
    <workbookView xWindow="28680" yWindow="1725" windowWidth="29040" windowHeight="15990" tabRatio="921" activeTab="3" xr2:uid="{00000000-000D-0000-FFFF-FFFF00000000}"/>
  </bookViews>
  <sheets>
    <sheet name="手続き" sheetId="225" r:id="rId1"/>
    <sheet name="一覧" sheetId="155" r:id="rId2"/>
    <sheet name="一覧（取り下げ）" sheetId="230" r:id="rId3"/>
    <sheet name="別紙１－１ " sheetId="236" r:id="rId4"/>
    <sheet name="別紙１－２" sheetId="237" r:id="rId5"/>
    <sheet name="別紙2" sheetId="208" r:id="rId6"/>
    <sheet name="別紙6" sheetId="232" r:id="rId7"/>
    <sheet name="別紙7" sheetId="219" r:id="rId8"/>
    <sheet name="別紙7－2" sheetId="217" r:id="rId9"/>
    <sheet name="別紙11" sheetId="224" r:id="rId10"/>
    <sheet name="別紙12-2" sheetId="211" r:id="rId11"/>
    <sheet name="別紙14－2" sheetId="227" r:id="rId12"/>
    <sheet name="別紙14－3" sheetId="223" r:id="rId13"/>
    <sheet name="別紙14－4" sheetId="216" r:id="rId14"/>
    <sheet name="別紙20" sheetId="226" r:id="rId15"/>
    <sheet name="別紙22" sheetId="220" r:id="rId16"/>
    <sheet name="別紙22ー２" sheetId="221" r:id="rId17"/>
    <sheet name="別紙24" sheetId="222" r:id="rId18"/>
    <sheet name="別紙28" sheetId="215" r:id="rId19"/>
    <sheet name="別紙２ 成果の確認の根拠データ" sheetId="229" r:id="rId20"/>
    <sheet name="別紙29" sheetId="231" r:id="rId21"/>
    <sheet name="別紙29－2" sheetId="206" r:id="rId22"/>
    <sheet name="別紙29-3" sheetId="207" r:id="rId23"/>
    <sheet name="別紙35" sheetId="214" r:id="rId24"/>
    <sheet name="別紙38" sheetId="210" r:id="rId25"/>
    <sheet name="別紙40" sheetId="212" r:id="rId26"/>
    <sheet name="別紙41" sheetId="213" r:id="rId27"/>
    <sheet name="届出様式" sheetId="195" r:id="rId28"/>
    <sheet name="（参考）利用延人員数計算シート" sheetId="196" r:id="rId29"/>
    <sheet name="勤務一覧（夜勤加算用）" sheetId="233" r:id="rId30"/>
    <sheet name="勤務一覧（夜勤加算用）記入例" sheetId="234" r:id="rId31"/>
    <sheet name="付表第一号（十一）" sheetId="209" r:id="rId32"/>
    <sheet name="参考１" sheetId="173" r:id="rId33"/>
    <sheet name="参考２" sheetId="179" r:id="rId34"/>
    <sheet name="参考３" sheetId="198" r:id="rId35"/>
    <sheet name="様式5" sheetId="183" r:id="rId36"/>
    <sheet name="様式6" sheetId="184" r:id="rId37"/>
    <sheet name="様式8" sheetId="186" r:id="rId38"/>
    <sheet name="様式9" sheetId="182" r:id="rId39"/>
    <sheet name="別紙●24" sheetId="66" state="hidden" r:id="rId40"/>
  </sheets>
  <externalReferences>
    <externalReference r:id="rId41"/>
    <externalReference r:id="rId42"/>
    <externalReference r:id="rId43"/>
  </externalReferences>
  <definedNames>
    <definedName name="【記載例】シフト記号" localSheetId="19">#REF!</definedName>
    <definedName name="【記載例】シフト記号" localSheetId="6">#REF!</definedName>
    <definedName name="【記載例】シフト記号">#REF!</definedName>
    <definedName name="【記載例】シフト記号表" localSheetId="19">#REF!</definedName>
    <definedName name="【記載例】シフト記号表" localSheetId="6">#REF!</definedName>
    <definedName name="【記載例】シフト記号表">#REF!</definedName>
    <definedName name="ｋ">#N/A</definedName>
    <definedName name="_xlnm.Print_Area" localSheetId="28">'（参考）利用延人員数計算シート'!$A$1:$T$30</definedName>
    <definedName name="_xlnm.Print_Area" localSheetId="1">一覧!$A$1:$AA$185</definedName>
    <definedName name="_xlnm.Print_Area" localSheetId="2">'一覧（取り下げ）'!$A$1:$Z$176</definedName>
    <definedName name="_xlnm.Print_Area" localSheetId="29">'勤務一覧（夜勤加算用）'!$A$1:$AS$222</definedName>
    <definedName name="_xlnm.Print_Area" localSheetId="30">'勤務一覧（夜勤加算用）記入例'!$A$1:$AS$225</definedName>
    <definedName name="_xlnm.Print_Area" localSheetId="32">参考１!$A$1:$AN$55</definedName>
    <definedName name="_xlnm.Print_Area" localSheetId="33">参考２!$A$1:$AF$134</definedName>
    <definedName name="_xlnm.Print_Area" localSheetId="34">参考３!$A$1:$P$51</definedName>
    <definedName name="_xlnm.Print_Area" localSheetId="0">手続き!$A$1:$H$76</definedName>
    <definedName name="_xlnm.Print_Area" localSheetId="27">届出様式!$A$1:$AG$77</definedName>
    <definedName name="_xlnm.Print_Area" localSheetId="31">'付表第一号（十一）'!$A$1:$AA$49</definedName>
    <definedName name="_xlnm.Print_Area" localSheetId="39">別紙●24!$A$1:$AM$77</definedName>
    <definedName name="_xlnm.Print_Area" localSheetId="3">'別紙１－１ '!$A$1:$AF$1110</definedName>
    <definedName name="_xlnm.Print_Area" localSheetId="4">'別紙１－２'!$A$1:$AF$517</definedName>
    <definedName name="_xlnm.Print_Area" localSheetId="10">'別紙12-2'!$A$1:$AE$69</definedName>
    <definedName name="_xlnm.Print_Area" localSheetId="11">'別紙14－2'!$A$1:$AD$59</definedName>
    <definedName name="_xlnm.Print_Area" localSheetId="12">'別紙14－3'!$A$1:$AD$48</definedName>
    <definedName name="_xlnm.Print_Area" localSheetId="13">'別紙14－4'!$A$1:$AE$60</definedName>
    <definedName name="_xlnm.Print_Area" localSheetId="19">'別紙２ 成果の確認の根拠データ'!$A$1:$AB$61</definedName>
    <definedName name="_xlnm.Print_Area" localSheetId="14">別紙20!$A$1:$AD$27</definedName>
    <definedName name="_xlnm.Print_Area" localSheetId="15">別紙22!$A$1:$Y$31</definedName>
    <definedName name="_xlnm.Print_Area" localSheetId="16">別紙22ー２!$A$1:$W$47</definedName>
    <definedName name="_xlnm.Print_Area" localSheetId="17">別紙24!$A$1:$AD$27</definedName>
    <definedName name="_xlnm.Print_Area" localSheetId="21">#N/A</definedName>
    <definedName name="_xlnm.Print_Area" localSheetId="22">'別紙29-3'!$A$1:$AH$40</definedName>
    <definedName name="_xlnm.Print_Area" localSheetId="23">別紙35!$A$1:$AH$51</definedName>
    <definedName name="_xlnm.Print_Area" localSheetId="24">別紙38!$A$1:$Y$45</definedName>
    <definedName name="_xlnm.Print_Area" localSheetId="25">別紙40!$A$1:$AF$59</definedName>
    <definedName name="_xlnm.Print_Area" localSheetId="26">別紙41!$A$1:$AE$37</definedName>
    <definedName name="_xlnm.Print_Area" localSheetId="6">別紙6!$A$1:$AL$33</definedName>
    <definedName name="_xlnm.Print_Area" localSheetId="7">別紙7!$A$1:$AI$61</definedName>
    <definedName name="_xlnm.Print_Area" localSheetId="8">'別紙7－2'!$A$1:$S$85</definedName>
    <definedName name="_xlnm.Print_Area" localSheetId="35">様式5!$A$1:$AA$36</definedName>
    <definedName name="_xlnm.Print_Area" localSheetId="36">様式6!$A$1:$AB$52</definedName>
    <definedName name="_xlnm.Print_Area" localSheetId="37">様式8!$A$1:$AJ$45</definedName>
    <definedName name="_xlnm.Print_Area" localSheetId="38">様式9!$A$1:$AB$33</definedName>
    <definedName name="_xlnm.Print_Titles" localSheetId="1">一覧!$1:$18</definedName>
    <definedName name="_xlnm.Print_Titles" localSheetId="2">'一覧（取り下げ）'!$1:$18</definedName>
    <definedName name="_xlnm.Print_Titles" localSheetId="29">'勤務一覧（夜勤加算用）'!$7:$9</definedName>
    <definedName name="サービス種別">[1]サービス種類一覧!$B$4:$B$20</definedName>
    <definedName name="サービス種類">[2]サービス種類一覧!$C$4:$C$20</definedName>
    <definedName name="サービス名">#N/A</definedName>
    <definedName name="サービス名称">#N/A</definedName>
    <definedName name="シフト記号表">#REF!</definedName>
    <definedName name="その他の従業者">#REF!</definedName>
    <definedName name="だだ">#N/A</definedName>
    <definedName name="っっｋ">#N/A</definedName>
    <definedName name="っっっっｌ">#N/A</definedName>
    <definedName name="医師">#REF!</definedName>
    <definedName name="栄養士">#REF!</definedName>
    <definedName name="介護支援専門員">#REF!</definedName>
    <definedName name="介護職員">#REF!</definedName>
    <definedName name="確認">#N/A</definedName>
    <definedName name="看護職員">#REF!</definedName>
    <definedName name="管理者">#REF!</definedName>
    <definedName name="言語聴覚士">#REF!</definedName>
    <definedName name="作業療法士">#REF!</definedName>
    <definedName name="支援相談員">#REF!</definedName>
    <definedName name="事務員">#REF!</definedName>
    <definedName name="種類">[3]サービス種類一覧!$A$4:$A$20</definedName>
    <definedName name="職種" localSheetId="19">#REF!</definedName>
    <definedName name="職種" localSheetId="6">#REF!</definedName>
    <definedName name="職種">#REF!</definedName>
    <definedName name="診療放射線技師" localSheetId="6">#REF!</definedName>
    <definedName name="診療放射線技師">#REF!</definedName>
    <definedName name="調理員" localSheetId="19">#REF!</definedName>
    <definedName name="調理員" localSheetId="6">#REF!</definedName>
    <definedName name="調理員">#REF!</definedName>
    <definedName name="薬剤師" localSheetId="19">#REF!</definedName>
    <definedName name="薬剤師">#REF!</definedName>
    <definedName name="理学療法士">#REF!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 i="237" l="1"/>
  <c r="AG8" i="237"/>
  <c r="AG10" i="237"/>
  <c r="AI10" i="237"/>
  <c r="AJ10" i="237"/>
  <c r="AK10" i="237"/>
  <c r="AI11" i="237"/>
  <c r="AI12" i="237"/>
  <c r="AI13" i="237"/>
  <c r="AI15" i="237"/>
  <c r="AI17" i="237"/>
  <c r="AI18" i="237"/>
  <c r="AI19" i="237"/>
  <c r="AG20" i="237"/>
  <c r="AI20" i="237"/>
  <c r="AJ20" i="237"/>
  <c r="AG21" i="237"/>
  <c r="AI21" i="237"/>
  <c r="AI22" i="237"/>
  <c r="AI23" i="237"/>
  <c r="AI25" i="237"/>
  <c r="AI27" i="237"/>
  <c r="AI28" i="237"/>
  <c r="AI29" i="237"/>
  <c r="AI30" i="237"/>
  <c r="AI31" i="237"/>
  <c r="AI32" i="237"/>
  <c r="AG33" i="237"/>
  <c r="AI33" i="237"/>
  <c r="AJ33" i="237"/>
  <c r="AG34" i="237"/>
  <c r="AI34" i="237"/>
  <c r="AI35" i="237"/>
  <c r="AI36" i="237"/>
  <c r="AI38" i="237"/>
  <c r="AI40" i="237"/>
  <c r="AI41" i="237"/>
  <c r="AG42" i="237"/>
  <c r="AI42" i="237"/>
  <c r="AJ42" i="237"/>
  <c r="AI43" i="237"/>
  <c r="AI45" i="237"/>
  <c r="AI47" i="237"/>
  <c r="AI48" i="237"/>
  <c r="AG49" i="237"/>
  <c r="AI49" i="237"/>
  <c r="AJ49" i="237"/>
  <c r="AG50" i="237"/>
  <c r="AI51" i="237"/>
  <c r="AI52" i="237"/>
  <c r="AI53" i="237"/>
  <c r="AI54" i="237"/>
  <c r="AI55" i="237"/>
  <c r="AI56" i="237"/>
  <c r="AI57" i="237"/>
  <c r="AI58" i="237"/>
  <c r="AI59" i="237"/>
  <c r="AI60" i="237"/>
  <c r="AG61" i="237"/>
  <c r="AI61" i="237"/>
  <c r="AJ61" i="237"/>
  <c r="AK61" i="237"/>
  <c r="AG62" i="237"/>
  <c r="AI62" i="237"/>
  <c r="AI63" i="237"/>
  <c r="AI64" i="237"/>
  <c r="AI65" i="237"/>
  <c r="AI66" i="237"/>
  <c r="AI67" i="237"/>
  <c r="AI69" i="237"/>
  <c r="AI70" i="237"/>
  <c r="AI71" i="237"/>
  <c r="AI72" i="237"/>
  <c r="AI73" i="237"/>
  <c r="AI74" i="237"/>
  <c r="AI75" i="237"/>
  <c r="AI76" i="237"/>
  <c r="AI77" i="237"/>
  <c r="AI78" i="237"/>
  <c r="AI79" i="237"/>
  <c r="AI81" i="237"/>
  <c r="AI83" i="237"/>
  <c r="AI85" i="237"/>
  <c r="AG86" i="237"/>
  <c r="AH86" i="237"/>
  <c r="AI86" i="237"/>
  <c r="AJ86" i="237"/>
  <c r="AG87" i="237"/>
  <c r="AI87" i="237"/>
  <c r="AI89" i="237"/>
  <c r="AI90" i="237"/>
  <c r="AI91" i="237"/>
  <c r="AI92" i="237"/>
  <c r="AI93" i="237"/>
  <c r="AI94" i="237"/>
  <c r="AI95" i="237"/>
  <c r="AI96" i="237"/>
  <c r="AI97" i="237"/>
  <c r="AI98" i="237"/>
  <c r="AI99" i="237"/>
  <c r="AI100" i="237"/>
  <c r="AI101" i="237"/>
  <c r="AI102" i="237"/>
  <c r="AI103" i="237"/>
  <c r="AI105" i="237"/>
  <c r="AG106" i="237"/>
  <c r="AH106" i="237"/>
  <c r="AI106" i="237"/>
  <c r="AJ106" i="237"/>
  <c r="AG107" i="237"/>
  <c r="AI107" i="237"/>
  <c r="AI109" i="237"/>
  <c r="AI110" i="237"/>
  <c r="AI111" i="237"/>
  <c r="AI112" i="237"/>
  <c r="AI113" i="237"/>
  <c r="AI114" i="237"/>
  <c r="AI115" i="237"/>
  <c r="AI116" i="237"/>
  <c r="AI117" i="237"/>
  <c r="AI118" i="237"/>
  <c r="AI119" i="237"/>
  <c r="AI120" i="237"/>
  <c r="AI121" i="237"/>
  <c r="AI122" i="237"/>
  <c r="AI124" i="237"/>
  <c r="AG125" i="237"/>
  <c r="AI125" i="237"/>
  <c r="AJ125" i="237"/>
  <c r="AG126" i="237"/>
  <c r="AI126" i="237"/>
  <c r="AI128" i="237"/>
  <c r="AI129" i="237"/>
  <c r="AI130" i="237"/>
  <c r="AI131" i="237"/>
  <c r="AI132" i="237"/>
  <c r="AI133" i="237"/>
  <c r="AI134" i="237"/>
  <c r="AI135" i="237"/>
  <c r="AI136" i="237"/>
  <c r="AI137" i="237"/>
  <c r="AI138" i="237"/>
  <c r="AI139" i="237"/>
  <c r="AI140" i="237"/>
  <c r="AI141" i="237"/>
  <c r="AI142" i="237"/>
  <c r="AI143" i="237"/>
  <c r="AI144" i="237"/>
  <c r="AI145" i="237"/>
  <c r="AI147" i="237"/>
  <c r="AG148" i="237"/>
  <c r="AI148" i="237"/>
  <c r="AJ148" i="237"/>
  <c r="AG149" i="237"/>
  <c r="AI149" i="237"/>
  <c r="AI151" i="237"/>
  <c r="AI152" i="237"/>
  <c r="AI153" i="237"/>
  <c r="AI154" i="237"/>
  <c r="AI155" i="237"/>
  <c r="AI156" i="237"/>
  <c r="AI157" i="237"/>
  <c r="AI158" i="237"/>
  <c r="AI159" i="237"/>
  <c r="AI160" i="237"/>
  <c r="AI161" i="237"/>
  <c r="AI162" i="237"/>
  <c r="AI163" i="237"/>
  <c r="AI164" i="237"/>
  <c r="AI165" i="237"/>
  <c r="AI166" i="237"/>
  <c r="AI167" i="237"/>
  <c r="AI169" i="237"/>
  <c r="AG170" i="237"/>
  <c r="AI170" i="237"/>
  <c r="AJ170" i="237"/>
  <c r="AG171" i="237"/>
  <c r="AI171" i="237"/>
  <c r="AI173" i="237"/>
  <c r="AI174" i="237"/>
  <c r="AI175" i="237"/>
  <c r="AI176" i="237"/>
  <c r="AI177" i="237"/>
  <c r="AI178" i="237"/>
  <c r="AI179" i="237"/>
  <c r="AI180" i="237"/>
  <c r="AI181" i="237"/>
  <c r="AI182" i="237"/>
  <c r="AI183" i="237"/>
  <c r="AI184" i="237"/>
  <c r="AI185" i="237"/>
  <c r="AI186" i="237"/>
  <c r="AI188" i="237"/>
  <c r="AG189" i="237"/>
  <c r="AI189" i="237"/>
  <c r="AJ189" i="237"/>
  <c r="AG190" i="237"/>
  <c r="AI190" i="237"/>
  <c r="AI192" i="237"/>
  <c r="AI193" i="237"/>
  <c r="AI194" i="237"/>
  <c r="AI195" i="237"/>
  <c r="AI196" i="237"/>
  <c r="AI197" i="237"/>
  <c r="AI198" i="237"/>
  <c r="AI199" i="237"/>
  <c r="AI200" i="237"/>
  <c r="AI201" i="237"/>
  <c r="AI202" i="237"/>
  <c r="AI203" i="237"/>
  <c r="AI204" i="237"/>
  <c r="AI206" i="237"/>
  <c r="AG207" i="237"/>
  <c r="AH207" i="237"/>
  <c r="AI207" i="237"/>
  <c r="AJ207" i="237"/>
  <c r="AG208" i="237"/>
  <c r="AI209" i="237"/>
  <c r="AI210" i="237"/>
  <c r="AI211" i="237"/>
  <c r="AI212" i="237"/>
  <c r="AI213" i="237"/>
  <c r="AI214" i="237"/>
  <c r="AI215" i="237"/>
  <c r="AI216" i="237"/>
  <c r="AI217" i="237"/>
  <c r="AI218" i="237"/>
  <c r="AI219" i="237"/>
  <c r="AI220" i="237"/>
  <c r="AI222" i="237"/>
  <c r="AI223" i="237"/>
  <c r="AI225" i="237"/>
  <c r="AI226" i="237"/>
  <c r="AI228" i="237"/>
  <c r="AG229" i="237"/>
  <c r="AH229" i="237"/>
  <c r="AI229" i="237"/>
  <c r="AJ229" i="237"/>
  <c r="AG230" i="237"/>
  <c r="AI231" i="237"/>
  <c r="AI232" i="237"/>
  <c r="AI233" i="237"/>
  <c r="AI234" i="237"/>
  <c r="AI235" i="237"/>
  <c r="AI236" i="237"/>
  <c r="AI237" i="237"/>
  <c r="AI238" i="237"/>
  <c r="AI239" i="237"/>
  <c r="AI240" i="237"/>
  <c r="AI241" i="237"/>
  <c r="AI242" i="237"/>
  <c r="AI243" i="237"/>
  <c r="AI245" i="237"/>
  <c r="AI246" i="237"/>
  <c r="AI248" i="237"/>
  <c r="AI249" i="237"/>
  <c r="AI251" i="237"/>
  <c r="AG252" i="237"/>
  <c r="AH252" i="237"/>
  <c r="AI252" i="237"/>
  <c r="AJ252" i="237"/>
  <c r="AG253" i="237"/>
  <c r="AI254" i="237"/>
  <c r="AI255" i="237"/>
  <c r="AI256" i="237"/>
  <c r="AI257" i="237"/>
  <c r="AI258" i="237"/>
  <c r="AI259" i="237"/>
  <c r="AI260" i="237"/>
  <c r="AI261" i="237"/>
  <c r="AI262" i="237"/>
  <c r="AI263" i="237"/>
  <c r="AI264" i="237"/>
  <c r="AI265" i="237"/>
  <c r="AI266" i="237"/>
  <c r="AI268" i="237"/>
  <c r="AI269" i="237"/>
  <c r="AI271" i="237"/>
  <c r="AI272" i="237"/>
  <c r="AI274" i="237"/>
  <c r="AG275" i="237"/>
  <c r="AH275" i="237"/>
  <c r="AI275" i="237"/>
  <c r="AJ275" i="237"/>
  <c r="AG276" i="237"/>
  <c r="AI276" i="237"/>
  <c r="AI277" i="237"/>
  <c r="AI278" i="237"/>
  <c r="AI279" i="237"/>
  <c r="AI280" i="237"/>
  <c r="AI281" i="237"/>
  <c r="AI282" i="237"/>
  <c r="AI283" i="237"/>
  <c r="AI284" i="237"/>
  <c r="AI285" i="237"/>
  <c r="AI287" i="237"/>
  <c r="AI288" i="237"/>
  <c r="AI290" i="237"/>
  <c r="AI291" i="237"/>
  <c r="AI293" i="237"/>
  <c r="AG294" i="237"/>
  <c r="AH294" i="237"/>
  <c r="AI294" i="237"/>
  <c r="AJ294" i="237"/>
  <c r="AG295" i="237"/>
  <c r="AI295" i="237"/>
  <c r="AI296" i="237"/>
  <c r="AI297" i="237"/>
  <c r="AI298" i="237"/>
  <c r="AI299" i="237"/>
  <c r="AI300" i="237"/>
  <c r="AI301" i="237"/>
  <c r="AI302" i="237"/>
  <c r="AI303" i="237"/>
  <c r="AI304" i="237"/>
  <c r="AI305" i="237"/>
  <c r="AI307" i="237"/>
  <c r="AI308" i="237"/>
  <c r="AI310" i="237"/>
  <c r="AI311" i="237"/>
  <c r="AI313" i="237"/>
  <c r="AG314" i="237"/>
  <c r="AH314" i="237"/>
  <c r="AI314" i="237"/>
  <c r="AJ314" i="237"/>
  <c r="AG315" i="237"/>
  <c r="AI316" i="237"/>
  <c r="AI318" i="237"/>
  <c r="AI319" i="237"/>
  <c r="AI320" i="237"/>
  <c r="AI321" i="237"/>
  <c r="AI322" i="237"/>
  <c r="AI323" i="237"/>
  <c r="AI324" i="237"/>
  <c r="AI325" i="237"/>
  <c r="AI326" i="237"/>
  <c r="AI327" i="237"/>
  <c r="AI328" i="237"/>
  <c r="AI330" i="237"/>
  <c r="AI332" i="237"/>
  <c r="AI333" i="237"/>
  <c r="AI334" i="237"/>
  <c r="AI336" i="237"/>
  <c r="AG337" i="237"/>
  <c r="AH337" i="237"/>
  <c r="AI337" i="237"/>
  <c r="AJ337" i="237"/>
  <c r="AG338" i="237"/>
  <c r="AI339" i="237"/>
  <c r="AI341" i="237"/>
  <c r="AI342" i="237"/>
  <c r="AI343" i="237"/>
  <c r="AI344" i="237"/>
  <c r="AI345" i="237"/>
  <c r="AI346" i="237"/>
  <c r="AI347" i="237"/>
  <c r="AI348" i="237"/>
  <c r="AI349" i="237"/>
  <c r="AI350" i="237"/>
  <c r="AI351" i="237"/>
  <c r="AI352" i="237"/>
  <c r="AI354" i="237"/>
  <c r="AI356" i="237"/>
  <c r="AI357" i="237"/>
  <c r="AI358" i="237"/>
  <c r="AI360" i="237"/>
  <c r="AG361" i="237"/>
  <c r="AH361" i="237"/>
  <c r="AI361" i="237"/>
  <c r="AJ361" i="237"/>
  <c r="AG362" i="237"/>
  <c r="AI363" i="237"/>
  <c r="AI365" i="237"/>
  <c r="AI366" i="237"/>
  <c r="AI367" i="237"/>
  <c r="AI368" i="237"/>
  <c r="AI369" i="237"/>
  <c r="AI370" i="237"/>
  <c r="AI371" i="237"/>
  <c r="AI372" i="237"/>
  <c r="AI373" i="237"/>
  <c r="AI374" i="237"/>
  <c r="AI375" i="237"/>
  <c r="AI376" i="237"/>
  <c r="AI377" i="237"/>
  <c r="AI379" i="237"/>
  <c r="AG380" i="237"/>
  <c r="AH380" i="237"/>
  <c r="AI380" i="237"/>
  <c r="AJ380" i="237"/>
  <c r="AG381" i="237"/>
  <c r="AI382" i="237"/>
  <c r="AI384" i="237"/>
  <c r="AI385" i="237"/>
  <c r="AI386" i="237"/>
  <c r="AI387" i="237"/>
  <c r="AI388" i="237"/>
  <c r="AI389" i="237"/>
  <c r="AI390" i="237"/>
  <c r="AI391" i="237"/>
  <c r="AI392" i="237"/>
  <c r="AI393" i="237"/>
  <c r="AI394" i="237"/>
  <c r="AI395" i="237"/>
  <c r="AI396" i="237"/>
  <c r="AI397" i="237"/>
  <c r="AI399" i="237"/>
  <c r="AG400" i="237"/>
  <c r="AH400" i="237"/>
  <c r="AI400" i="237"/>
  <c r="AJ400" i="237"/>
  <c r="AG401" i="237"/>
  <c r="AI402" i="237"/>
  <c r="AI404" i="237"/>
  <c r="AI405" i="237"/>
  <c r="AI406" i="237"/>
  <c r="AI407" i="237"/>
  <c r="AI408" i="237"/>
  <c r="AI409" i="237"/>
  <c r="AI410" i="237"/>
  <c r="AI411" i="237"/>
  <c r="AI412" i="237"/>
  <c r="AI413" i="237"/>
  <c r="AI414" i="237"/>
  <c r="AI415" i="237"/>
  <c r="AI417" i="237"/>
  <c r="AI419" i="237"/>
  <c r="AI420" i="237"/>
  <c r="AI421" i="237"/>
  <c r="AI423" i="237"/>
  <c r="AG424" i="237"/>
  <c r="AI424" i="237"/>
  <c r="AJ424" i="237"/>
  <c r="AG425" i="237"/>
  <c r="AI426" i="237"/>
  <c r="AI428" i="237"/>
  <c r="AI429" i="237"/>
  <c r="AI430" i="237"/>
  <c r="AI431" i="237"/>
  <c r="AI432" i="237"/>
  <c r="AI433" i="237"/>
  <c r="AI434" i="237"/>
  <c r="AI435" i="237"/>
  <c r="AI436" i="237"/>
  <c r="AI437" i="237"/>
  <c r="AI438" i="237"/>
  <c r="AI439" i="237"/>
  <c r="AI441" i="237"/>
  <c r="AI443" i="237"/>
  <c r="AI444" i="237"/>
  <c r="AI445" i="237"/>
  <c r="AI447" i="237"/>
  <c r="AG448" i="237"/>
  <c r="AH448" i="237"/>
  <c r="AI448" i="237"/>
  <c r="AJ448" i="237"/>
  <c r="AG449" i="237"/>
  <c r="AI450" i="237"/>
  <c r="AI452" i="237"/>
  <c r="AI453" i="237"/>
  <c r="AI454" i="237"/>
  <c r="AI455" i="237"/>
  <c r="AI456" i="237"/>
  <c r="AI457" i="237"/>
  <c r="AI458" i="237"/>
  <c r="AI459" i="237"/>
  <c r="AI460" i="237"/>
  <c r="AI461" i="237"/>
  <c r="AI462" i="237"/>
  <c r="AI463" i="237"/>
  <c r="AI464" i="237"/>
  <c r="AI465" i="237"/>
  <c r="AI467" i="237"/>
  <c r="AG468" i="237"/>
  <c r="AH468" i="237"/>
  <c r="AI468" i="237"/>
  <c r="AJ468" i="237"/>
  <c r="AK468" i="237"/>
  <c r="AG469" i="237"/>
  <c r="AI469" i="237"/>
  <c r="AI470" i="237"/>
  <c r="AI471" i="237"/>
  <c r="AI472" i="237"/>
  <c r="AI473" i="237"/>
  <c r="AI474" i="237"/>
  <c r="AI475" i="237"/>
  <c r="AI476" i="237"/>
  <c r="AI477" i="237"/>
  <c r="AI478" i="237"/>
  <c r="AI479" i="237"/>
  <c r="AI480" i="237"/>
  <c r="AI481" i="237"/>
  <c r="AG482" i="237"/>
  <c r="AI482" i="237"/>
  <c r="AJ482" i="237"/>
  <c r="AI483" i="237"/>
  <c r="AI484" i="237"/>
  <c r="AI486" i="237"/>
  <c r="AG488" i="237"/>
  <c r="AJ488" i="237"/>
  <c r="AG489" i="237"/>
  <c r="AG491" i="237"/>
  <c r="AI491" i="237"/>
  <c r="AJ491" i="237"/>
  <c r="AG492" i="237"/>
  <c r="AI492" i="237"/>
  <c r="AI494" i="237"/>
  <c r="AG499" i="237"/>
  <c r="AG502" i="237"/>
  <c r="AG504" i="237"/>
  <c r="AI504" i="237"/>
  <c r="AG505" i="237"/>
  <c r="AI505" i="237"/>
  <c r="AI506" i="237"/>
  <c r="AI508" i="237"/>
  <c r="AG510" i="237"/>
  <c r="AI510" i="237"/>
  <c r="AG511" i="237"/>
  <c r="AI511" i="237"/>
  <c r="AI512" i="237"/>
  <c r="AI514" i="237"/>
  <c r="AG5" i="236"/>
  <c r="AG8" i="236"/>
  <c r="AG10" i="236"/>
  <c r="AI10" i="236"/>
  <c r="AJ10" i="236"/>
  <c r="AK10" i="236"/>
  <c r="AG11" i="236"/>
  <c r="AI13" i="236"/>
  <c r="AI14" i="236"/>
  <c r="AI15" i="236"/>
  <c r="AI16" i="236"/>
  <c r="AI17" i="236"/>
  <c r="AI19" i="236"/>
  <c r="AI21" i="236"/>
  <c r="AI23" i="236"/>
  <c r="AI25" i="236"/>
  <c r="AI27" i="236"/>
  <c r="AI28" i="236"/>
  <c r="AI30" i="236"/>
  <c r="AI32" i="236"/>
  <c r="AI33" i="236"/>
  <c r="AI34" i="236"/>
  <c r="AG35" i="236"/>
  <c r="AI35" i="236"/>
  <c r="AJ35" i="236"/>
  <c r="AK35" i="236"/>
  <c r="AI36" i="236"/>
  <c r="AI37" i="236"/>
  <c r="AI38" i="236"/>
  <c r="AI40" i="236"/>
  <c r="AI42" i="236"/>
  <c r="AI43" i="236"/>
  <c r="AI44" i="236"/>
  <c r="AI45" i="236"/>
  <c r="AG46" i="236"/>
  <c r="AI46" i="236"/>
  <c r="AJ46" i="236"/>
  <c r="AI47" i="236"/>
  <c r="AG48" i="236"/>
  <c r="AI48" i="236"/>
  <c r="AI49" i="236"/>
  <c r="AI51" i="236"/>
  <c r="AI53" i="236"/>
  <c r="AI54" i="236"/>
  <c r="AI55" i="236"/>
  <c r="AI56" i="236"/>
  <c r="AI57" i="236"/>
  <c r="AI58" i="236"/>
  <c r="AI59" i="236"/>
  <c r="AI60" i="236"/>
  <c r="AG63" i="236"/>
  <c r="AI63" i="236"/>
  <c r="AJ63" i="236"/>
  <c r="AG64" i="236"/>
  <c r="AI64" i="236"/>
  <c r="AI65" i="236"/>
  <c r="AI66" i="236"/>
  <c r="AI68" i="236"/>
  <c r="AI70" i="236"/>
  <c r="AI71" i="236"/>
  <c r="AI73" i="236"/>
  <c r="AI74" i="236"/>
  <c r="AI75" i="236"/>
  <c r="AG76" i="236"/>
  <c r="AI76" i="236"/>
  <c r="AJ76" i="236"/>
  <c r="AI77" i="236"/>
  <c r="AI79" i="236"/>
  <c r="AI81" i="236"/>
  <c r="AI82" i="236"/>
  <c r="AG83" i="236"/>
  <c r="AI83" i="236"/>
  <c r="AJ83" i="236"/>
  <c r="AK83" i="236"/>
  <c r="AG84" i="236"/>
  <c r="AI84" i="236"/>
  <c r="AI85" i="236"/>
  <c r="AI86" i="236"/>
  <c r="AI89" i="236"/>
  <c r="AI90" i="236"/>
  <c r="AI92" i="236"/>
  <c r="AI94" i="236"/>
  <c r="AI96" i="236"/>
  <c r="AI98" i="236"/>
  <c r="AI99" i="236"/>
  <c r="AI100" i="236"/>
  <c r="AI101" i="236"/>
  <c r="AI102" i="236"/>
  <c r="AI103" i="236"/>
  <c r="AI104" i="236"/>
  <c r="AI105" i="236"/>
  <c r="AI106" i="236"/>
  <c r="AI107" i="236"/>
  <c r="AI108" i="236"/>
  <c r="AI109" i="236"/>
  <c r="AI110" i="236"/>
  <c r="AG111" i="236"/>
  <c r="AI111" i="236"/>
  <c r="AJ111" i="236"/>
  <c r="AG112" i="236"/>
  <c r="AI113" i="236"/>
  <c r="AI114" i="236"/>
  <c r="AI115" i="236"/>
  <c r="AI118" i="236"/>
  <c r="AI119" i="236"/>
  <c r="AI120" i="236"/>
  <c r="AI121" i="236"/>
  <c r="AI122" i="236"/>
  <c r="AI124" i="236"/>
  <c r="AI125" i="236"/>
  <c r="AI126" i="236"/>
  <c r="AI127" i="236"/>
  <c r="AI128" i="236"/>
  <c r="AI129" i="236"/>
  <c r="AI130" i="236"/>
  <c r="AI131" i="236"/>
  <c r="AI132" i="236"/>
  <c r="AI133" i="236"/>
  <c r="AG134" i="236"/>
  <c r="AI134" i="236"/>
  <c r="AJ134" i="236"/>
  <c r="AK134" i="236"/>
  <c r="AG135" i="236"/>
  <c r="AI135" i="236"/>
  <c r="AI136" i="236"/>
  <c r="AI137" i="236"/>
  <c r="AI138" i="236"/>
  <c r="AI139" i="236"/>
  <c r="AI140" i="236"/>
  <c r="AI142" i="236"/>
  <c r="AI143" i="236"/>
  <c r="AI144" i="236"/>
  <c r="AI145" i="236"/>
  <c r="AI146" i="236"/>
  <c r="AI147" i="236"/>
  <c r="AI148" i="236"/>
  <c r="AI149" i="236"/>
  <c r="AI150" i="236"/>
  <c r="AI151" i="236"/>
  <c r="AI153" i="236"/>
  <c r="AI154" i="236"/>
  <c r="AI155" i="236"/>
  <c r="AI156" i="236"/>
  <c r="AI157" i="236"/>
  <c r="AI158" i="236"/>
  <c r="AI159" i="236"/>
  <c r="AI161" i="236"/>
  <c r="AI163" i="236"/>
  <c r="AI165" i="236"/>
  <c r="AG166" i="236"/>
  <c r="AH166" i="236"/>
  <c r="AI166" i="236"/>
  <c r="AJ166" i="236"/>
  <c r="AG167" i="236"/>
  <c r="AI167" i="236"/>
  <c r="AI169" i="236"/>
  <c r="AI170" i="236"/>
  <c r="AI171" i="236"/>
  <c r="AI172" i="236"/>
  <c r="AI173" i="236"/>
  <c r="AI174" i="236"/>
  <c r="AI175" i="236"/>
  <c r="AI176" i="236"/>
  <c r="AI177" i="236"/>
  <c r="AI178" i="236"/>
  <c r="AI179" i="236"/>
  <c r="AI180" i="236"/>
  <c r="AI181" i="236"/>
  <c r="AI182" i="236"/>
  <c r="AI183" i="236"/>
  <c r="AI184" i="236"/>
  <c r="AI186" i="236"/>
  <c r="AG187" i="236"/>
  <c r="AH187" i="236"/>
  <c r="AI187" i="236"/>
  <c r="AJ187" i="236"/>
  <c r="AG188" i="236"/>
  <c r="AI188" i="236"/>
  <c r="AI190" i="236"/>
  <c r="AI191" i="236"/>
  <c r="AI192" i="236"/>
  <c r="AI193" i="236"/>
  <c r="AI194" i="236"/>
  <c r="AI195" i="236"/>
  <c r="AI196" i="236"/>
  <c r="AI197" i="236"/>
  <c r="AI198" i="236"/>
  <c r="AI199" i="236"/>
  <c r="AI200" i="236"/>
  <c r="AI201" i="236"/>
  <c r="AI202" i="236"/>
  <c r="AI203" i="236"/>
  <c r="AI204" i="236"/>
  <c r="AI206" i="236"/>
  <c r="AG207" i="236"/>
  <c r="AI207" i="236"/>
  <c r="AJ207" i="236"/>
  <c r="AG208" i="236"/>
  <c r="AI208" i="236"/>
  <c r="AI210" i="236"/>
  <c r="AI211" i="236"/>
  <c r="AI212" i="236"/>
  <c r="AI213" i="236"/>
  <c r="AI214" i="236"/>
  <c r="AI215" i="236"/>
  <c r="AI216" i="236"/>
  <c r="AI217" i="236"/>
  <c r="AI218" i="236"/>
  <c r="AI219" i="236"/>
  <c r="AI220" i="236"/>
  <c r="AI221" i="236"/>
  <c r="AI222" i="236"/>
  <c r="AI223" i="236"/>
  <c r="AI224" i="236"/>
  <c r="AI225" i="236"/>
  <c r="AI226" i="236"/>
  <c r="AI227" i="236"/>
  <c r="AI228" i="236"/>
  <c r="AI230" i="236"/>
  <c r="AG231" i="236"/>
  <c r="AI231" i="236"/>
  <c r="AJ231" i="236"/>
  <c r="AG232" i="236"/>
  <c r="AI232" i="236"/>
  <c r="AI234" i="236"/>
  <c r="AI235" i="236"/>
  <c r="AI236" i="236"/>
  <c r="AI237" i="236"/>
  <c r="AI238" i="236"/>
  <c r="AI239" i="236"/>
  <c r="AI240" i="236"/>
  <c r="AI241" i="236"/>
  <c r="AI242" i="236"/>
  <c r="AI243" i="236"/>
  <c r="AI244" i="236"/>
  <c r="AI245" i="236"/>
  <c r="AI246" i="236"/>
  <c r="AI247" i="236"/>
  <c r="AI248" i="236"/>
  <c r="AI249" i="236"/>
  <c r="AI250" i="236"/>
  <c r="AI251" i="236"/>
  <c r="AI253" i="236"/>
  <c r="AG254" i="236"/>
  <c r="AI254" i="236"/>
  <c r="AJ254" i="236"/>
  <c r="AG255" i="236"/>
  <c r="AI255" i="236"/>
  <c r="AI257" i="236"/>
  <c r="AI258" i="236"/>
  <c r="AI259" i="236"/>
  <c r="AI260" i="236"/>
  <c r="AI261" i="236"/>
  <c r="AI262" i="236"/>
  <c r="AI263" i="236"/>
  <c r="AI264" i="236"/>
  <c r="AI265" i="236"/>
  <c r="AI266" i="236"/>
  <c r="AI267" i="236"/>
  <c r="AI268" i="236"/>
  <c r="AI269" i="236"/>
  <c r="AI270" i="236"/>
  <c r="AI271" i="236"/>
  <c r="AI273" i="236"/>
  <c r="AG274" i="236"/>
  <c r="AI274" i="236"/>
  <c r="AJ274" i="236"/>
  <c r="AG275" i="236"/>
  <c r="AI275" i="236"/>
  <c r="AI277" i="236"/>
  <c r="AI278" i="236"/>
  <c r="AI279" i="236"/>
  <c r="AI280" i="236"/>
  <c r="AI281" i="236"/>
  <c r="AI282" i="236"/>
  <c r="AI283" i="236"/>
  <c r="AI284" i="236"/>
  <c r="AI285" i="236"/>
  <c r="AI286" i="236"/>
  <c r="AI287" i="236"/>
  <c r="AI288" i="236"/>
  <c r="AI289" i="236"/>
  <c r="AI290" i="236"/>
  <c r="AI292" i="236"/>
  <c r="AG293" i="236"/>
  <c r="AH293" i="236"/>
  <c r="AI293" i="236"/>
  <c r="AJ293" i="236"/>
  <c r="AG294" i="236"/>
  <c r="AI295" i="236"/>
  <c r="AI296" i="236"/>
  <c r="AI297" i="236"/>
  <c r="AI298" i="236"/>
  <c r="AI299" i="236"/>
  <c r="AI300" i="236"/>
  <c r="AI301" i="236"/>
  <c r="AI302" i="236"/>
  <c r="AI303" i="236"/>
  <c r="AI304" i="236"/>
  <c r="AI305" i="236"/>
  <c r="AI306" i="236"/>
  <c r="AI307" i="236"/>
  <c r="AI309" i="236"/>
  <c r="AI311" i="236"/>
  <c r="AI312" i="236"/>
  <c r="AI314" i="236"/>
  <c r="AG315" i="236"/>
  <c r="AH315" i="236"/>
  <c r="AI315" i="236"/>
  <c r="AJ315" i="236"/>
  <c r="AG316" i="236"/>
  <c r="AI317" i="236"/>
  <c r="AI318" i="236"/>
  <c r="AI319" i="236"/>
  <c r="AI320" i="236"/>
  <c r="AI321" i="236"/>
  <c r="AI322" i="236"/>
  <c r="AI323" i="236"/>
  <c r="AI324" i="236"/>
  <c r="AI325" i="236"/>
  <c r="AI326" i="236"/>
  <c r="AI327" i="236"/>
  <c r="AI328" i="236"/>
  <c r="AI329" i="236"/>
  <c r="AI330" i="236"/>
  <c r="AI332" i="236"/>
  <c r="AI334" i="236"/>
  <c r="AI335" i="236"/>
  <c r="AI337" i="236"/>
  <c r="AG338" i="236"/>
  <c r="AH338" i="236"/>
  <c r="AI338" i="236"/>
  <c r="AJ338" i="236"/>
  <c r="AG339" i="236"/>
  <c r="AI340" i="236"/>
  <c r="AI341" i="236"/>
  <c r="AI342" i="236"/>
  <c r="AI343" i="236"/>
  <c r="AI344" i="236"/>
  <c r="AI345" i="236"/>
  <c r="AI346" i="236"/>
  <c r="AI347" i="236"/>
  <c r="AI348" i="236"/>
  <c r="AI349" i="236"/>
  <c r="AI350" i="236"/>
  <c r="AI351" i="236"/>
  <c r="AI352" i="236"/>
  <c r="AI353" i="236"/>
  <c r="AI355" i="236"/>
  <c r="AI357" i="236"/>
  <c r="AI358" i="236"/>
  <c r="AI360" i="236"/>
  <c r="AG361" i="236"/>
  <c r="AH361" i="236"/>
  <c r="AI361" i="236"/>
  <c r="AJ361" i="236"/>
  <c r="AG362" i="236"/>
  <c r="AI362" i="236"/>
  <c r="AI363" i="236"/>
  <c r="AI364" i="236"/>
  <c r="AI365" i="236"/>
  <c r="AI366" i="236"/>
  <c r="AI367" i="236"/>
  <c r="AI368" i="236"/>
  <c r="AI369" i="236"/>
  <c r="AI370" i="236"/>
  <c r="AI371" i="236"/>
  <c r="AI373" i="236"/>
  <c r="AI374" i="236"/>
  <c r="AI376" i="236"/>
  <c r="AI377" i="236"/>
  <c r="AI379" i="236"/>
  <c r="AG380" i="236"/>
  <c r="AH380" i="236"/>
  <c r="AI380" i="236"/>
  <c r="AJ380" i="236"/>
  <c r="AG381" i="236"/>
  <c r="AI381" i="236"/>
  <c r="AI382" i="236"/>
  <c r="AI383" i="236"/>
  <c r="AI384" i="236"/>
  <c r="AI385" i="236"/>
  <c r="AI386" i="236"/>
  <c r="AI387" i="236"/>
  <c r="AI388" i="236"/>
  <c r="AI389" i="236"/>
  <c r="AI390" i="236"/>
  <c r="AI391" i="236"/>
  <c r="AI392" i="236"/>
  <c r="AI394" i="236"/>
  <c r="AI396" i="236"/>
  <c r="AI397" i="236"/>
  <c r="AI399" i="236"/>
  <c r="AG400" i="236"/>
  <c r="AH400" i="236"/>
  <c r="AI400" i="236"/>
  <c r="AJ400" i="236"/>
  <c r="AG401" i="236"/>
  <c r="AI402" i="236"/>
  <c r="AI404" i="236"/>
  <c r="AI405" i="236"/>
  <c r="AI406" i="236"/>
  <c r="AI407" i="236"/>
  <c r="AI408" i="236"/>
  <c r="AI409" i="236"/>
  <c r="AI410" i="236"/>
  <c r="AI411" i="236"/>
  <c r="AI412" i="236"/>
  <c r="AI413" i="236"/>
  <c r="AI414" i="236"/>
  <c r="AI415" i="236"/>
  <c r="AI417" i="236"/>
  <c r="AI419" i="236"/>
  <c r="AI420" i="236"/>
  <c r="AI421" i="236"/>
  <c r="AI423" i="236"/>
  <c r="AG424" i="236"/>
  <c r="AH424" i="236"/>
  <c r="AI424" i="236"/>
  <c r="AJ424" i="236"/>
  <c r="AG425" i="236"/>
  <c r="AI426" i="236"/>
  <c r="AI428" i="236"/>
  <c r="AI429" i="236"/>
  <c r="AI430" i="236"/>
  <c r="AI431" i="236"/>
  <c r="AI432" i="236"/>
  <c r="AI433" i="236"/>
  <c r="AI434" i="236"/>
  <c r="AI435" i="236"/>
  <c r="AI436" i="236"/>
  <c r="AI437" i="236"/>
  <c r="AI438" i="236"/>
  <c r="AI439" i="236"/>
  <c r="AI440" i="236"/>
  <c r="AI442" i="236"/>
  <c r="AI444" i="236"/>
  <c r="AI445" i="236"/>
  <c r="AI446" i="236"/>
  <c r="AI448" i="236"/>
  <c r="AG449" i="236"/>
  <c r="AH449" i="236"/>
  <c r="AI449" i="236"/>
  <c r="AJ449" i="236"/>
  <c r="AG450" i="236"/>
  <c r="AI451" i="236"/>
  <c r="AI453" i="236"/>
  <c r="AI454" i="236"/>
  <c r="AI455" i="236"/>
  <c r="AI456" i="236"/>
  <c r="AI457" i="236"/>
  <c r="AI458" i="236"/>
  <c r="AI459" i="236"/>
  <c r="AI460" i="236"/>
  <c r="AI461" i="236"/>
  <c r="AI462" i="236"/>
  <c r="AI463" i="236"/>
  <c r="AI464" i="236"/>
  <c r="AI465" i="236"/>
  <c r="AI466" i="236"/>
  <c r="AI468" i="236"/>
  <c r="AG469" i="236"/>
  <c r="AH469" i="236"/>
  <c r="AI469" i="236"/>
  <c r="AJ469" i="236"/>
  <c r="AG470" i="236"/>
  <c r="AI471" i="236"/>
  <c r="AI473" i="236"/>
  <c r="AI474" i="236"/>
  <c r="AI475" i="236"/>
  <c r="AI476" i="236"/>
  <c r="AI477" i="236"/>
  <c r="AI478" i="236"/>
  <c r="AI479" i="236"/>
  <c r="AI480" i="236"/>
  <c r="AI481" i="236"/>
  <c r="AI482" i="236"/>
  <c r="AI483" i="236"/>
  <c r="AI484" i="236"/>
  <c r="AI485" i="236"/>
  <c r="AI486" i="236"/>
  <c r="AI487" i="236"/>
  <c r="AI489" i="236"/>
  <c r="AG490" i="236"/>
  <c r="AH490" i="236"/>
  <c r="AI490" i="236"/>
  <c r="AJ490" i="236"/>
  <c r="AG491" i="236"/>
  <c r="AI492" i="236"/>
  <c r="AI494" i="236"/>
  <c r="AI495" i="236"/>
  <c r="AI496" i="236"/>
  <c r="AI497" i="236"/>
  <c r="AI498" i="236"/>
  <c r="AI499" i="236"/>
  <c r="AI500" i="236"/>
  <c r="AI501" i="236"/>
  <c r="AI502" i="236"/>
  <c r="AI503" i="236"/>
  <c r="AI504" i="236"/>
  <c r="AI505" i="236"/>
  <c r="AI506" i="236"/>
  <c r="AI508" i="236"/>
  <c r="AI510" i="236"/>
  <c r="AI511" i="236"/>
  <c r="AI512" i="236"/>
  <c r="AI514" i="236"/>
  <c r="AG515" i="236"/>
  <c r="AI515" i="236"/>
  <c r="AJ515" i="236"/>
  <c r="AG516" i="236"/>
  <c r="AI517" i="236"/>
  <c r="AI519" i="236"/>
  <c r="AI520" i="236"/>
  <c r="AI521" i="236"/>
  <c r="AI522" i="236"/>
  <c r="AI523" i="236"/>
  <c r="AI524" i="236"/>
  <c r="AI525" i="236"/>
  <c r="AI526" i="236"/>
  <c r="AI527" i="236"/>
  <c r="AI528" i="236"/>
  <c r="AI529" i="236"/>
  <c r="AI530" i="236"/>
  <c r="AI531" i="236"/>
  <c r="AI533" i="236"/>
  <c r="AI535" i="236"/>
  <c r="AI536" i="236"/>
  <c r="AI537" i="236"/>
  <c r="AI539" i="236"/>
  <c r="AG540" i="236"/>
  <c r="AH540" i="236"/>
  <c r="AI540" i="236"/>
  <c r="AJ540" i="236"/>
  <c r="AG541" i="236"/>
  <c r="AI542" i="236"/>
  <c r="AI544" i="236"/>
  <c r="AI545" i="236"/>
  <c r="AI546" i="236"/>
  <c r="AI547" i="236"/>
  <c r="AI548" i="236"/>
  <c r="AI549" i="236"/>
  <c r="AI550" i="236"/>
  <c r="AI551" i="236"/>
  <c r="AI552" i="236"/>
  <c r="AI553" i="236"/>
  <c r="AI554" i="236"/>
  <c r="AI555" i="236"/>
  <c r="AI556" i="236"/>
  <c r="AI557" i="236"/>
  <c r="AI558" i="236"/>
  <c r="AI560" i="236"/>
  <c r="AG561" i="236"/>
  <c r="AH561" i="236"/>
  <c r="AI561" i="236"/>
  <c r="AJ561" i="236"/>
  <c r="AK561" i="236"/>
  <c r="AG562" i="236"/>
  <c r="AI562" i="236"/>
  <c r="AI563" i="236"/>
  <c r="AI564" i="236"/>
  <c r="AI565" i="236"/>
  <c r="AI566" i="236"/>
  <c r="AI567" i="236"/>
  <c r="AI568" i="236"/>
  <c r="AI569" i="236"/>
  <c r="AI570" i="236"/>
  <c r="AI571" i="236"/>
  <c r="AI572" i="236"/>
  <c r="AI573" i="236"/>
  <c r="AI574" i="236"/>
  <c r="AI575" i="236"/>
  <c r="AI576" i="236"/>
  <c r="AI577" i="236"/>
  <c r="AI578" i="236"/>
  <c r="AI579" i="236"/>
  <c r="AG580" i="236"/>
  <c r="AI580" i="236"/>
  <c r="AJ580" i="236"/>
  <c r="AK580" i="236"/>
  <c r="AG581" i="236"/>
  <c r="AI581" i="236"/>
  <c r="AI582" i="236"/>
  <c r="AI583" i="236"/>
  <c r="AI584" i="236"/>
  <c r="AI585" i="236"/>
  <c r="AI586" i="236"/>
  <c r="AI587" i="236"/>
  <c r="AI588" i="236"/>
  <c r="AI589" i="236"/>
  <c r="AI590" i="236"/>
  <c r="AG591" i="236"/>
  <c r="AI591" i="236"/>
  <c r="AJ591" i="236"/>
  <c r="AI592" i="236"/>
  <c r="AI593" i="236"/>
  <c r="AI595" i="236"/>
  <c r="AG597" i="236"/>
  <c r="AI597" i="236"/>
  <c r="AJ597" i="236"/>
  <c r="AI599" i="236"/>
  <c r="AI600" i="236"/>
  <c r="AI602" i="236"/>
  <c r="AI604" i="236"/>
  <c r="AI605" i="236"/>
  <c r="AI606" i="236"/>
  <c r="AI607" i="236"/>
  <c r="AG608" i="236"/>
  <c r="AI608" i="236"/>
  <c r="AJ608" i="236"/>
  <c r="AK608" i="236"/>
  <c r="AG609" i="236"/>
  <c r="AI609" i="236"/>
  <c r="AI610" i="236"/>
  <c r="AI611" i="236"/>
  <c r="AI612" i="236"/>
  <c r="AI613" i="236"/>
  <c r="AI614" i="236"/>
  <c r="AI615" i="236"/>
  <c r="AI616" i="236"/>
  <c r="AI617" i="236"/>
  <c r="AI618" i="236"/>
  <c r="AI619" i="236"/>
  <c r="AI620" i="236"/>
  <c r="AI621" i="236"/>
  <c r="AI622" i="236"/>
  <c r="AI623" i="236"/>
  <c r="AI624" i="236"/>
  <c r="AI625" i="236"/>
  <c r="AI626" i="236"/>
  <c r="AI627" i="236"/>
  <c r="AI628" i="236"/>
  <c r="AI629" i="236"/>
  <c r="AI630" i="236"/>
  <c r="AI631" i="236"/>
  <c r="AI632" i="236"/>
  <c r="AI633" i="236"/>
  <c r="AI634" i="236"/>
  <c r="AI635" i="236"/>
  <c r="AI636" i="236"/>
  <c r="AI637" i="236"/>
  <c r="AI638" i="236"/>
  <c r="AI639" i="236"/>
  <c r="AI640" i="236"/>
  <c r="AI641" i="236"/>
  <c r="AI642" i="236"/>
  <c r="AI643" i="236"/>
  <c r="AI644" i="236"/>
  <c r="AI645" i="236"/>
  <c r="AI646" i="236"/>
  <c r="AG647" i="236"/>
  <c r="AH647" i="236"/>
  <c r="AI647" i="236"/>
  <c r="AJ647" i="236"/>
  <c r="AG648" i="236"/>
  <c r="AI648" i="236"/>
  <c r="AI651" i="236"/>
  <c r="AI652" i="236"/>
  <c r="AI653" i="236"/>
  <c r="AI654" i="236"/>
  <c r="AI655" i="236"/>
  <c r="AI656" i="236"/>
  <c r="AI657" i="236"/>
  <c r="AI658" i="236"/>
  <c r="AI659" i="236"/>
  <c r="AI660" i="236"/>
  <c r="AI661" i="236"/>
  <c r="AI662" i="236"/>
  <c r="AI663" i="236"/>
  <c r="AI664" i="236"/>
  <c r="AI665" i="236"/>
  <c r="AI666" i="236"/>
  <c r="AI667" i="236"/>
  <c r="AI668" i="236"/>
  <c r="AI669" i="236"/>
  <c r="AI670" i="236"/>
  <c r="AI671" i="236"/>
  <c r="AI672" i="236"/>
  <c r="AI673" i="236"/>
  <c r="AI674" i="236"/>
  <c r="AI675" i="236"/>
  <c r="AI676" i="236"/>
  <c r="AI677" i="236"/>
  <c r="AI678" i="236"/>
  <c r="AG679" i="236"/>
  <c r="AH679" i="236"/>
  <c r="AI679" i="236"/>
  <c r="AJ679" i="236"/>
  <c r="AG680" i="236"/>
  <c r="AI680" i="236"/>
  <c r="AI683" i="236"/>
  <c r="AI684" i="236"/>
  <c r="AI685" i="236"/>
  <c r="AI686" i="236"/>
  <c r="AI687" i="236"/>
  <c r="AI688" i="236"/>
  <c r="AI689" i="236"/>
  <c r="AI690" i="236"/>
  <c r="AI691" i="236"/>
  <c r="AI692" i="236"/>
  <c r="AI693" i="236"/>
  <c r="AI694" i="236"/>
  <c r="AI695" i="236"/>
  <c r="AI696" i="236"/>
  <c r="AI697" i="236"/>
  <c r="AI698" i="236"/>
  <c r="AI699" i="236"/>
  <c r="AI700" i="236"/>
  <c r="AI701" i="236"/>
  <c r="AI702" i="236"/>
  <c r="AI703" i="236"/>
  <c r="AI704" i="236"/>
  <c r="AI705" i="236"/>
  <c r="AI706" i="236"/>
  <c r="AI707" i="236"/>
  <c r="AI708" i="236"/>
  <c r="AI709" i="236"/>
  <c r="AG710" i="236"/>
  <c r="AI710" i="236"/>
  <c r="AJ710" i="236"/>
  <c r="AG711" i="236"/>
  <c r="AI711" i="236"/>
  <c r="AI714" i="236"/>
  <c r="AI715" i="236"/>
  <c r="AI716" i="236"/>
  <c r="AI717" i="236"/>
  <c r="AI718" i="236"/>
  <c r="AI719" i="236"/>
  <c r="AI720" i="236"/>
  <c r="AI721" i="236"/>
  <c r="AI722" i="236"/>
  <c r="AI723" i="236"/>
  <c r="AI724" i="236"/>
  <c r="AI725" i="236"/>
  <c r="AI726" i="236"/>
  <c r="AI727" i="236"/>
  <c r="AI728" i="236"/>
  <c r="AI729" i="236"/>
  <c r="AI730" i="236"/>
  <c r="AI731" i="236"/>
  <c r="AI732" i="236"/>
  <c r="AI733" i="236"/>
  <c r="AI735" i="236"/>
  <c r="AI736" i="236"/>
  <c r="AI737" i="236"/>
  <c r="AI738" i="236"/>
  <c r="AI739" i="236"/>
  <c r="AI740" i="236"/>
  <c r="AI741" i="236"/>
  <c r="AI742" i="236"/>
  <c r="AI743" i="236"/>
  <c r="AI744" i="236"/>
  <c r="AG745" i="236"/>
  <c r="AI745" i="236"/>
  <c r="AJ745" i="236"/>
  <c r="AG746" i="236"/>
  <c r="AI746" i="236"/>
  <c r="AI749" i="236"/>
  <c r="AI750" i="236"/>
  <c r="AI751" i="236"/>
  <c r="AI752" i="236"/>
  <c r="AI753" i="236"/>
  <c r="AI754" i="236"/>
  <c r="AI755" i="236"/>
  <c r="AI756" i="236"/>
  <c r="AI757" i="236"/>
  <c r="AI758" i="236"/>
  <c r="AI759" i="236"/>
  <c r="AI760" i="236"/>
  <c r="AI761" i="236"/>
  <c r="AI762" i="236"/>
  <c r="AI763" i="236"/>
  <c r="AI764" i="236"/>
  <c r="AI765" i="236"/>
  <c r="AI766" i="236"/>
  <c r="AI767" i="236"/>
  <c r="AI769" i="236"/>
  <c r="AI770" i="236"/>
  <c r="AI771" i="236"/>
  <c r="AI772" i="236"/>
  <c r="AI773" i="236"/>
  <c r="AI774" i="236"/>
  <c r="AI775" i="236"/>
  <c r="AI776" i="236"/>
  <c r="AI777" i="236"/>
  <c r="AI778" i="236"/>
  <c r="AG779" i="236"/>
  <c r="AI779" i="236"/>
  <c r="AJ779" i="236"/>
  <c r="AG780" i="236"/>
  <c r="AI780" i="236"/>
  <c r="AI783" i="236"/>
  <c r="AI784" i="236"/>
  <c r="AI785" i="236"/>
  <c r="AI786" i="236"/>
  <c r="AI787" i="236"/>
  <c r="AI788" i="236"/>
  <c r="AI790" i="236"/>
  <c r="AI791" i="236"/>
  <c r="AI792" i="236"/>
  <c r="AI793" i="236"/>
  <c r="AI794" i="236"/>
  <c r="AI795" i="236"/>
  <c r="AI796" i="236"/>
  <c r="AI797" i="236"/>
  <c r="AI798" i="236"/>
  <c r="AI799" i="236"/>
  <c r="AI800" i="236"/>
  <c r="AI801" i="236"/>
  <c r="AI802" i="236"/>
  <c r="AI803" i="236"/>
  <c r="AG804" i="236"/>
  <c r="AI804" i="236"/>
  <c r="AJ804" i="236"/>
  <c r="AG805" i="236"/>
  <c r="AI805" i="236"/>
  <c r="AI808" i="236"/>
  <c r="AI809" i="236"/>
  <c r="AI810" i="236"/>
  <c r="AI811" i="236"/>
  <c r="AI812" i="236"/>
  <c r="AI813" i="236"/>
  <c r="AI815" i="236"/>
  <c r="AI816" i="236"/>
  <c r="AI817" i="236"/>
  <c r="AI818" i="236"/>
  <c r="AI819" i="236"/>
  <c r="AI820" i="236"/>
  <c r="AI821" i="236"/>
  <c r="AI822" i="236"/>
  <c r="AI823" i="236"/>
  <c r="AI824" i="236"/>
  <c r="AI825" i="236"/>
  <c r="AI826" i="236"/>
  <c r="AI827" i="236"/>
  <c r="AG828" i="236"/>
  <c r="AH828" i="236"/>
  <c r="AI828" i="236"/>
  <c r="AJ828" i="236"/>
  <c r="AG829" i="236"/>
  <c r="AI830" i="236"/>
  <c r="AI832" i="236"/>
  <c r="AI833" i="236"/>
  <c r="AI834" i="236"/>
  <c r="AI835" i="236"/>
  <c r="AI836" i="236"/>
  <c r="AI838" i="236"/>
  <c r="AI839" i="236"/>
  <c r="AI840" i="236"/>
  <c r="AI841" i="236"/>
  <c r="AI842" i="236"/>
  <c r="AI843" i="236"/>
  <c r="AI845" i="236"/>
  <c r="AI847" i="236"/>
  <c r="AI849" i="236"/>
  <c r="AI850" i="236"/>
  <c r="AI851" i="236"/>
  <c r="AI852" i="236"/>
  <c r="AI853" i="236"/>
  <c r="AI854" i="236"/>
  <c r="AI855" i="236"/>
  <c r="AI856" i="236"/>
  <c r="AI857" i="236"/>
  <c r="AI858" i="236"/>
  <c r="AI859" i="236"/>
  <c r="AI860" i="236"/>
  <c r="AI861" i="236"/>
  <c r="AG862" i="236"/>
  <c r="AH862" i="236"/>
  <c r="AI862" i="236"/>
  <c r="AJ862" i="236"/>
  <c r="AG863" i="236"/>
  <c r="AI864" i="236"/>
  <c r="AI866" i="236"/>
  <c r="AI867" i="236"/>
  <c r="AI868" i="236"/>
  <c r="AI869" i="236"/>
  <c r="AI870" i="236"/>
  <c r="AI872" i="236"/>
  <c r="AI873" i="236"/>
  <c r="AI874" i="236"/>
  <c r="AI875" i="236"/>
  <c r="AI876" i="236"/>
  <c r="AI877" i="236"/>
  <c r="AI878" i="236"/>
  <c r="AI880" i="236"/>
  <c r="AI882" i="236"/>
  <c r="AI884" i="236"/>
  <c r="AI885" i="236"/>
  <c r="AI886" i="236"/>
  <c r="AI887" i="236"/>
  <c r="AI888" i="236"/>
  <c r="AI889" i="236"/>
  <c r="AI890" i="236"/>
  <c r="AI891" i="236"/>
  <c r="AI892" i="236"/>
  <c r="AI893" i="236"/>
  <c r="AI894" i="236"/>
  <c r="AI895" i="236"/>
  <c r="AI896" i="236"/>
  <c r="AG897" i="236"/>
  <c r="AH897" i="236"/>
  <c r="AI897" i="236"/>
  <c r="AJ897" i="236"/>
  <c r="AG898" i="236"/>
  <c r="AI899" i="236"/>
  <c r="AI901" i="236"/>
  <c r="AI902" i="236"/>
  <c r="AI903" i="236"/>
  <c r="AI904" i="236"/>
  <c r="AI905" i="236"/>
  <c r="AI907" i="236"/>
  <c r="AI908" i="236"/>
  <c r="AI909" i="236"/>
  <c r="AI910" i="236"/>
  <c r="AI911" i="236"/>
  <c r="AI912" i="236"/>
  <c r="AI913" i="236"/>
  <c r="AI914" i="236"/>
  <c r="AI915" i="236"/>
  <c r="AI916" i="236"/>
  <c r="AI917" i="236"/>
  <c r="AI918" i="236"/>
  <c r="AI919" i="236"/>
  <c r="AG920" i="236"/>
  <c r="AH920" i="236"/>
  <c r="AI920" i="236"/>
  <c r="AJ920" i="236"/>
  <c r="AG921" i="236"/>
  <c r="AI922" i="236"/>
  <c r="AI924" i="236"/>
  <c r="AI925" i="236"/>
  <c r="AI926" i="236"/>
  <c r="AI927" i="236"/>
  <c r="AI928" i="236"/>
  <c r="AI930" i="236"/>
  <c r="AI931" i="236"/>
  <c r="AI932" i="236"/>
  <c r="AI933" i="236"/>
  <c r="AI934" i="236"/>
  <c r="AI935" i="236"/>
  <c r="AI936" i="236"/>
  <c r="AI937" i="236"/>
  <c r="AI938" i="236"/>
  <c r="AI939" i="236"/>
  <c r="AI940" i="236"/>
  <c r="AI941" i="236"/>
  <c r="AI942" i="236"/>
  <c r="AI943" i="236"/>
  <c r="AG944" i="236"/>
  <c r="AH944" i="236"/>
  <c r="AI944" i="236"/>
  <c r="AJ944" i="236"/>
  <c r="AG945" i="236"/>
  <c r="AI946" i="236"/>
  <c r="AI948" i="236"/>
  <c r="AI949" i="236"/>
  <c r="AI950" i="236"/>
  <c r="AI951" i="236"/>
  <c r="AI952" i="236"/>
  <c r="AI953" i="236"/>
  <c r="AI955" i="236"/>
  <c r="AI956" i="236"/>
  <c r="AI957" i="236"/>
  <c r="AI958" i="236"/>
  <c r="AI959" i="236"/>
  <c r="AI960" i="236"/>
  <c r="AI962" i="236"/>
  <c r="AI964" i="236"/>
  <c r="AI966" i="236"/>
  <c r="AI967" i="236"/>
  <c r="AI968" i="236"/>
  <c r="AI969" i="236"/>
  <c r="AI970" i="236"/>
  <c r="AI971" i="236"/>
  <c r="AI972" i="236"/>
  <c r="AI973" i="236"/>
  <c r="AI974" i="236"/>
  <c r="AI975" i="236"/>
  <c r="AI976" i="236"/>
  <c r="AI977" i="236"/>
  <c r="AI978" i="236"/>
  <c r="AG979" i="236"/>
  <c r="AI979" i="236"/>
  <c r="AJ979" i="236"/>
  <c r="AG980" i="236"/>
  <c r="AI981" i="236"/>
  <c r="AI983" i="236"/>
  <c r="AI984" i="236"/>
  <c r="AI985" i="236"/>
  <c r="AI986" i="236"/>
  <c r="AI987" i="236"/>
  <c r="AI988" i="236"/>
  <c r="AI990" i="236"/>
  <c r="AI991" i="236"/>
  <c r="AI992" i="236"/>
  <c r="AI993" i="236"/>
  <c r="AI994" i="236"/>
  <c r="AI995" i="236"/>
  <c r="AI997" i="236"/>
  <c r="AI999" i="236"/>
  <c r="AI1001" i="236"/>
  <c r="AI1002" i="236"/>
  <c r="AI1003" i="236"/>
  <c r="AI1004" i="236"/>
  <c r="AI1005" i="236"/>
  <c r="AI1006" i="236"/>
  <c r="AI1007" i="236"/>
  <c r="AI1008" i="236"/>
  <c r="AI1009" i="236"/>
  <c r="AI1010" i="236"/>
  <c r="AI1011" i="236"/>
  <c r="AI1012" i="236"/>
  <c r="AI1013" i="236"/>
  <c r="AG1014" i="236"/>
  <c r="AH1014" i="236"/>
  <c r="AI1014" i="236"/>
  <c r="AJ1014" i="236"/>
  <c r="AG1015" i="236"/>
  <c r="AI1016" i="236"/>
  <c r="AI1018" i="236"/>
  <c r="AI1019" i="236"/>
  <c r="AI1020" i="236"/>
  <c r="AI1021" i="236"/>
  <c r="AI1022" i="236"/>
  <c r="AI1023" i="236"/>
  <c r="AI1025" i="236"/>
  <c r="AI1026" i="236"/>
  <c r="AI1027" i="236"/>
  <c r="AI1028" i="236"/>
  <c r="AI1029" i="236"/>
  <c r="AI1030" i="236"/>
  <c r="AI1031" i="236"/>
  <c r="AI1032" i="236"/>
  <c r="AI1033" i="236"/>
  <c r="AI1034" i="236"/>
  <c r="AI1035" i="236"/>
  <c r="AI1036" i="236"/>
  <c r="AI1037" i="236"/>
  <c r="AG1041" i="236"/>
  <c r="AG1044" i="236"/>
  <c r="AG1046" i="236"/>
  <c r="AI1046" i="236"/>
  <c r="AG1047" i="236"/>
  <c r="AI1049" i="236"/>
  <c r="AI1050" i="236"/>
  <c r="AI1051" i="236"/>
  <c r="AI1053" i="236"/>
  <c r="AI1055" i="236"/>
  <c r="AI1057" i="236"/>
  <c r="AI1059" i="236"/>
  <c r="AI1061" i="236"/>
  <c r="AI1062" i="236"/>
  <c r="AI1064" i="236"/>
  <c r="AI1066" i="236"/>
  <c r="AI1067" i="236"/>
  <c r="AG1068" i="236"/>
  <c r="AI1068" i="236"/>
  <c r="AG1069" i="236"/>
  <c r="AI1069" i="236"/>
  <c r="AI1070" i="236"/>
  <c r="AI1072" i="236"/>
  <c r="AG1074" i="236"/>
  <c r="AI1074" i="236"/>
  <c r="AG1075" i="236"/>
  <c r="AI1075" i="236"/>
  <c r="AI1076" i="236"/>
  <c r="AI1077" i="236"/>
  <c r="AI1079" i="236"/>
  <c r="AI1081" i="236"/>
  <c r="AI1082" i="236"/>
  <c r="AI1084" i="236"/>
  <c r="AI1085" i="236"/>
  <c r="AG1086" i="236"/>
  <c r="AI1086" i="236"/>
  <c r="AG1087" i="236"/>
  <c r="AI1087" i="236"/>
  <c r="AI1088" i="236"/>
  <c r="AI1089" i="236"/>
  <c r="AI1090" i="236"/>
  <c r="AI1092" i="236"/>
  <c r="AI1094" i="236"/>
  <c r="AI1096" i="236"/>
  <c r="AI1098" i="236"/>
  <c r="AI1099" i="236"/>
  <c r="AI1100" i="236"/>
  <c r="AI1101" i="236"/>
  <c r="AI1102" i="236"/>
  <c r="AI1103" i="236"/>
  <c r="AI1104" i="236"/>
  <c r="AI1105" i="236"/>
  <c r="AI1106" i="236"/>
  <c r="AI1107" i="236"/>
  <c r="AI1108" i="236"/>
  <c r="AR221" i="234" l="1"/>
  <c r="AO221" i="234"/>
  <c r="AN221" i="234"/>
  <c r="F221" i="234"/>
  <c r="AR220" i="234"/>
  <c r="AO220" i="234"/>
  <c r="AN220" i="234"/>
  <c r="F220" i="234"/>
  <c r="AR219" i="234"/>
  <c r="AO219" i="234"/>
  <c r="AN219" i="234"/>
  <c r="F219" i="234"/>
  <c r="AR218" i="234"/>
  <c r="AO218" i="234"/>
  <c r="AN218" i="234"/>
  <c r="F218" i="234"/>
  <c r="AR217" i="234"/>
  <c r="AO217" i="234"/>
  <c r="AN217" i="234"/>
  <c r="F217" i="234"/>
  <c r="AR216" i="234"/>
  <c r="AO216" i="234"/>
  <c r="AN216" i="234"/>
  <c r="F216" i="234"/>
  <c r="AR215" i="234"/>
  <c r="AO215" i="234"/>
  <c r="AN215" i="234"/>
  <c r="F215" i="234"/>
  <c r="AR214" i="234"/>
  <c r="AO214" i="234"/>
  <c r="AN214" i="234"/>
  <c r="F214" i="234"/>
  <c r="AR213" i="234"/>
  <c r="AO213" i="234"/>
  <c r="AN213" i="234"/>
  <c r="F213" i="234"/>
  <c r="AR212" i="234"/>
  <c r="AO212" i="234"/>
  <c r="AN212" i="234"/>
  <c r="F212" i="234"/>
  <c r="AR211" i="234"/>
  <c r="AO211" i="234"/>
  <c r="AN211" i="234"/>
  <c r="F211" i="234"/>
  <c r="AR210" i="234"/>
  <c r="AO210" i="234"/>
  <c r="AN210" i="234"/>
  <c r="F210" i="234"/>
  <c r="AR209" i="234"/>
  <c r="AO209" i="234"/>
  <c r="AN209" i="234"/>
  <c r="F209" i="234"/>
  <c r="AR208" i="234"/>
  <c r="AO208" i="234"/>
  <c r="AN208" i="234"/>
  <c r="F208" i="234"/>
  <c r="AR207" i="234"/>
  <c r="AO207" i="234"/>
  <c r="AN207" i="234"/>
  <c r="F207" i="234"/>
  <c r="AR206" i="234"/>
  <c r="AO206" i="234"/>
  <c r="AN206" i="234"/>
  <c r="F206" i="234"/>
  <c r="AR205" i="234"/>
  <c r="AO205" i="234"/>
  <c r="AN205" i="234"/>
  <c r="F205" i="234"/>
  <c r="AR204" i="234"/>
  <c r="AO204" i="234"/>
  <c r="AN204" i="234"/>
  <c r="F204" i="234"/>
  <c r="AR203" i="234"/>
  <c r="AO203" i="234"/>
  <c r="AN203" i="234"/>
  <c r="F203" i="234"/>
  <c r="AR202" i="234"/>
  <c r="AO202" i="234"/>
  <c r="AN202" i="234"/>
  <c r="F202" i="234"/>
  <c r="AR201" i="234"/>
  <c r="AO201" i="234"/>
  <c r="AN201" i="234"/>
  <c r="F201" i="234"/>
  <c r="AR200" i="234"/>
  <c r="AO200" i="234"/>
  <c r="AN200" i="234"/>
  <c r="F200" i="234"/>
  <c r="AR199" i="234"/>
  <c r="AO199" i="234"/>
  <c r="AN199" i="234"/>
  <c r="F199" i="234"/>
  <c r="AR198" i="234"/>
  <c r="AO198" i="234"/>
  <c r="AN198" i="234"/>
  <c r="F198" i="234"/>
  <c r="AR197" i="234"/>
  <c r="AO197" i="234"/>
  <c r="AN197" i="234"/>
  <c r="F197" i="234"/>
  <c r="N192" i="234"/>
  <c r="N193" i="234" s="1"/>
  <c r="AM175" i="234"/>
  <c r="F175" i="234"/>
  <c r="C175" i="234"/>
  <c r="AM174" i="234"/>
  <c r="F174" i="234"/>
  <c r="C174" i="234"/>
  <c r="AM173" i="234"/>
  <c r="F173" i="234"/>
  <c r="C173" i="234"/>
  <c r="AM172" i="234"/>
  <c r="F172" i="234"/>
  <c r="C172" i="234"/>
  <c r="AM171" i="234"/>
  <c r="F171" i="234"/>
  <c r="C171" i="234"/>
  <c r="AM170" i="234"/>
  <c r="F170" i="234"/>
  <c r="C170" i="234"/>
  <c r="AM169" i="234"/>
  <c r="F169" i="234"/>
  <c r="C169" i="234"/>
  <c r="AM168" i="234"/>
  <c r="F168" i="234"/>
  <c r="C168" i="234"/>
  <c r="AM167" i="234"/>
  <c r="F167" i="234"/>
  <c r="C167" i="234"/>
  <c r="AM166" i="234"/>
  <c r="F166" i="234"/>
  <c r="C166" i="234"/>
  <c r="AM165" i="234"/>
  <c r="F165" i="234"/>
  <c r="C165" i="234"/>
  <c r="AM164" i="234"/>
  <c r="F164" i="234"/>
  <c r="C164" i="234"/>
  <c r="AM163" i="234"/>
  <c r="F163" i="234"/>
  <c r="C163" i="234"/>
  <c r="AM162" i="234"/>
  <c r="F162" i="234"/>
  <c r="C162" i="234"/>
  <c r="AM161" i="234"/>
  <c r="F161" i="234"/>
  <c r="C161" i="234"/>
  <c r="AM160" i="234"/>
  <c r="K160" i="234"/>
  <c r="F160" i="234"/>
  <c r="C160" i="234"/>
  <c r="AM159" i="234"/>
  <c r="F159" i="234"/>
  <c r="C159" i="234"/>
  <c r="AM158" i="234"/>
  <c r="F158" i="234"/>
  <c r="C158" i="234"/>
  <c r="AM157" i="234"/>
  <c r="F157" i="234"/>
  <c r="C157" i="234"/>
  <c r="AM156" i="234"/>
  <c r="F156" i="234"/>
  <c r="C156" i="234"/>
  <c r="AM155" i="234"/>
  <c r="F155" i="234"/>
  <c r="C155" i="234"/>
  <c r="AM154" i="234"/>
  <c r="F154" i="234"/>
  <c r="C154" i="234"/>
  <c r="AM153" i="234"/>
  <c r="F153" i="234"/>
  <c r="C153" i="234"/>
  <c r="AM152" i="234"/>
  <c r="F152" i="234"/>
  <c r="C152" i="234"/>
  <c r="AM151" i="234"/>
  <c r="F151" i="234"/>
  <c r="C151" i="234"/>
  <c r="AK150" i="234"/>
  <c r="AJ150" i="234"/>
  <c r="AI150" i="234"/>
  <c r="AH150" i="234"/>
  <c r="AG150" i="234"/>
  <c r="AF150" i="234"/>
  <c r="AE150" i="234"/>
  <c r="AD150" i="234"/>
  <c r="AC150" i="234"/>
  <c r="AB150" i="234"/>
  <c r="AA150" i="234"/>
  <c r="Z150" i="234"/>
  <c r="Y150" i="234"/>
  <c r="X150" i="234"/>
  <c r="W150" i="234"/>
  <c r="V150" i="234"/>
  <c r="U150" i="234"/>
  <c r="T150" i="234"/>
  <c r="S150" i="234"/>
  <c r="R150" i="234"/>
  <c r="Q150" i="234"/>
  <c r="P150" i="234"/>
  <c r="O150" i="234"/>
  <c r="N150" i="234"/>
  <c r="M150" i="234"/>
  <c r="L150" i="234"/>
  <c r="K150" i="234"/>
  <c r="J150" i="234"/>
  <c r="I150" i="234"/>
  <c r="H150" i="234"/>
  <c r="G150" i="234"/>
  <c r="C149" i="234"/>
  <c r="M148" i="234" s="1"/>
  <c r="U148" i="234" s="1"/>
  <c r="AD148" i="234"/>
  <c r="C148" i="234"/>
  <c r="F143" i="234"/>
  <c r="AP141" i="234"/>
  <c r="AO141" i="234"/>
  <c r="AN141" i="234"/>
  <c r="AK141" i="234"/>
  <c r="AJ141" i="234"/>
  <c r="AI141" i="234"/>
  <c r="AH141" i="234"/>
  <c r="AG141" i="234"/>
  <c r="AF141" i="234"/>
  <c r="AE141" i="234"/>
  <c r="AD141" i="234"/>
  <c r="AC141" i="234"/>
  <c r="AB141" i="234"/>
  <c r="AA141" i="234"/>
  <c r="Z141" i="234"/>
  <c r="Y141" i="234"/>
  <c r="X141" i="234"/>
  <c r="W141" i="234"/>
  <c r="V141" i="234"/>
  <c r="U141" i="234"/>
  <c r="T141" i="234"/>
  <c r="S141" i="234"/>
  <c r="R141" i="234"/>
  <c r="Q141" i="234"/>
  <c r="P141" i="234"/>
  <c r="O141" i="234"/>
  <c r="N141" i="234"/>
  <c r="M141" i="234"/>
  <c r="L141" i="234"/>
  <c r="K141" i="234"/>
  <c r="J141" i="234"/>
  <c r="I141" i="234"/>
  <c r="H141" i="234"/>
  <c r="G141" i="234"/>
  <c r="AP139" i="234"/>
  <c r="AO139" i="234"/>
  <c r="AN139" i="234"/>
  <c r="AK139" i="234"/>
  <c r="AJ139" i="234"/>
  <c r="AI139" i="234"/>
  <c r="AH139" i="234"/>
  <c r="AG139" i="234"/>
  <c r="AF139" i="234"/>
  <c r="AE139" i="234"/>
  <c r="AD139" i="234"/>
  <c r="AC139" i="234"/>
  <c r="AB139" i="234"/>
  <c r="AA139" i="234"/>
  <c r="Z139" i="234"/>
  <c r="Y139" i="234"/>
  <c r="X139" i="234"/>
  <c r="W139" i="234"/>
  <c r="V139" i="234"/>
  <c r="U139" i="234"/>
  <c r="T139" i="234"/>
  <c r="S139" i="234"/>
  <c r="R139" i="234"/>
  <c r="Q139" i="234"/>
  <c r="P139" i="234"/>
  <c r="O139" i="234"/>
  <c r="N139" i="234"/>
  <c r="M139" i="234"/>
  <c r="L139" i="234"/>
  <c r="K139" i="234"/>
  <c r="J139" i="234"/>
  <c r="I139" i="234"/>
  <c r="H139" i="234"/>
  <c r="G139" i="234"/>
  <c r="AP137" i="234"/>
  <c r="AO137" i="234"/>
  <c r="AN137" i="234"/>
  <c r="AK137" i="234"/>
  <c r="AJ137" i="234"/>
  <c r="AI137" i="234"/>
  <c r="AH137" i="234"/>
  <c r="AG137" i="234"/>
  <c r="AF137" i="234"/>
  <c r="AE137" i="234"/>
  <c r="AD137" i="234"/>
  <c r="AC137" i="234"/>
  <c r="AB137" i="234"/>
  <c r="AA137" i="234"/>
  <c r="Z137" i="234"/>
  <c r="Y137" i="234"/>
  <c r="X137" i="234"/>
  <c r="W137" i="234"/>
  <c r="V137" i="234"/>
  <c r="U137" i="234"/>
  <c r="T137" i="234"/>
  <c r="S137" i="234"/>
  <c r="R137" i="234"/>
  <c r="Q137" i="234"/>
  <c r="P137" i="234"/>
  <c r="O137" i="234"/>
  <c r="N137" i="234"/>
  <c r="M137" i="234"/>
  <c r="L137" i="234"/>
  <c r="K137" i="234"/>
  <c r="J137" i="234"/>
  <c r="I137" i="234"/>
  <c r="H137" i="234"/>
  <c r="G137" i="234"/>
  <c r="AP135" i="234"/>
  <c r="AO135" i="234"/>
  <c r="AN135" i="234"/>
  <c r="AK135" i="234"/>
  <c r="AJ135" i="234"/>
  <c r="AI135" i="234"/>
  <c r="AH135" i="234"/>
  <c r="AG135" i="234"/>
  <c r="AF135" i="234"/>
  <c r="AE135" i="234"/>
  <c r="AD135" i="234"/>
  <c r="AC135" i="234"/>
  <c r="AB135" i="234"/>
  <c r="AA135" i="234"/>
  <c r="Z135" i="234"/>
  <c r="Y135" i="234"/>
  <c r="X135" i="234"/>
  <c r="W135" i="234"/>
  <c r="V135" i="234"/>
  <c r="U135" i="234"/>
  <c r="T135" i="234"/>
  <c r="S135" i="234"/>
  <c r="R135" i="234"/>
  <c r="Q135" i="234"/>
  <c r="P135" i="234"/>
  <c r="O135" i="234"/>
  <c r="N135" i="234"/>
  <c r="M135" i="234"/>
  <c r="L135" i="234"/>
  <c r="K135" i="234"/>
  <c r="J135" i="234"/>
  <c r="I135" i="234"/>
  <c r="H135" i="234"/>
  <c r="G135" i="234"/>
  <c r="AP133" i="234"/>
  <c r="AO133" i="234"/>
  <c r="AN133" i="234"/>
  <c r="AK133" i="234"/>
  <c r="AJ133" i="234"/>
  <c r="AI133" i="234"/>
  <c r="AH133" i="234"/>
  <c r="AG133" i="234"/>
  <c r="AF133" i="234"/>
  <c r="AE133" i="234"/>
  <c r="AD133" i="234"/>
  <c r="AC133" i="234"/>
  <c r="AB133" i="234"/>
  <c r="AA133" i="234"/>
  <c r="Z133" i="234"/>
  <c r="Y133" i="234"/>
  <c r="X133" i="234"/>
  <c r="W133" i="234"/>
  <c r="V133" i="234"/>
  <c r="U133" i="234"/>
  <c r="T133" i="234"/>
  <c r="S133" i="234"/>
  <c r="R133" i="234"/>
  <c r="Q133" i="234"/>
  <c r="P133" i="234"/>
  <c r="O133" i="234"/>
  <c r="N133" i="234"/>
  <c r="AL133" i="234" s="1"/>
  <c r="M133" i="234"/>
  <c r="L133" i="234"/>
  <c r="K133" i="234"/>
  <c r="J133" i="234"/>
  <c r="I133" i="234"/>
  <c r="H133" i="234"/>
  <c r="G133" i="234"/>
  <c r="AL132" i="234"/>
  <c r="AP131" i="234"/>
  <c r="AO131" i="234"/>
  <c r="AN131" i="234"/>
  <c r="AK131" i="234"/>
  <c r="AJ131" i="234"/>
  <c r="AI131" i="234"/>
  <c r="AH131" i="234"/>
  <c r="AG131" i="234"/>
  <c r="AF131" i="234"/>
  <c r="AE131" i="234"/>
  <c r="AD131" i="234"/>
  <c r="AC131" i="234"/>
  <c r="AB131" i="234"/>
  <c r="AA131" i="234"/>
  <c r="Z131" i="234"/>
  <c r="Y131" i="234"/>
  <c r="X131" i="234"/>
  <c r="W131" i="234"/>
  <c r="V131" i="234"/>
  <c r="U131" i="234"/>
  <c r="T131" i="234"/>
  <c r="S131" i="234"/>
  <c r="R131" i="234"/>
  <c r="Q131" i="234"/>
  <c r="P131" i="234"/>
  <c r="O131" i="234"/>
  <c r="N131" i="234"/>
  <c r="M131" i="234"/>
  <c r="L131" i="234"/>
  <c r="K131" i="234"/>
  <c r="J131" i="234"/>
  <c r="I131" i="234"/>
  <c r="H131" i="234"/>
  <c r="G131" i="234"/>
  <c r="AL131" i="234" s="1"/>
  <c r="AP129" i="234"/>
  <c r="AO129" i="234"/>
  <c r="AN129" i="234"/>
  <c r="AK129" i="234"/>
  <c r="AJ129" i="234"/>
  <c r="AI129" i="234"/>
  <c r="AH129" i="234"/>
  <c r="AG129" i="234"/>
  <c r="AF129" i="234"/>
  <c r="AE129" i="234"/>
  <c r="AD129" i="234"/>
  <c r="AC129" i="234"/>
  <c r="AB129" i="234"/>
  <c r="AA129" i="234"/>
  <c r="Z129" i="234"/>
  <c r="Y129" i="234"/>
  <c r="X129" i="234"/>
  <c r="W129" i="234"/>
  <c r="V129" i="234"/>
  <c r="U129" i="234"/>
  <c r="T129" i="234"/>
  <c r="S129" i="234"/>
  <c r="R129" i="234"/>
  <c r="Q129" i="234"/>
  <c r="P129" i="234"/>
  <c r="O129" i="234"/>
  <c r="N129" i="234"/>
  <c r="M129" i="234"/>
  <c r="L129" i="234"/>
  <c r="K129" i="234"/>
  <c r="J129" i="234"/>
  <c r="I129" i="234"/>
  <c r="H129" i="234"/>
  <c r="G129" i="234"/>
  <c r="AP127" i="234"/>
  <c r="AO127" i="234"/>
  <c r="AN127" i="234"/>
  <c r="AK127" i="234"/>
  <c r="AJ127" i="234"/>
  <c r="AI127" i="234"/>
  <c r="AH127" i="234"/>
  <c r="AG127" i="234"/>
  <c r="AF127" i="234"/>
  <c r="AE127" i="234"/>
  <c r="AD127" i="234"/>
  <c r="AC127" i="234"/>
  <c r="AB127" i="234"/>
  <c r="AA127" i="234"/>
  <c r="Z127" i="234"/>
  <c r="Y127" i="234"/>
  <c r="X127" i="234"/>
  <c r="W127" i="234"/>
  <c r="V127" i="234"/>
  <c r="U127" i="234"/>
  <c r="T127" i="234"/>
  <c r="S127" i="234"/>
  <c r="R127" i="234"/>
  <c r="Q127" i="234"/>
  <c r="P127" i="234"/>
  <c r="O127" i="234"/>
  <c r="N127" i="234"/>
  <c r="M127" i="234"/>
  <c r="L127" i="234"/>
  <c r="K127" i="234"/>
  <c r="J127" i="234"/>
  <c r="I127" i="234"/>
  <c r="H127" i="234"/>
  <c r="G127" i="234"/>
  <c r="AP125" i="234"/>
  <c r="AO125" i="234"/>
  <c r="AN125" i="234"/>
  <c r="AK125" i="234"/>
  <c r="AJ125" i="234"/>
  <c r="AI125" i="234"/>
  <c r="AH125" i="234"/>
  <c r="AG125" i="234"/>
  <c r="AF125" i="234"/>
  <c r="AE125" i="234"/>
  <c r="AD125" i="234"/>
  <c r="AC125" i="234"/>
  <c r="AB125" i="234"/>
  <c r="AA125" i="234"/>
  <c r="Z125" i="234"/>
  <c r="Y125" i="234"/>
  <c r="X125" i="234"/>
  <c r="W125" i="234"/>
  <c r="V125" i="234"/>
  <c r="U125" i="234"/>
  <c r="T125" i="234"/>
  <c r="S125" i="234"/>
  <c r="R125" i="234"/>
  <c r="Q125" i="234"/>
  <c r="P125" i="234"/>
  <c r="O125" i="234"/>
  <c r="N125" i="234"/>
  <c r="AL125" i="234" s="1"/>
  <c r="M125" i="234"/>
  <c r="L125" i="234"/>
  <c r="K125" i="234"/>
  <c r="J125" i="234"/>
  <c r="I125" i="234"/>
  <c r="H125" i="234"/>
  <c r="G125" i="234"/>
  <c r="AL124" i="234"/>
  <c r="AP123" i="234"/>
  <c r="AO123" i="234"/>
  <c r="AN123" i="234"/>
  <c r="AK123" i="234"/>
  <c r="AJ123" i="234"/>
  <c r="AI123" i="234"/>
  <c r="AH123" i="234"/>
  <c r="AG123" i="234"/>
  <c r="AF123" i="234"/>
  <c r="AE123" i="234"/>
  <c r="AD123" i="234"/>
  <c r="AC123" i="234"/>
  <c r="AB123" i="234"/>
  <c r="AA123" i="234"/>
  <c r="Z123" i="234"/>
  <c r="Y123" i="234"/>
  <c r="X123" i="234"/>
  <c r="W123" i="234"/>
  <c r="V123" i="234"/>
  <c r="U123" i="234"/>
  <c r="T123" i="234"/>
  <c r="S123" i="234"/>
  <c r="R123" i="234"/>
  <c r="Q123" i="234"/>
  <c r="P123" i="234"/>
  <c r="O123" i="234"/>
  <c r="N123" i="234"/>
  <c r="M123" i="234"/>
  <c r="L123" i="234"/>
  <c r="K123" i="234"/>
  <c r="J123" i="234"/>
  <c r="I123" i="234"/>
  <c r="H123" i="234"/>
  <c r="G123" i="234"/>
  <c r="AP121" i="234"/>
  <c r="AO121" i="234"/>
  <c r="AN121" i="234"/>
  <c r="AK121" i="234"/>
  <c r="AJ121" i="234"/>
  <c r="AI121" i="234"/>
  <c r="AH121" i="234"/>
  <c r="AG121" i="234"/>
  <c r="AF121" i="234"/>
  <c r="AE121" i="234"/>
  <c r="AD121" i="234"/>
  <c r="AC121" i="234"/>
  <c r="AB121" i="234"/>
  <c r="AA121" i="234"/>
  <c r="Z121" i="234"/>
  <c r="Y121" i="234"/>
  <c r="X121" i="234"/>
  <c r="W121" i="234"/>
  <c r="V121" i="234"/>
  <c r="U121" i="234"/>
  <c r="T121" i="234"/>
  <c r="S121" i="234"/>
  <c r="R121" i="234"/>
  <c r="Q121" i="234"/>
  <c r="P121" i="234"/>
  <c r="O121" i="234"/>
  <c r="N121" i="234"/>
  <c r="M121" i="234"/>
  <c r="L121" i="234"/>
  <c r="K121" i="234"/>
  <c r="J121" i="234"/>
  <c r="I121" i="234"/>
  <c r="H121" i="234"/>
  <c r="G121" i="234"/>
  <c r="AP119" i="234"/>
  <c r="AO119" i="234"/>
  <c r="AN119" i="234"/>
  <c r="AK119" i="234"/>
  <c r="AJ119" i="234"/>
  <c r="AI119" i="234"/>
  <c r="AH119" i="234"/>
  <c r="AG119" i="234"/>
  <c r="AF119" i="234"/>
  <c r="AE119" i="234"/>
  <c r="AD119" i="234"/>
  <c r="AC119" i="234"/>
  <c r="AB119" i="234"/>
  <c r="AA119" i="234"/>
  <c r="Z119" i="234"/>
  <c r="Y119" i="234"/>
  <c r="X119" i="234"/>
  <c r="W119" i="234"/>
  <c r="V119" i="234"/>
  <c r="U119" i="234"/>
  <c r="T119" i="234"/>
  <c r="S119" i="234"/>
  <c r="R119" i="234"/>
  <c r="Q119" i="234"/>
  <c r="P119" i="234"/>
  <c r="O119" i="234"/>
  <c r="N119" i="234"/>
  <c r="M119" i="234"/>
  <c r="L119" i="234"/>
  <c r="K119" i="234"/>
  <c r="J119" i="234"/>
  <c r="I119" i="234"/>
  <c r="H119" i="234"/>
  <c r="G119" i="234"/>
  <c r="AP117" i="234"/>
  <c r="AO117" i="234"/>
  <c r="AN117" i="234"/>
  <c r="AK117" i="234"/>
  <c r="AJ117" i="234"/>
  <c r="AI117" i="234"/>
  <c r="AH117" i="234"/>
  <c r="AG117" i="234"/>
  <c r="AF117" i="234"/>
  <c r="AE117" i="234"/>
  <c r="AD117" i="234"/>
  <c r="AC117" i="234"/>
  <c r="AB117" i="234"/>
  <c r="AA117" i="234"/>
  <c r="Z117" i="234"/>
  <c r="Y117" i="234"/>
  <c r="X117" i="234"/>
  <c r="W117" i="234"/>
  <c r="V117" i="234"/>
  <c r="U117" i="234"/>
  <c r="T117" i="234"/>
  <c r="S117" i="234"/>
  <c r="R117" i="234"/>
  <c r="Q117" i="234"/>
  <c r="P117" i="234"/>
  <c r="O117" i="234"/>
  <c r="N117" i="234"/>
  <c r="M117" i="234"/>
  <c r="L117" i="234"/>
  <c r="K117" i="234"/>
  <c r="J117" i="234"/>
  <c r="I117" i="234"/>
  <c r="H117" i="234"/>
  <c r="G117" i="234"/>
  <c r="AL117" i="234" s="1"/>
  <c r="AP115" i="234"/>
  <c r="AO115" i="234"/>
  <c r="AN115" i="234"/>
  <c r="AK115" i="234"/>
  <c r="AJ115" i="234"/>
  <c r="AI115" i="234"/>
  <c r="AH115" i="234"/>
  <c r="AG115" i="234"/>
  <c r="AF115" i="234"/>
  <c r="AE115" i="234"/>
  <c r="AD115" i="234"/>
  <c r="AC115" i="234"/>
  <c r="AB115" i="234"/>
  <c r="AA115" i="234"/>
  <c r="Z115" i="234"/>
  <c r="Y115" i="234"/>
  <c r="X115" i="234"/>
  <c r="W115" i="234"/>
  <c r="V115" i="234"/>
  <c r="U115" i="234"/>
  <c r="T115" i="234"/>
  <c r="S115" i="234"/>
  <c r="R115" i="234"/>
  <c r="Q115" i="234"/>
  <c r="P115" i="234"/>
  <c r="O115" i="234"/>
  <c r="N115" i="234"/>
  <c r="AL115" i="234" s="1"/>
  <c r="M115" i="234"/>
  <c r="L115" i="234"/>
  <c r="K115" i="234"/>
  <c r="J115" i="234"/>
  <c r="I115" i="234"/>
  <c r="H115" i="234"/>
  <c r="G115" i="234"/>
  <c r="AL114" i="234"/>
  <c r="AP113" i="234"/>
  <c r="AO113" i="234"/>
  <c r="AN113" i="234"/>
  <c r="AK113" i="234"/>
  <c r="AJ113" i="234"/>
  <c r="AI113" i="234"/>
  <c r="AH113" i="234"/>
  <c r="AG113" i="234"/>
  <c r="AF113" i="234"/>
  <c r="AE113" i="234"/>
  <c r="AD113" i="234"/>
  <c r="AC113" i="234"/>
  <c r="AB113" i="234"/>
  <c r="AA113" i="234"/>
  <c r="Z113" i="234"/>
  <c r="Y113" i="234"/>
  <c r="X113" i="234"/>
  <c r="W113" i="234"/>
  <c r="V113" i="234"/>
  <c r="U113" i="234"/>
  <c r="T113" i="234"/>
  <c r="S113" i="234"/>
  <c r="R113" i="234"/>
  <c r="Q113" i="234"/>
  <c r="P113" i="234"/>
  <c r="O113" i="234"/>
  <c r="N113" i="234"/>
  <c r="M113" i="234"/>
  <c r="L113" i="234"/>
  <c r="K113" i="234"/>
  <c r="J113" i="234"/>
  <c r="I113" i="234"/>
  <c r="H113" i="234"/>
  <c r="G113" i="234"/>
  <c r="AP111" i="234"/>
  <c r="AO111" i="234"/>
  <c r="AN111" i="234"/>
  <c r="AK111" i="234"/>
  <c r="AJ111" i="234"/>
  <c r="AI111" i="234"/>
  <c r="AH111" i="234"/>
  <c r="AG111" i="234"/>
  <c r="AF111" i="234"/>
  <c r="AE111" i="234"/>
  <c r="AD111" i="234"/>
  <c r="AC111" i="234"/>
  <c r="AB111" i="234"/>
  <c r="AA111" i="234"/>
  <c r="Z111" i="234"/>
  <c r="Y111" i="234"/>
  <c r="X111" i="234"/>
  <c r="W111" i="234"/>
  <c r="V111" i="234"/>
  <c r="U111" i="234"/>
  <c r="T111" i="234"/>
  <c r="S111" i="234"/>
  <c r="R111" i="234"/>
  <c r="Q111" i="234"/>
  <c r="P111" i="234"/>
  <c r="O111" i="234"/>
  <c r="N111" i="234"/>
  <c r="M111" i="234"/>
  <c r="L111" i="234"/>
  <c r="K111" i="234"/>
  <c r="J111" i="234"/>
  <c r="I111" i="234"/>
  <c r="H111" i="234"/>
  <c r="G111" i="234"/>
  <c r="AP109" i="234"/>
  <c r="AO109" i="234"/>
  <c r="AN109" i="234"/>
  <c r="AK109" i="234"/>
  <c r="AJ109" i="234"/>
  <c r="AI109" i="234"/>
  <c r="AH109" i="234"/>
  <c r="AG109" i="234"/>
  <c r="AF109" i="234"/>
  <c r="AE109" i="234"/>
  <c r="AD109" i="234"/>
  <c r="AC109" i="234"/>
  <c r="AB109" i="234"/>
  <c r="AA109" i="234"/>
  <c r="Z109" i="234"/>
  <c r="Y109" i="234"/>
  <c r="X109" i="234"/>
  <c r="W109" i="234"/>
  <c r="V109" i="234"/>
  <c r="U109" i="234"/>
  <c r="T109" i="234"/>
  <c r="S109" i="234"/>
  <c r="R109" i="234"/>
  <c r="Q109" i="234"/>
  <c r="P109" i="234"/>
  <c r="O109" i="234"/>
  <c r="N109" i="234"/>
  <c r="M109" i="234"/>
  <c r="L109" i="234"/>
  <c r="K109" i="234"/>
  <c r="J109" i="234"/>
  <c r="I109" i="234"/>
  <c r="H109" i="234"/>
  <c r="G109" i="234"/>
  <c r="AP107" i="234"/>
  <c r="AO107" i="234"/>
  <c r="AN107" i="234"/>
  <c r="AK107" i="234"/>
  <c r="AJ107" i="234"/>
  <c r="AI107" i="234"/>
  <c r="AH107" i="234"/>
  <c r="AG107" i="234"/>
  <c r="AF107" i="234"/>
  <c r="AE107" i="234"/>
  <c r="AD107" i="234"/>
  <c r="AC107" i="234"/>
  <c r="AB107" i="234"/>
  <c r="AA107" i="234"/>
  <c r="Z107" i="234"/>
  <c r="Y107" i="234"/>
  <c r="X107" i="234"/>
  <c r="W107" i="234"/>
  <c r="V107" i="234"/>
  <c r="U107" i="234"/>
  <c r="T107" i="234"/>
  <c r="S107" i="234"/>
  <c r="R107" i="234"/>
  <c r="Q107" i="234"/>
  <c r="P107" i="234"/>
  <c r="O107" i="234"/>
  <c r="N107" i="234"/>
  <c r="M107" i="234"/>
  <c r="L107" i="234"/>
  <c r="K107" i="234"/>
  <c r="J107" i="234"/>
  <c r="I107" i="234"/>
  <c r="H107" i="234"/>
  <c r="G107" i="234"/>
  <c r="AP105" i="234"/>
  <c r="AO105" i="234"/>
  <c r="AN105" i="234"/>
  <c r="AK105" i="234"/>
  <c r="AJ105" i="234"/>
  <c r="AI105" i="234"/>
  <c r="AH105" i="234"/>
  <c r="AG105" i="234"/>
  <c r="AF105" i="234"/>
  <c r="AE105" i="234"/>
  <c r="AD105" i="234"/>
  <c r="AC105" i="234"/>
  <c r="AB105" i="234"/>
  <c r="AA105" i="234"/>
  <c r="Z105" i="234"/>
  <c r="Y105" i="234"/>
  <c r="X105" i="234"/>
  <c r="W105" i="234"/>
  <c r="V105" i="234"/>
  <c r="U105" i="234"/>
  <c r="T105" i="234"/>
  <c r="S105" i="234"/>
  <c r="R105" i="234"/>
  <c r="Q105" i="234"/>
  <c r="P105" i="234"/>
  <c r="O105" i="234"/>
  <c r="N105" i="234"/>
  <c r="M105" i="234"/>
  <c r="L105" i="234"/>
  <c r="K105" i="234"/>
  <c r="J105" i="234"/>
  <c r="I105" i="234"/>
  <c r="H105" i="234"/>
  <c r="G105" i="234"/>
  <c r="AP103" i="234"/>
  <c r="AO103" i="234"/>
  <c r="AN103" i="234"/>
  <c r="AK103" i="234"/>
  <c r="AJ103" i="234"/>
  <c r="AI103" i="234"/>
  <c r="AH103" i="234"/>
  <c r="AG103" i="234"/>
  <c r="AF103" i="234"/>
  <c r="AE103" i="234"/>
  <c r="AD103" i="234"/>
  <c r="AC103" i="234"/>
  <c r="AB103" i="234"/>
  <c r="AA103" i="234"/>
  <c r="Z103" i="234"/>
  <c r="Y103" i="234"/>
  <c r="X103" i="234"/>
  <c r="W103" i="234"/>
  <c r="V103" i="234"/>
  <c r="U103" i="234"/>
  <c r="T103" i="234"/>
  <c r="S103" i="234"/>
  <c r="R103" i="234"/>
  <c r="Q103" i="234"/>
  <c r="P103" i="234"/>
  <c r="O103" i="234"/>
  <c r="N103" i="234"/>
  <c r="M103" i="234"/>
  <c r="L103" i="234"/>
  <c r="K103" i="234"/>
  <c r="J103" i="234"/>
  <c r="I103" i="234"/>
  <c r="H103" i="234"/>
  <c r="G103" i="234"/>
  <c r="AP101" i="234"/>
  <c r="AO101" i="234"/>
  <c r="AN101" i="234"/>
  <c r="AK101" i="234"/>
  <c r="AJ101" i="234"/>
  <c r="AI101" i="234"/>
  <c r="AH101" i="234"/>
  <c r="AG101" i="234"/>
  <c r="AF101" i="234"/>
  <c r="AE101" i="234"/>
  <c r="AD101" i="234"/>
  <c r="AC101" i="234"/>
  <c r="AB101" i="234"/>
  <c r="AA101" i="234"/>
  <c r="Z101" i="234"/>
  <c r="Y101" i="234"/>
  <c r="X101" i="234"/>
  <c r="W101" i="234"/>
  <c r="V101" i="234"/>
  <c r="U101" i="234"/>
  <c r="T101" i="234"/>
  <c r="S101" i="234"/>
  <c r="R101" i="234"/>
  <c r="Q101" i="234"/>
  <c r="P101" i="234"/>
  <c r="O101" i="234"/>
  <c r="N101" i="234"/>
  <c r="M101" i="234"/>
  <c r="L101" i="234"/>
  <c r="K101" i="234"/>
  <c r="J101" i="234"/>
  <c r="I101" i="234"/>
  <c r="H101" i="234"/>
  <c r="G101" i="234"/>
  <c r="AP99" i="234"/>
  <c r="AO99" i="234"/>
  <c r="AN99" i="234"/>
  <c r="AK99" i="234"/>
  <c r="AJ99" i="234"/>
  <c r="AI99" i="234"/>
  <c r="AH99" i="234"/>
  <c r="AG99" i="234"/>
  <c r="AF99" i="234"/>
  <c r="AE99" i="234"/>
  <c r="AD99" i="234"/>
  <c r="AC99" i="234"/>
  <c r="AB99" i="234"/>
  <c r="AA99" i="234"/>
  <c r="Z99" i="234"/>
  <c r="Y99" i="234"/>
  <c r="X99" i="234"/>
  <c r="W99" i="234"/>
  <c r="V99" i="234"/>
  <c r="U99" i="234"/>
  <c r="T99" i="234"/>
  <c r="S99" i="234"/>
  <c r="R99" i="234"/>
  <c r="Q99" i="234"/>
  <c r="P99" i="234"/>
  <c r="O99" i="234"/>
  <c r="N99" i="234"/>
  <c r="M99" i="234"/>
  <c r="L99" i="234"/>
  <c r="K99" i="234"/>
  <c r="J99" i="234"/>
  <c r="I99" i="234"/>
  <c r="H99" i="234"/>
  <c r="G99" i="234"/>
  <c r="AP97" i="234"/>
  <c r="AO97" i="234"/>
  <c r="AN97" i="234"/>
  <c r="AK97" i="234"/>
  <c r="AJ97" i="234"/>
  <c r="AI97" i="234"/>
  <c r="AH97" i="234"/>
  <c r="AG97" i="234"/>
  <c r="AF97" i="234"/>
  <c r="AE97" i="234"/>
  <c r="AD97" i="234"/>
  <c r="AC97" i="234"/>
  <c r="AB97" i="234"/>
  <c r="AA97" i="234"/>
  <c r="Z97" i="234"/>
  <c r="Y97" i="234"/>
  <c r="X97" i="234"/>
  <c r="W97" i="234"/>
  <c r="V97" i="234"/>
  <c r="U97" i="234"/>
  <c r="T97" i="234"/>
  <c r="S97" i="234"/>
  <c r="R97" i="234"/>
  <c r="Q97" i="234"/>
  <c r="P97" i="234"/>
  <c r="O97" i="234"/>
  <c r="N97" i="234"/>
  <c r="AL97" i="234" s="1"/>
  <c r="M97" i="234"/>
  <c r="L97" i="234"/>
  <c r="K97" i="234"/>
  <c r="J97" i="234"/>
  <c r="I97" i="234"/>
  <c r="H97" i="234"/>
  <c r="G97" i="234"/>
  <c r="AL96" i="234"/>
  <c r="AP95" i="234"/>
  <c r="AO95" i="234"/>
  <c r="AN95" i="234"/>
  <c r="AK95" i="234"/>
  <c r="AJ95" i="234"/>
  <c r="AI95" i="234"/>
  <c r="AH95" i="234"/>
  <c r="AG95" i="234"/>
  <c r="AF95" i="234"/>
  <c r="AE95" i="234"/>
  <c r="AD95" i="234"/>
  <c r="AC95" i="234"/>
  <c r="AB95" i="234"/>
  <c r="AA95" i="234"/>
  <c r="Z95" i="234"/>
  <c r="Y95" i="234"/>
  <c r="X95" i="234"/>
  <c r="W95" i="234"/>
  <c r="V95" i="234"/>
  <c r="U95" i="234"/>
  <c r="T95" i="234"/>
  <c r="S95" i="234"/>
  <c r="R95" i="234"/>
  <c r="Q95" i="234"/>
  <c r="P95" i="234"/>
  <c r="O95" i="234"/>
  <c r="N95" i="234"/>
  <c r="M95" i="234"/>
  <c r="L95" i="234"/>
  <c r="K95" i="234"/>
  <c r="J95" i="234"/>
  <c r="I95" i="234"/>
  <c r="H95" i="234"/>
  <c r="G95" i="234"/>
  <c r="AP93" i="234"/>
  <c r="AO93" i="234"/>
  <c r="AN93" i="234"/>
  <c r="AK93" i="234"/>
  <c r="AJ93" i="234"/>
  <c r="AI93" i="234"/>
  <c r="AH93" i="234"/>
  <c r="AG93" i="234"/>
  <c r="AF93" i="234"/>
  <c r="AE93" i="234"/>
  <c r="AD93" i="234"/>
  <c r="AC93" i="234"/>
  <c r="AB93" i="234"/>
  <c r="AA93" i="234"/>
  <c r="Z93" i="234"/>
  <c r="Y93" i="234"/>
  <c r="X93" i="234"/>
  <c r="W93" i="234"/>
  <c r="V93" i="234"/>
  <c r="U93" i="234"/>
  <c r="T93" i="234"/>
  <c r="S93" i="234"/>
  <c r="R93" i="234"/>
  <c r="Q93" i="234"/>
  <c r="P93" i="234"/>
  <c r="O93" i="234"/>
  <c r="N93" i="234"/>
  <c r="M93" i="234"/>
  <c r="L93" i="234"/>
  <c r="K93" i="234"/>
  <c r="J93" i="234"/>
  <c r="I93" i="234"/>
  <c r="H93" i="234"/>
  <c r="G93" i="234"/>
  <c r="AP91" i="234"/>
  <c r="AO91" i="234"/>
  <c r="AN91" i="234"/>
  <c r="AK91" i="234"/>
  <c r="AJ91" i="234"/>
  <c r="AI91" i="234"/>
  <c r="AH91" i="234"/>
  <c r="AG91" i="234"/>
  <c r="AF91" i="234"/>
  <c r="AE91" i="234"/>
  <c r="AD91" i="234"/>
  <c r="AC91" i="234"/>
  <c r="AB91" i="234"/>
  <c r="AA91" i="234"/>
  <c r="Z91" i="234"/>
  <c r="Y91" i="234"/>
  <c r="X91" i="234"/>
  <c r="W91" i="234"/>
  <c r="V91" i="234"/>
  <c r="U91" i="234"/>
  <c r="T91" i="234"/>
  <c r="S91" i="234"/>
  <c r="R91" i="234"/>
  <c r="Q91" i="234"/>
  <c r="P91" i="234"/>
  <c r="O91" i="234"/>
  <c r="N91" i="234"/>
  <c r="M91" i="234"/>
  <c r="L91" i="234"/>
  <c r="K91" i="234"/>
  <c r="J91" i="234"/>
  <c r="I91" i="234"/>
  <c r="H91" i="234"/>
  <c r="G91" i="234"/>
  <c r="AP89" i="234"/>
  <c r="AO89" i="234"/>
  <c r="AN89" i="234"/>
  <c r="AK89" i="234"/>
  <c r="AJ89" i="234"/>
  <c r="AI89" i="234"/>
  <c r="AH89" i="234"/>
  <c r="AG89" i="234"/>
  <c r="AF89" i="234"/>
  <c r="AE89" i="234"/>
  <c r="AD89" i="234"/>
  <c r="AC89" i="234"/>
  <c r="AB89" i="234"/>
  <c r="AA89" i="234"/>
  <c r="Z89" i="234"/>
  <c r="Y89" i="234"/>
  <c r="X89" i="234"/>
  <c r="W89" i="234"/>
  <c r="V89" i="234"/>
  <c r="U89" i="234"/>
  <c r="T89" i="234"/>
  <c r="S89" i="234"/>
  <c r="R89" i="234"/>
  <c r="Q89" i="234"/>
  <c r="P89" i="234"/>
  <c r="O89" i="234"/>
  <c r="N89" i="234"/>
  <c r="M89" i="234"/>
  <c r="L89" i="234"/>
  <c r="K89" i="234"/>
  <c r="J89" i="234"/>
  <c r="I89" i="234"/>
  <c r="H89" i="234"/>
  <c r="G89" i="234"/>
  <c r="AP87" i="234"/>
  <c r="AO87" i="234"/>
  <c r="AN87" i="234"/>
  <c r="AK87" i="234"/>
  <c r="AJ87" i="234"/>
  <c r="AI87" i="234"/>
  <c r="AH87" i="234"/>
  <c r="AG87" i="234"/>
  <c r="AF87" i="234"/>
  <c r="AE87" i="234"/>
  <c r="AD87" i="234"/>
  <c r="AC87" i="234"/>
  <c r="AB87" i="234"/>
  <c r="AA87" i="234"/>
  <c r="Z87" i="234"/>
  <c r="Y87" i="234"/>
  <c r="X87" i="234"/>
  <c r="W87" i="234"/>
  <c r="V87" i="234"/>
  <c r="U87" i="234"/>
  <c r="T87" i="234"/>
  <c r="S87" i="234"/>
  <c r="R87" i="234"/>
  <c r="Q87" i="234"/>
  <c r="P87" i="234"/>
  <c r="O87" i="234"/>
  <c r="N87" i="234"/>
  <c r="M87" i="234"/>
  <c r="L87" i="234"/>
  <c r="K87" i="234"/>
  <c r="J87" i="234"/>
  <c r="I87" i="234"/>
  <c r="H87" i="234"/>
  <c r="G87" i="234"/>
  <c r="AL87" i="234" s="1"/>
  <c r="AP85" i="234"/>
  <c r="AO85" i="234"/>
  <c r="AN85" i="234"/>
  <c r="AK85" i="234"/>
  <c r="AJ85" i="234"/>
  <c r="AI85" i="234"/>
  <c r="AH85" i="234"/>
  <c r="AG85" i="234"/>
  <c r="AF85" i="234"/>
  <c r="AE85" i="234"/>
  <c r="AD85" i="234"/>
  <c r="AC85" i="234"/>
  <c r="AB85" i="234"/>
  <c r="AA85" i="234"/>
  <c r="Z85" i="234"/>
  <c r="Y85" i="234"/>
  <c r="X85" i="234"/>
  <c r="W85" i="234"/>
  <c r="V85" i="234"/>
  <c r="U85" i="234"/>
  <c r="T85" i="234"/>
  <c r="S85" i="234"/>
  <c r="R85" i="234"/>
  <c r="Q85" i="234"/>
  <c r="P85" i="234"/>
  <c r="O85" i="234"/>
  <c r="N85" i="234"/>
  <c r="M85" i="234"/>
  <c r="L85" i="234"/>
  <c r="K85" i="234"/>
  <c r="J85" i="234"/>
  <c r="I85" i="234"/>
  <c r="H85" i="234"/>
  <c r="G85" i="234"/>
  <c r="AP83" i="234"/>
  <c r="AO83" i="234"/>
  <c r="AN83" i="234"/>
  <c r="AK83" i="234"/>
  <c r="AJ83" i="234"/>
  <c r="AI83" i="234"/>
  <c r="AH83" i="234"/>
  <c r="AG83" i="234"/>
  <c r="AF83" i="234"/>
  <c r="AE83" i="234"/>
  <c r="AD83" i="234"/>
  <c r="AC83" i="234"/>
  <c r="AB83" i="234"/>
  <c r="AA83" i="234"/>
  <c r="Z83" i="234"/>
  <c r="Y83" i="234"/>
  <c r="X83" i="234"/>
  <c r="W83" i="234"/>
  <c r="V83" i="234"/>
  <c r="U83" i="234"/>
  <c r="T83" i="234"/>
  <c r="S83" i="234"/>
  <c r="R83" i="234"/>
  <c r="Q83" i="234"/>
  <c r="P83" i="234"/>
  <c r="O83" i="234"/>
  <c r="N83" i="234"/>
  <c r="M83" i="234"/>
  <c r="L83" i="234"/>
  <c r="K83" i="234"/>
  <c r="J83" i="234"/>
  <c r="I83" i="234"/>
  <c r="H83" i="234"/>
  <c r="G83" i="234"/>
  <c r="AP81" i="234"/>
  <c r="AO81" i="234"/>
  <c r="AN81" i="234"/>
  <c r="AK81" i="234"/>
  <c r="AJ81" i="234"/>
  <c r="AI81" i="234"/>
  <c r="AH81" i="234"/>
  <c r="AG81" i="234"/>
  <c r="AF81" i="234"/>
  <c r="AE81" i="234"/>
  <c r="AD81" i="234"/>
  <c r="AC81" i="234"/>
  <c r="AB81" i="234"/>
  <c r="AA81" i="234"/>
  <c r="Z81" i="234"/>
  <c r="Y81" i="234"/>
  <c r="X81" i="234"/>
  <c r="W81" i="234"/>
  <c r="V81" i="234"/>
  <c r="U81" i="234"/>
  <c r="T81" i="234"/>
  <c r="S81" i="234"/>
  <c r="R81" i="234"/>
  <c r="Q81" i="234"/>
  <c r="P81" i="234"/>
  <c r="O81" i="234"/>
  <c r="N81" i="234"/>
  <c r="AL81" i="234" s="1"/>
  <c r="M81" i="234"/>
  <c r="L81" i="234"/>
  <c r="K81" i="234"/>
  <c r="J81" i="234"/>
  <c r="I81" i="234"/>
  <c r="H81" i="234"/>
  <c r="G81" i="234"/>
  <c r="AL80" i="234"/>
  <c r="AP79" i="234"/>
  <c r="AO79" i="234"/>
  <c r="AN79" i="234"/>
  <c r="AK79" i="234"/>
  <c r="AJ79" i="234"/>
  <c r="AI79" i="234"/>
  <c r="AH79" i="234"/>
  <c r="AG79" i="234"/>
  <c r="AF79" i="234"/>
  <c r="AE79" i="234"/>
  <c r="AD79" i="234"/>
  <c r="AC79" i="234"/>
  <c r="AB79" i="234"/>
  <c r="AA79" i="234"/>
  <c r="Z79" i="234"/>
  <c r="Y79" i="234"/>
  <c r="X79" i="234"/>
  <c r="W79" i="234"/>
  <c r="V79" i="234"/>
  <c r="U79" i="234"/>
  <c r="T79" i="234"/>
  <c r="S79" i="234"/>
  <c r="R79" i="234"/>
  <c r="Q79" i="234"/>
  <c r="P79" i="234"/>
  <c r="O79" i="234"/>
  <c r="N79" i="234"/>
  <c r="M79" i="234"/>
  <c r="L79" i="234"/>
  <c r="K79" i="234"/>
  <c r="J79" i="234"/>
  <c r="I79" i="234"/>
  <c r="H79" i="234"/>
  <c r="G79" i="234"/>
  <c r="AP77" i="234"/>
  <c r="AO77" i="234"/>
  <c r="AN77" i="234"/>
  <c r="AK77" i="234"/>
  <c r="AJ77" i="234"/>
  <c r="AI77" i="234"/>
  <c r="AH77" i="234"/>
  <c r="AG77" i="234"/>
  <c r="AF77" i="234"/>
  <c r="AE77" i="234"/>
  <c r="AD77" i="234"/>
  <c r="AC77" i="234"/>
  <c r="AB77" i="234"/>
  <c r="AA77" i="234"/>
  <c r="Z77" i="234"/>
  <c r="Y77" i="234"/>
  <c r="X77" i="234"/>
  <c r="W77" i="234"/>
  <c r="V77" i="234"/>
  <c r="U77" i="234"/>
  <c r="T77" i="234"/>
  <c r="S77" i="234"/>
  <c r="R77" i="234"/>
  <c r="Q77" i="234"/>
  <c r="P77" i="234"/>
  <c r="O77" i="234"/>
  <c r="N77" i="234"/>
  <c r="M77" i="234"/>
  <c r="L77" i="234"/>
  <c r="K77" i="234"/>
  <c r="J77" i="234"/>
  <c r="I77" i="234"/>
  <c r="H77" i="234"/>
  <c r="G77" i="234"/>
  <c r="AP75" i="234"/>
  <c r="AO75" i="234"/>
  <c r="AN75" i="234"/>
  <c r="AK75" i="234"/>
  <c r="AJ75" i="234"/>
  <c r="AI75" i="234"/>
  <c r="AH75" i="234"/>
  <c r="AG75" i="234"/>
  <c r="AF75" i="234"/>
  <c r="AE75" i="234"/>
  <c r="AD75" i="234"/>
  <c r="AC75" i="234"/>
  <c r="AB75" i="234"/>
  <c r="AA75" i="234"/>
  <c r="Z75" i="234"/>
  <c r="Y75" i="234"/>
  <c r="X75" i="234"/>
  <c r="W75" i="234"/>
  <c r="V75" i="234"/>
  <c r="U75" i="234"/>
  <c r="T75" i="234"/>
  <c r="S75" i="234"/>
  <c r="R75" i="234"/>
  <c r="Q75" i="234"/>
  <c r="P75" i="234"/>
  <c r="O75" i="234"/>
  <c r="N75" i="234"/>
  <c r="M75" i="234"/>
  <c r="L75" i="234"/>
  <c r="K75" i="234"/>
  <c r="J75" i="234"/>
  <c r="I75" i="234"/>
  <c r="H75" i="234"/>
  <c r="G75" i="234"/>
  <c r="AP73" i="234"/>
  <c r="AO73" i="234"/>
  <c r="AN73" i="234"/>
  <c r="AK73" i="234"/>
  <c r="AJ73" i="234"/>
  <c r="AI73" i="234"/>
  <c r="AH73" i="234"/>
  <c r="AG73" i="234"/>
  <c r="AF73" i="234"/>
  <c r="AE73" i="234"/>
  <c r="AD73" i="234"/>
  <c r="AC73" i="234"/>
  <c r="AB73" i="234"/>
  <c r="AA73" i="234"/>
  <c r="Z73" i="234"/>
  <c r="Y73" i="234"/>
  <c r="X73" i="234"/>
  <c r="W73" i="234"/>
  <c r="V73" i="234"/>
  <c r="U73" i="234"/>
  <c r="T73" i="234"/>
  <c r="S73" i="234"/>
  <c r="R73" i="234"/>
  <c r="Q73" i="234"/>
  <c r="P73" i="234"/>
  <c r="O73" i="234"/>
  <c r="N73" i="234"/>
  <c r="M73" i="234"/>
  <c r="L73" i="234"/>
  <c r="K73" i="234"/>
  <c r="J73" i="234"/>
  <c r="I73" i="234"/>
  <c r="H73" i="234"/>
  <c r="G73" i="234"/>
  <c r="AP71" i="234"/>
  <c r="AO71" i="234"/>
  <c r="AN71" i="234"/>
  <c r="AK71" i="234"/>
  <c r="AJ71" i="234"/>
  <c r="AI71" i="234"/>
  <c r="AH71" i="234"/>
  <c r="AG71" i="234"/>
  <c r="AF71" i="234"/>
  <c r="AE71" i="234"/>
  <c r="AD71" i="234"/>
  <c r="AC71" i="234"/>
  <c r="AB71" i="234"/>
  <c r="AA71" i="234"/>
  <c r="Z71" i="234"/>
  <c r="Y71" i="234"/>
  <c r="X71" i="234"/>
  <c r="W71" i="234"/>
  <c r="V71" i="234"/>
  <c r="U71" i="234"/>
  <c r="T71" i="234"/>
  <c r="S71" i="234"/>
  <c r="R71" i="234"/>
  <c r="Q71" i="234"/>
  <c r="P71" i="234"/>
  <c r="O71" i="234"/>
  <c r="N71" i="234"/>
  <c r="M71" i="234"/>
  <c r="L71" i="234"/>
  <c r="K71" i="234"/>
  <c r="J71" i="234"/>
  <c r="I71" i="234"/>
  <c r="H71" i="234"/>
  <c r="G71" i="234"/>
  <c r="AP69" i="234"/>
  <c r="AO69" i="234"/>
  <c r="AN69" i="234"/>
  <c r="AK69" i="234"/>
  <c r="AJ69" i="234"/>
  <c r="AI69" i="234"/>
  <c r="AH69" i="234"/>
  <c r="AG69" i="234"/>
  <c r="AF69" i="234"/>
  <c r="AE69" i="234"/>
  <c r="AD69" i="234"/>
  <c r="AC69" i="234"/>
  <c r="AB69" i="234"/>
  <c r="AA69" i="234"/>
  <c r="Z69" i="234"/>
  <c r="Y69" i="234"/>
  <c r="X69" i="234"/>
  <c r="W69" i="234"/>
  <c r="V69" i="234"/>
  <c r="U69" i="234"/>
  <c r="T69" i="234"/>
  <c r="S69" i="234"/>
  <c r="R69" i="234"/>
  <c r="Q69" i="234"/>
  <c r="P69" i="234"/>
  <c r="O69" i="234"/>
  <c r="N69" i="234"/>
  <c r="M69" i="234"/>
  <c r="L69" i="234"/>
  <c r="K69" i="234"/>
  <c r="J69" i="234"/>
  <c r="I69" i="234"/>
  <c r="H69" i="234"/>
  <c r="G69" i="234"/>
  <c r="AL69" i="234" s="1"/>
  <c r="AP67" i="234"/>
  <c r="AO67" i="234"/>
  <c r="AN67" i="234"/>
  <c r="AK67" i="234"/>
  <c r="AJ67" i="234"/>
  <c r="AI67" i="234"/>
  <c r="AH67" i="234"/>
  <c r="AG67" i="234"/>
  <c r="AF67" i="234"/>
  <c r="AE67" i="234"/>
  <c r="AD67" i="234"/>
  <c r="AC67" i="234"/>
  <c r="AB67" i="234"/>
  <c r="AA67" i="234"/>
  <c r="Z67" i="234"/>
  <c r="Y67" i="234"/>
  <c r="X67" i="234"/>
  <c r="W67" i="234"/>
  <c r="V67" i="234"/>
  <c r="U67" i="234"/>
  <c r="T67" i="234"/>
  <c r="S67" i="234"/>
  <c r="R67" i="234"/>
  <c r="Q67" i="234"/>
  <c r="P67" i="234"/>
  <c r="O67" i="234"/>
  <c r="N67" i="234"/>
  <c r="M67" i="234"/>
  <c r="L67" i="234"/>
  <c r="K67" i="234"/>
  <c r="J67" i="234"/>
  <c r="I67" i="234"/>
  <c r="H67" i="234"/>
  <c r="G67" i="234"/>
  <c r="AL67" i="234" s="1"/>
  <c r="AP65" i="234"/>
  <c r="AO65" i="234"/>
  <c r="AN65" i="234"/>
  <c r="AK65" i="234"/>
  <c r="AJ65" i="234"/>
  <c r="AI65" i="234"/>
  <c r="AH65" i="234"/>
  <c r="AG65" i="234"/>
  <c r="AF65" i="234"/>
  <c r="AE65" i="234"/>
  <c r="AD65" i="234"/>
  <c r="AC65" i="234"/>
  <c r="AB65" i="234"/>
  <c r="AA65" i="234"/>
  <c r="Z65" i="234"/>
  <c r="Y65" i="234"/>
  <c r="X65" i="234"/>
  <c r="W65" i="234"/>
  <c r="V65" i="234"/>
  <c r="U65" i="234"/>
  <c r="T65" i="234"/>
  <c r="S65" i="234"/>
  <c r="R65" i="234"/>
  <c r="Q65" i="234"/>
  <c r="P65" i="234"/>
  <c r="O65" i="234"/>
  <c r="N65" i="234"/>
  <c r="AL65" i="234" s="1"/>
  <c r="M65" i="234"/>
  <c r="L65" i="234"/>
  <c r="K65" i="234"/>
  <c r="J65" i="234"/>
  <c r="I65" i="234"/>
  <c r="H65" i="234"/>
  <c r="G65" i="234"/>
  <c r="AL64" i="234"/>
  <c r="AP63" i="234"/>
  <c r="AO63" i="234"/>
  <c r="AN63" i="234"/>
  <c r="AK63" i="234"/>
  <c r="AJ63" i="234"/>
  <c r="AI63" i="234"/>
  <c r="AH63" i="234"/>
  <c r="AG63" i="234"/>
  <c r="AF63" i="234"/>
  <c r="AE63" i="234"/>
  <c r="AD63" i="234"/>
  <c r="AC63" i="234"/>
  <c r="AB63" i="234"/>
  <c r="AA63" i="234"/>
  <c r="Z63" i="234"/>
  <c r="Y63" i="234"/>
  <c r="X63" i="234"/>
  <c r="W63" i="234"/>
  <c r="V63" i="234"/>
  <c r="U63" i="234"/>
  <c r="T63" i="234"/>
  <c r="S63" i="234"/>
  <c r="R63" i="234"/>
  <c r="Q63" i="234"/>
  <c r="P63" i="234"/>
  <c r="O63" i="234"/>
  <c r="N63" i="234"/>
  <c r="M63" i="234"/>
  <c r="L63" i="234"/>
  <c r="K63" i="234"/>
  <c r="J63" i="234"/>
  <c r="I63" i="234"/>
  <c r="H63" i="234"/>
  <c r="G63" i="234"/>
  <c r="AP61" i="234"/>
  <c r="AO61" i="234"/>
  <c r="AN61" i="234"/>
  <c r="AK61" i="234"/>
  <c r="AJ61" i="234"/>
  <c r="AI61" i="234"/>
  <c r="AH61" i="234"/>
  <c r="AG61" i="234"/>
  <c r="AF61" i="234"/>
  <c r="AE61" i="234"/>
  <c r="AD61" i="234"/>
  <c r="AC61" i="234"/>
  <c r="AB61" i="234"/>
  <c r="AA61" i="234"/>
  <c r="Z61" i="234"/>
  <c r="Y61" i="234"/>
  <c r="X61" i="234"/>
  <c r="W61" i="234"/>
  <c r="V61" i="234"/>
  <c r="U61" i="234"/>
  <c r="T61" i="234"/>
  <c r="S61" i="234"/>
  <c r="R61" i="234"/>
  <c r="Q61" i="234"/>
  <c r="P61" i="234"/>
  <c r="O61" i="234"/>
  <c r="N61" i="234"/>
  <c r="M61" i="234"/>
  <c r="L61" i="234"/>
  <c r="K61" i="234"/>
  <c r="J61" i="234"/>
  <c r="I61" i="234"/>
  <c r="AL61" i="234" s="1"/>
  <c r="AM61" i="234" s="1"/>
  <c r="H61" i="234"/>
  <c r="G61" i="234"/>
  <c r="AP59" i="234"/>
  <c r="AO59" i="234"/>
  <c r="AN59" i="234"/>
  <c r="AK59" i="234"/>
  <c r="AJ59" i="234"/>
  <c r="AI59" i="234"/>
  <c r="AH59" i="234"/>
  <c r="AG59" i="234"/>
  <c r="AF59" i="234"/>
  <c r="AE59" i="234"/>
  <c r="AD59" i="234"/>
  <c r="AC59" i="234"/>
  <c r="AB59" i="234"/>
  <c r="AA59" i="234"/>
  <c r="Z59" i="234"/>
  <c r="Y59" i="234"/>
  <c r="X59" i="234"/>
  <c r="W59" i="234"/>
  <c r="V59" i="234"/>
  <c r="U59" i="234"/>
  <c r="T59" i="234"/>
  <c r="S59" i="234"/>
  <c r="R59" i="234"/>
  <c r="Q59" i="234"/>
  <c r="P59" i="234"/>
  <c r="O59" i="234"/>
  <c r="N59" i="234"/>
  <c r="M59" i="234"/>
  <c r="L59" i="234"/>
  <c r="K59" i="234"/>
  <c r="J59" i="234"/>
  <c r="I59" i="234"/>
  <c r="H59" i="234"/>
  <c r="G59" i="234"/>
  <c r="AP57" i="234"/>
  <c r="AO57" i="234"/>
  <c r="AN57" i="234"/>
  <c r="AK57" i="234"/>
  <c r="AJ57" i="234"/>
  <c r="AI57" i="234"/>
  <c r="AH57" i="234"/>
  <c r="AG57" i="234"/>
  <c r="AF57" i="234"/>
  <c r="AE57" i="234"/>
  <c r="AD57" i="234"/>
  <c r="AC57" i="234"/>
  <c r="AB57" i="234"/>
  <c r="AA57" i="234"/>
  <c r="Z57" i="234"/>
  <c r="Y57" i="234"/>
  <c r="X57" i="234"/>
  <c r="W57" i="234"/>
  <c r="V57" i="234"/>
  <c r="U57" i="234"/>
  <c r="T57" i="234"/>
  <c r="S57" i="234"/>
  <c r="R57" i="234"/>
  <c r="Q57" i="234"/>
  <c r="P57" i="234"/>
  <c r="O57" i="234"/>
  <c r="N57" i="234"/>
  <c r="M57" i="234"/>
  <c r="L57" i="234"/>
  <c r="K57" i="234"/>
  <c r="J57" i="234"/>
  <c r="I57" i="234"/>
  <c r="H57" i="234"/>
  <c r="G57" i="234"/>
  <c r="AP55" i="234"/>
  <c r="AO55" i="234"/>
  <c r="AN55" i="234"/>
  <c r="AK55" i="234"/>
  <c r="AJ55" i="234"/>
  <c r="AI55" i="234"/>
  <c r="AH55" i="234"/>
  <c r="AG55" i="234"/>
  <c r="AF55" i="234"/>
  <c r="AE55" i="234"/>
  <c r="AD55" i="234"/>
  <c r="AC55" i="234"/>
  <c r="AB55" i="234"/>
  <c r="AA55" i="234"/>
  <c r="Z55" i="234"/>
  <c r="Y55" i="234"/>
  <c r="X55" i="234"/>
  <c r="W55" i="234"/>
  <c r="V55" i="234"/>
  <c r="U55" i="234"/>
  <c r="T55" i="234"/>
  <c r="S55" i="234"/>
  <c r="R55" i="234"/>
  <c r="Q55" i="234"/>
  <c r="P55" i="234"/>
  <c r="O55" i="234"/>
  <c r="N55" i="234"/>
  <c r="M55" i="234"/>
  <c r="L55" i="234"/>
  <c r="K55" i="234"/>
  <c r="J55" i="234"/>
  <c r="I55" i="234"/>
  <c r="H55" i="234"/>
  <c r="G55" i="234"/>
  <c r="AP53" i="234"/>
  <c r="AO53" i="234"/>
  <c r="AN53" i="234"/>
  <c r="AK53" i="234"/>
  <c r="AJ53" i="234"/>
  <c r="AI53" i="234"/>
  <c r="AH53" i="234"/>
  <c r="AG53" i="234"/>
  <c r="AF53" i="234"/>
  <c r="AE53" i="234"/>
  <c r="AD53" i="234"/>
  <c r="AC53" i="234"/>
  <c r="AB53" i="234"/>
  <c r="AA53" i="234"/>
  <c r="Z53" i="234"/>
  <c r="Y53" i="234"/>
  <c r="X53" i="234"/>
  <c r="W53" i="234"/>
  <c r="V53" i="234"/>
  <c r="U53" i="234"/>
  <c r="T53" i="234"/>
  <c r="S53" i="234"/>
  <c r="R53" i="234"/>
  <c r="Q53" i="234"/>
  <c r="P53" i="234"/>
  <c r="O53" i="234"/>
  <c r="N53" i="234"/>
  <c r="M53" i="234"/>
  <c r="L53" i="234"/>
  <c r="K53" i="234"/>
  <c r="J53" i="234"/>
  <c r="I53" i="234"/>
  <c r="H53" i="234"/>
  <c r="G53" i="234"/>
  <c r="AP51" i="234"/>
  <c r="AO51" i="234"/>
  <c r="AN51" i="234"/>
  <c r="AK51" i="234"/>
  <c r="AJ51" i="234"/>
  <c r="AI51" i="234"/>
  <c r="AH51" i="234"/>
  <c r="AG51" i="234"/>
  <c r="AF51" i="234"/>
  <c r="AE51" i="234"/>
  <c r="AD51" i="234"/>
  <c r="AC51" i="234"/>
  <c r="AB51" i="234"/>
  <c r="AA51" i="234"/>
  <c r="Z51" i="234"/>
  <c r="Y51" i="234"/>
  <c r="X51" i="234"/>
  <c r="W51" i="234"/>
  <c r="V51" i="234"/>
  <c r="U51" i="234"/>
  <c r="T51" i="234"/>
  <c r="S51" i="234"/>
  <c r="R51" i="234"/>
  <c r="Q51" i="234"/>
  <c r="P51" i="234"/>
  <c r="O51" i="234"/>
  <c r="N51" i="234"/>
  <c r="AL51" i="234" s="1"/>
  <c r="M51" i="234"/>
  <c r="L51" i="234"/>
  <c r="K51" i="234"/>
  <c r="J51" i="234"/>
  <c r="I51" i="234"/>
  <c r="H51" i="234"/>
  <c r="G51" i="234"/>
  <c r="AL50" i="234"/>
  <c r="AP49" i="234"/>
  <c r="AO49" i="234"/>
  <c r="AN49" i="234"/>
  <c r="AK49" i="234"/>
  <c r="AJ49" i="234"/>
  <c r="AI49" i="234"/>
  <c r="AH49" i="234"/>
  <c r="AG49" i="234"/>
  <c r="AF49" i="234"/>
  <c r="AE49" i="234"/>
  <c r="AD49" i="234"/>
  <c r="AC49" i="234"/>
  <c r="AB49" i="234"/>
  <c r="AA49" i="234"/>
  <c r="Z49" i="234"/>
  <c r="Y49" i="234"/>
  <c r="X49" i="234"/>
  <c r="W49" i="234"/>
  <c r="V49" i="234"/>
  <c r="U49" i="234"/>
  <c r="T49" i="234"/>
  <c r="S49" i="234"/>
  <c r="R49" i="234"/>
  <c r="Q49" i="234"/>
  <c r="P49" i="234"/>
  <c r="O49" i="234"/>
  <c r="N49" i="234"/>
  <c r="M49" i="234"/>
  <c r="L49" i="234"/>
  <c r="K49" i="234"/>
  <c r="J49" i="234"/>
  <c r="I49" i="234"/>
  <c r="H49" i="234"/>
  <c r="G49" i="234"/>
  <c r="AP47" i="234"/>
  <c r="AO47" i="234"/>
  <c r="AN47" i="234"/>
  <c r="AK47" i="234"/>
  <c r="AJ47" i="234"/>
  <c r="AI47" i="234"/>
  <c r="AH47" i="234"/>
  <c r="AG47" i="234"/>
  <c r="AF47" i="234"/>
  <c r="AE47" i="234"/>
  <c r="AD47" i="234"/>
  <c r="AC47" i="234"/>
  <c r="AB47" i="234"/>
  <c r="AA47" i="234"/>
  <c r="Z47" i="234"/>
  <c r="Y47" i="234"/>
  <c r="X47" i="234"/>
  <c r="W47" i="234"/>
  <c r="V47" i="234"/>
  <c r="U47" i="234"/>
  <c r="T47" i="234"/>
  <c r="S47" i="234"/>
  <c r="R47" i="234"/>
  <c r="Q47" i="234"/>
  <c r="P47" i="234"/>
  <c r="O47" i="234"/>
  <c r="N47" i="234"/>
  <c r="M47" i="234"/>
  <c r="L47" i="234"/>
  <c r="K47" i="234"/>
  <c r="J47" i="234"/>
  <c r="I47" i="234"/>
  <c r="H47" i="234"/>
  <c r="G47" i="234"/>
  <c r="AP45" i="234"/>
  <c r="AO45" i="234"/>
  <c r="AN45" i="234"/>
  <c r="AK45" i="234"/>
  <c r="AJ45" i="234"/>
  <c r="AI45" i="234"/>
  <c r="AH45" i="234"/>
  <c r="AG45" i="234"/>
  <c r="AF45" i="234"/>
  <c r="AE45" i="234"/>
  <c r="AD45" i="234"/>
  <c r="AC45" i="234"/>
  <c r="AB45" i="234"/>
  <c r="AA45" i="234"/>
  <c r="Z45" i="234"/>
  <c r="Y45" i="234"/>
  <c r="X45" i="234"/>
  <c r="W45" i="234"/>
  <c r="V45" i="234"/>
  <c r="U45" i="234"/>
  <c r="T45" i="234"/>
  <c r="S45" i="234"/>
  <c r="R45" i="234"/>
  <c r="Q45" i="234"/>
  <c r="P45" i="234"/>
  <c r="O45" i="234"/>
  <c r="N45" i="234"/>
  <c r="M45" i="234"/>
  <c r="L45" i="234"/>
  <c r="K45" i="234"/>
  <c r="J45" i="234"/>
  <c r="I45" i="234"/>
  <c r="H45" i="234"/>
  <c r="G45" i="234"/>
  <c r="AL45" i="234" s="1"/>
  <c r="AP43" i="234"/>
  <c r="AO43" i="234"/>
  <c r="AN43" i="234"/>
  <c r="AK43" i="234"/>
  <c r="AJ43" i="234"/>
  <c r="AI43" i="234"/>
  <c r="AH43" i="234"/>
  <c r="AG43" i="234"/>
  <c r="AF43" i="234"/>
  <c r="AE43" i="234"/>
  <c r="AD43" i="234"/>
  <c r="AC43" i="234"/>
  <c r="AB43" i="234"/>
  <c r="AA43" i="234"/>
  <c r="Z43" i="234"/>
  <c r="Y43" i="234"/>
  <c r="X43" i="234"/>
  <c r="W43" i="234"/>
  <c r="V43" i="234"/>
  <c r="U43" i="234"/>
  <c r="T43" i="234"/>
  <c r="S43" i="234"/>
  <c r="R43" i="234"/>
  <c r="Q43" i="234"/>
  <c r="P43" i="234"/>
  <c r="O43" i="234"/>
  <c r="N43" i="234"/>
  <c r="M43" i="234"/>
  <c r="L43" i="234"/>
  <c r="K43" i="234"/>
  <c r="J43" i="234"/>
  <c r="I43" i="234"/>
  <c r="H43" i="234"/>
  <c r="G43" i="234"/>
  <c r="AP41" i="234"/>
  <c r="AO41" i="234"/>
  <c r="AN41" i="234"/>
  <c r="AK41" i="234"/>
  <c r="AJ41" i="234"/>
  <c r="AI41" i="234"/>
  <c r="AH41" i="234"/>
  <c r="AG41" i="234"/>
  <c r="AF41" i="234"/>
  <c r="AE41" i="234"/>
  <c r="AD41" i="234"/>
  <c r="AC41" i="234"/>
  <c r="AB41" i="234"/>
  <c r="AA41" i="234"/>
  <c r="Z41" i="234"/>
  <c r="Y41" i="234"/>
  <c r="X41" i="234"/>
  <c r="W41" i="234"/>
  <c r="V41" i="234"/>
  <c r="U41" i="234"/>
  <c r="T41" i="234"/>
  <c r="S41" i="234"/>
  <c r="R41" i="234"/>
  <c r="Q41" i="234"/>
  <c r="P41" i="234"/>
  <c r="O41" i="234"/>
  <c r="N41" i="234"/>
  <c r="M41" i="234"/>
  <c r="AL41" i="234" s="1"/>
  <c r="L41" i="234"/>
  <c r="K41" i="234"/>
  <c r="J41" i="234"/>
  <c r="I41" i="234"/>
  <c r="H41" i="234"/>
  <c r="G41" i="234"/>
  <c r="AP39" i="234"/>
  <c r="AO39" i="234"/>
  <c r="AN39" i="234"/>
  <c r="AK39" i="234"/>
  <c r="AJ39" i="234"/>
  <c r="AI39" i="234"/>
  <c r="AH39" i="234"/>
  <c r="AG39" i="234"/>
  <c r="AF39" i="234"/>
  <c r="AE39" i="234"/>
  <c r="AD39" i="234"/>
  <c r="AC39" i="234"/>
  <c r="AB39" i="234"/>
  <c r="AA39" i="234"/>
  <c r="Z39" i="234"/>
  <c r="Y39" i="234"/>
  <c r="X39" i="234"/>
  <c r="W39" i="234"/>
  <c r="V39" i="234"/>
  <c r="U39" i="234"/>
  <c r="T39" i="234"/>
  <c r="S39" i="234"/>
  <c r="R39" i="234"/>
  <c r="Q39" i="234"/>
  <c r="P39" i="234"/>
  <c r="O39" i="234"/>
  <c r="N39" i="234"/>
  <c r="M39" i="234"/>
  <c r="L39" i="234"/>
  <c r="K39" i="234"/>
  <c r="J39" i="234"/>
  <c r="I39" i="234"/>
  <c r="H39" i="234"/>
  <c r="G39" i="234"/>
  <c r="AP37" i="234"/>
  <c r="AO37" i="234"/>
  <c r="AN37" i="234"/>
  <c r="AK37" i="234"/>
  <c r="AJ37" i="234"/>
  <c r="AI37" i="234"/>
  <c r="AH37" i="234"/>
  <c r="AG37" i="234"/>
  <c r="AF37" i="234"/>
  <c r="AE37" i="234"/>
  <c r="AD37" i="234"/>
  <c r="AC37" i="234"/>
  <c r="AB37" i="234"/>
  <c r="AA37" i="234"/>
  <c r="Z37" i="234"/>
  <c r="Y37" i="234"/>
  <c r="X37" i="234"/>
  <c r="W37" i="234"/>
  <c r="W143" i="234" s="1"/>
  <c r="V37" i="234"/>
  <c r="U37" i="234"/>
  <c r="T37" i="234"/>
  <c r="S37" i="234"/>
  <c r="R37" i="234"/>
  <c r="Q37" i="234"/>
  <c r="P37" i="234"/>
  <c r="O37" i="234"/>
  <c r="O154" i="234" s="1"/>
  <c r="N37" i="234"/>
  <c r="M37" i="234"/>
  <c r="L37" i="234"/>
  <c r="K37" i="234"/>
  <c r="J37" i="234"/>
  <c r="I37" i="234"/>
  <c r="H37" i="234"/>
  <c r="G37" i="234"/>
  <c r="AP35" i="234"/>
  <c r="AO35" i="234"/>
  <c r="AN35" i="234"/>
  <c r="AK35" i="234"/>
  <c r="AJ35" i="234"/>
  <c r="AI35" i="234"/>
  <c r="AH35" i="234"/>
  <c r="AG35" i="234"/>
  <c r="AF35" i="234"/>
  <c r="AE35" i="234"/>
  <c r="AD35" i="234"/>
  <c r="AC35" i="234"/>
  <c r="AB35" i="234"/>
  <c r="AA35" i="234"/>
  <c r="Z35" i="234"/>
  <c r="Y35" i="234"/>
  <c r="X35" i="234"/>
  <c r="W35" i="234"/>
  <c r="V35" i="234"/>
  <c r="U35" i="234"/>
  <c r="T35" i="234"/>
  <c r="S35" i="234"/>
  <c r="R35" i="234"/>
  <c r="Q35" i="234"/>
  <c r="P35" i="234"/>
  <c r="O35" i="234"/>
  <c r="N35" i="234"/>
  <c r="M35" i="234"/>
  <c r="L35" i="234"/>
  <c r="K35" i="234"/>
  <c r="J35" i="234"/>
  <c r="I35" i="234"/>
  <c r="H35" i="234"/>
  <c r="G35" i="234"/>
  <c r="AP33" i="234"/>
  <c r="AO33" i="234"/>
  <c r="AN33" i="234"/>
  <c r="AK33" i="234"/>
  <c r="AJ33" i="234"/>
  <c r="AI33" i="234"/>
  <c r="AH33" i="234"/>
  <c r="AG33" i="234"/>
  <c r="AF33" i="234"/>
  <c r="AE33" i="234"/>
  <c r="AD33" i="234"/>
  <c r="AC33" i="234"/>
  <c r="AB33" i="234"/>
  <c r="AA33" i="234"/>
  <c r="Z33" i="234"/>
  <c r="Y33" i="234"/>
  <c r="X33" i="234"/>
  <c r="W33" i="234"/>
  <c r="V33" i="234"/>
  <c r="U33" i="234"/>
  <c r="T33" i="234"/>
  <c r="S33" i="234"/>
  <c r="R33" i="234"/>
  <c r="Q33" i="234"/>
  <c r="P33" i="234"/>
  <c r="O33" i="234"/>
  <c r="N33" i="234"/>
  <c r="AL33" i="234" s="1"/>
  <c r="M33" i="234"/>
  <c r="L33" i="234"/>
  <c r="K33" i="234"/>
  <c r="J33" i="234"/>
  <c r="I33" i="234"/>
  <c r="H33" i="234"/>
  <c r="G33" i="234"/>
  <c r="AL32" i="234"/>
  <c r="AP31" i="234"/>
  <c r="AO31" i="234"/>
  <c r="AN31" i="234"/>
  <c r="AK31" i="234"/>
  <c r="AJ31" i="234"/>
  <c r="AI31" i="234"/>
  <c r="AH31" i="234"/>
  <c r="AG31" i="234"/>
  <c r="AF31" i="234"/>
  <c r="AE31" i="234"/>
  <c r="AD31" i="234"/>
  <c r="AC31" i="234"/>
  <c r="AB31" i="234"/>
  <c r="AA31" i="234"/>
  <c r="Z31" i="234"/>
  <c r="Y31" i="234"/>
  <c r="X31" i="234"/>
  <c r="W31" i="234"/>
  <c r="V31" i="234"/>
  <c r="U31" i="234"/>
  <c r="T31" i="234"/>
  <c r="S31" i="234"/>
  <c r="R31" i="234"/>
  <c r="Q31" i="234"/>
  <c r="P31" i="234"/>
  <c r="O31" i="234"/>
  <c r="N31" i="234"/>
  <c r="M31" i="234"/>
  <c r="L31" i="234"/>
  <c r="K31" i="234"/>
  <c r="J31" i="234"/>
  <c r="I31" i="234"/>
  <c r="H31" i="234"/>
  <c r="G31" i="234"/>
  <c r="AP29" i="234"/>
  <c r="AO29" i="234"/>
  <c r="AN29" i="234"/>
  <c r="AK29" i="234"/>
  <c r="AJ29" i="234"/>
  <c r="AI29" i="234"/>
  <c r="AH29" i="234"/>
  <c r="AG29" i="234"/>
  <c r="AF29" i="234"/>
  <c r="AE29" i="234"/>
  <c r="AD29" i="234"/>
  <c r="AC29" i="234"/>
  <c r="AB29" i="234"/>
  <c r="AA29" i="234"/>
  <c r="Z29" i="234"/>
  <c r="Y29" i="234"/>
  <c r="X29" i="234"/>
  <c r="W29" i="234"/>
  <c r="V29" i="234"/>
  <c r="U29" i="234"/>
  <c r="T29" i="234"/>
  <c r="S29" i="234"/>
  <c r="R29" i="234"/>
  <c r="Q29" i="234"/>
  <c r="P29" i="234"/>
  <c r="O29" i="234"/>
  <c r="N29" i="234"/>
  <c r="M29" i="234"/>
  <c r="L29" i="234"/>
  <c r="AL29" i="234" s="1"/>
  <c r="K29" i="234"/>
  <c r="J29" i="234"/>
  <c r="I29" i="234"/>
  <c r="H29" i="234"/>
  <c r="G29" i="234"/>
  <c r="AP27" i="234"/>
  <c r="AO27" i="234"/>
  <c r="AN27" i="234"/>
  <c r="AK27" i="234"/>
  <c r="AJ27" i="234"/>
  <c r="AI27" i="234"/>
  <c r="AH27" i="234"/>
  <c r="AG27" i="234"/>
  <c r="AF27" i="234"/>
  <c r="AE27" i="234"/>
  <c r="AD27" i="234"/>
  <c r="AC27" i="234"/>
  <c r="AB27" i="234"/>
  <c r="AA27" i="234"/>
  <c r="Z27" i="234"/>
  <c r="Y27" i="234"/>
  <c r="X27" i="234"/>
  <c r="W27" i="234"/>
  <c r="V27" i="234"/>
  <c r="U27" i="234"/>
  <c r="T27" i="234"/>
  <c r="S27" i="234"/>
  <c r="R27" i="234"/>
  <c r="Q27" i="234"/>
  <c r="P27" i="234"/>
  <c r="O27" i="234"/>
  <c r="N27" i="234"/>
  <c r="M27" i="234"/>
  <c r="L27" i="234"/>
  <c r="K27" i="234"/>
  <c r="J27" i="234"/>
  <c r="I27" i="234"/>
  <c r="H27" i="234"/>
  <c r="G27" i="234"/>
  <c r="AL27" i="234" s="1"/>
  <c r="AP25" i="234"/>
  <c r="AO25" i="234"/>
  <c r="AN25" i="234"/>
  <c r="AK25" i="234"/>
  <c r="AJ25" i="234"/>
  <c r="AI25" i="234"/>
  <c r="AH25" i="234"/>
  <c r="AG25" i="234"/>
  <c r="AF25" i="234"/>
  <c r="AE25" i="234"/>
  <c r="AD25" i="234"/>
  <c r="AC25" i="234"/>
  <c r="AB25" i="234"/>
  <c r="AA25" i="234"/>
  <c r="Z25" i="234"/>
  <c r="Y25" i="234"/>
  <c r="X25" i="234"/>
  <c r="W25" i="234"/>
  <c r="V25" i="234"/>
  <c r="U25" i="234"/>
  <c r="T25" i="234"/>
  <c r="S25" i="234"/>
  <c r="R25" i="234"/>
  <c r="Q25" i="234"/>
  <c r="P25" i="234"/>
  <c r="O25" i="234"/>
  <c r="N25" i="234"/>
  <c r="M25" i="234"/>
  <c r="L25" i="234"/>
  <c r="K25" i="234"/>
  <c r="J25" i="234"/>
  <c r="I25" i="234"/>
  <c r="H25" i="234"/>
  <c r="G25" i="234"/>
  <c r="AP23" i="234"/>
  <c r="AO23" i="234"/>
  <c r="AN23" i="234"/>
  <c r="AK23" i="234"/>
  <c r="AJ23" i="234"/>
  <c r="AI23" i="234"/>
  <c r="AH23" i="234"/>
  <c r="AG23" i="234"/>
  <c r="AF23" i="234"/>
  <c r="AE23" i="234"/>
  <c r="AD23" i="234"/>
  <c r="AC23" i="234"/>
  <c r="AB23" i="234"/>
  <c r="AA23" i="234"/>
  <c r="Z23" i="234"/>
  <c r="Y23" i="234"/>
  <c r="X23" i="234"/>
  <c r="W23" i="234"/>
  <c r="V23" i="234"/>
  <c r="U23" i="234"/>
  <c r="T23" i="234"/>
  <c r="S23" i="234"/>
  <c r="R23" i="234"/>
  <c r="Q23" i="234"/>
  <c r="P23" i="234"/>
  <c r="O23" i="234"/>
  <c r="N23" i="234"/>
  <c r="M23" i="234"/>
  <c r="L23" i="234"/>
  <c r="K23" i="234"/>
  <c r="J23" i="234"/>
  <c r="I23" i="234"/>
  <c r="H23" i="234"/>
  <c r="G23" i="234"/>
  <c r="AP21" i="234"/>
  <c r="AO21" i="234"/>
  <c r="AN21" i="234"/>
  <c r="AK21" i="234"/>
  <c r="AJ21" i="234"/>
  <c r="AI21" i="234"/>
  <c r="AH21" i="234"/>
  <c r="AG21" i="234"/>
  <c r="AF21" i="234"/>
  <c r="AF173" i="234" s="1"/>
  <c r="AE21" i="234"/>
  <c r="AD21" i="234"/>
  <c r="AC21" i="234"/>
  <c r="AB21" i="234"/>
  <c r="AA21" i="234"/>
  <c r="Z21" i="234"/>
  <c r="Y21" i="234"/>
  <c r="X21" i="234"/>
  <c r="X154" i="234" s="1"/>
  <c r="W21" i="234"/>
  <c r="V21" i="234"/>
  <c r="U21" i="234"/>
  <c r="T21" i="234"/>
  <c r="S21" i="234"/>
  <c r="R21" i="234"/>
  <c r="Q21" i="234"/>
  <c r="P21" i="234"/>
  <c r="O21" i="234"/>
  <c r="N21" i="234"/>
  <c r="M21" i="234"/>
  <c r="L21" i="234"/>
  <c r="K21" i="234"/>
  <c r="J21" i="234"/>
  <c r="I21" i="234"/>
  <c r="H21" i="234"/>
  <c r="G21" i="234"/>
  <c r="AP19" i="234"/>
  <c r="AO19" i="234"/>
  <c r="AN19" i="234"/>
  <c r="AK19" i="234"/>
  <c r="AJ19" i="234"/>
  <c r="AI19" i="234"/>
  <c r="AH19" i="234"/>
  <c r="AG19" i="234"/>
  <c r="AF19" i="234"/>
  <c r="AE19" i="234"/>
  <c r="AD19" i="234"/>
  <c r="AC19" i="234"/>
  <c r="AB19" i="234"/>
  <c r="AA19" i="234"/>
  <c r="Z19" i="234"/>
  <c r="Y19" i="234"/>
  <c r="X19" i="234"/>
  <c r="W19" i="234"/>
  <c r="V19" i="234"/>
  <c r="U19" i="234"/>
  <c r="T19" i="234"/>
  <c r="S19" i="234"/>
  <c r="R19" i="234"/>
  <c r="Q19" i="234"/>
  <c r="P19" i="234"/>
  <c r="O19" i="234"/>
  <c r="N19" i="234"/>
  <c r="M19" i="234"/>
  <c r="L19" i="234"/>
  <c r="K19" i="234"/>
  <c r="J19" i="234"/>
  <c r="I19" i="234"/>
  <c r="H19" i="234"/>
  <c r="G19" i="234"/>
  <c r="AL19" i="234" s="1"/>
  <c r="AP17" i="234"/>
  <c r="AO17" i="234"/>
  <c r="AN17" i="234"/>
  <c r="AK17" i="234"/>
  <c r="AJ17" i="234"/>
  <c r="AI17" i="234"/>
  <c r="AH17" i="234"/>
  <c r="AH157" i="234" s="1"/>
  <c r="AG17" i="234"/>
  <c r="AF17" i="234"/>
  <c r="AE17" i="234"/>
  <c r="AD17" i="234"/>
  <c r="AC17" i="234"/>
  <c r="AB17" i="234"/>
  <c r="AA17" i="234"/>
  <c r="Z17" i="234"/>
  <c r="Y17" i="234"/>
  <c r="X17" i="234"/>
  <c r="W17" i="234"/>
  <c r="V17" i="234"/>
  <c r="U17" i="234"/>
  <c r="T17" i="234"/>
  <c r="S17" i="234"/>
  <c r="R17" i="234"/>
  <c r="Q17" i="234"/>
  <c r="P17" i="234"/>
  <c r="O17" i="234"/>
  <c r="N17" i="234"/>
  <c r="M17" i="234"/>
  <c r="L17" i="234"/>
  <c r="K17" i="234"/>
  <c r="J17" i="234"/>
  <c r="J175" i="234" s="1"/>
  <c r="I17" i="234"/>
  <c r="H17" i="234"/>
  <c r="G17" i="234"/>
  <c r="AP15" i="234"/>
  <c r="AR15" i="234" s="1"/>
  <c r="AO15" i="234"/>
  <c r="AN15" i="234"/>
  <c r="AK15" i="234"/>
  <c r="AJ15" i="234"/>
  <c r="AJ151" i="234" s="1"/>
  <c r="AI15" i="234"/>
  <c r="AH15" i="234"/>
  <c r="AG15" i="234"/>
  <c r="AF15" i="234"/>
  <c r="AE15" i="234"/>
  <c r="AD15" i="234"/>
  <c r="AC15" i="234"/>
  <c r="AB15" i="234"/>
  <c r="AB153" i="234" s="1"/>
  <c r="AA15" i="234"/>
  <c r="Z15" i="234"/>
  <c r="Y15" i="234"/>
  <c r="X15" i="234"/>
  <c r="W15" i="234"/>
  <c r="V15" i="234"/>
  <c r="U15" i="234"/>
  <c r="T15" i="234"/>
  <c r="S15" i="234"/>
  <c r="R15" i="234"/>
  <c r="Q15" i="234"/>
  <c r="P15" i="234"/>
  <c r="O15" i="234"/>
  <c r="N15" i="234"/>
  <c r="M15" i="234"/>
  <c r="M171" i="234" s="1"/>
  <c r="L15" i="234"/>
  <c r="L160" i="234" s="1"/>
  <c r="K15" i="234"/>
  <c r="J15" i="234"/>
  <c r="I15" i="234"/>
  <c r="H15" i="234"/>
  <c r="G15" i="234"/>
  <c r="AR13" i="234"/>
  <c r="AP13" i="234"/>
  <c r="AO13" i="234"/>
  <c r="AN13" i="234"/>
  <c r="AK13" i="234"/>
  <c r="AJ13" i="234"/>
  <c r="AI13" i="234"/>
  <c r="AH13" i="234"/>
  <c r="AG13" i="234"/>
  <c r="AG143" i="234" s="1"/>
  <c r="AF13" i="234"/>
  <c r="AE13" i="234"/>
  <c r="AD13" i="234"/>
  <c r="AC13" i="234"/>
  <c r="AB13" i="234"/>
  <c r="AA13" i="234"/>
  <c r="Z13" i="234"/>
  <c r="Y13" i="234"/>
  <c r="X13" i="234"/>
  <c r="W13" i="234"/>
  <c r="V13" i="234"/>
  <c r="U13" i="234"/>
  <c r="T13" i="234"/>
  <c r="S13" i="234"/>
  <c r="R13" i="234"/>
  <c r="Q13" i="234"/>
  <c r="P13" i="234"/>
  <c r="O13" i="234"/>
  <c r="N13" i="234"/>
  <c r="M13" i="234"/>
  <c r="L13" i="234"/>
  <c r="K13" i="234"/>
  <c r="J13" i="234"/>
  <c r="I13" i="234"/>
  <c r="H13" i="234"/>
  <c r="G13" i="234"/>
  <c r="AP11" i="234"/>
  <c r="AR11" i="234" s="1"/>
  <c r="AO11" i="234"/>
  <c r="AN11" i="234"/>
  <c r="AK11" i="234"/>
  <c r="AJ11" i="234"/>
  <c r="AI11" i="234"/>
  <c r="AH11" i="234"/>
  <c r="AG11" i="234"/>
  <c r="AF11" i="234"/>
  <c r="AE11" i="234"/>
  <c r="AD11" i="234"/>
  <c r="AC11" i="234"/>
  <c r="AB11" i="234"/>
  <c r="AA11" i="234"/>
  <c r="Z11" i="234"/>
  <c r="Y11" i="234"/>
  <c r="X11" i="234"/>
  <c r="W11" i="234"/>
  <c r="V11" i="234"/>
  <c r="U11" i="234"/>
  <c r="T11" i="234"/>
  <c r="S11" i="234"/>
  <c r="R11" i="234"/>
  <c r="Q11" i="234"/>
  <c r="P11" i="234"/>
  <c r="O11" i="234"/>
  <c r="N11" i="234"/>
  <c r="M11" i="234"/>
  <c r="L11" i="234"/>
  <c r="K11" i="234"/>
  <c r="J11" i="234"/>
  <c r="I11" i="234"/>
  <c r="H11" i="234"/>
  <c r="G11" i="234"/>
  <c r="AL10" i="234"/>
  <c r="G9" i="234"/>
  <c r="H9" i="234" s="1"/>
  <c r="I9" i="234" s="1"/>
  <c r="J9" i="234" s="1"/>
  <c r="K9" i="234" s="1"/>
  <c r="L9" i="234" s="1"/>
  <c r="M9" i="234" s="1"/>
  <c r="N9" i="234" s="1"/>
  <c r="O9" i="234" s="1"/>
  <c r="P9" i="234" s="1"/>
  <c r="Q9" i="234" s="1"/>
  <c r="R9" i="234" s="1"/>
  <c r="S9" i="234" s="1"/>
  <c r="T9" i="234" s="1"/>
  <c r="U9" i="234" s="1"/>
  <c r="V9" i="234" s="1"/>
  <c r="W9" i="234" s="1"/>
  <c r="X9" i="234" s="1"/>
  <c r="Y9" i="234" s="1"/>
  <c r="Z9" i="234" s="1"/>
  <c r="AA9" i="234" s="1"/>
  <c r="AB9" i="234" s="1"/>
  <c r="AC9" i="234" s="1"/>
  <c r="AD9" i="234" s="1"/>
  <c r="AE9" i="234" s="1"/>
  <c r="AF9" i="234" s="1"/>
  <c r="AG9" i="234" s="1"/>
  <c r="AH9" i="234" s="1"/>
  <c r="AI9" i="234" s="1"/>
  <c r="AJ9" i="234" s="1"/>
  <c r="AK9" i="234" s="1"/>
  <c r="AM6" i="234"/>
  <c r="AL6" i="234"/>
  <c r="C5" i="234"/>
  <c r="E4" i="234"/>
  <c r="AR221" i="233"/>
  <c r="AO221" i="233"/>
  <c r="AN221" i="233"/>
  <c r="F221" i="233"/>
  <c r="AR220" i="233"/>
  <c r="AO220" i="233"/>
  <c r="AN220" i="233"/>
  <c r="F220" i="233"/>
  <c r="AR219" i="233"/>
  <c r="AO219" i="233"/>
  <c r="AN219" i="233"/>
  <c r="F219" i="233"/>
  <c r="AR218" i="233"/>
  <c r="AM172" i="233" s="1"/>
  <c r="AO218" i="233"/>
  <c r="AN218" i="233"/>
  <c r="F218" i="233"/>
  <c r="AR217" i="233"/>
  <c r="AO217" i="233"/>
  <c r="AN217" i="233"/>
  <c r="F217" i="233"/>
  <c r="AR216" i="233"/>
  <c r="AO216" i="233"/>
  <c r="AN216" i="233"/>
  <c r="F216" i="233"/>
  <c r="AR215" i="233"/>
  <c r="AO215" i="233"/>
  <c r="AN215" i="233"/>
  <c r="F215" i="233"/>
  <c r="AR214" i="233"/>
  <c r="AM168" i="233" s="1"/>
  <c r="AO214" i="233"/>
  <c r="AN214" i="233"/>
  <c r="F214" i="233"/>
  <c r="AR213" i="233"/>
  <c r="AO213" i="233"/>
  <c r="AN213" i="233"/>
  <c r="F213" i="233"/>
  <c r="AR212" i="233"/>
  <c r="AO212" i="233"/>
  <c r="AN212" i="233"/>
  <c r="F212" i="233"/>
  <c r="AR211" i="233"/>
  <c r="AO211" i="233"/>
  <c r="AN211" i="233"/>
  <c r="F211" i="233"/>
  <c r="AR210" i="233"/>
  <c r="AM164" i="233" s="1"/>
  <c r="AO210" i="233"/>
  <c r="AN210" i="233"/>
  <c r="F210" i="233"/>
  <c r="AR209" i="233"/>
  <c r="AM163" i="233" s="1"/>
  <c r="AO209" i="233"/>
  <c r="AN209" i="233"/>
  <c r="F209" i="233"/>
  <c r="AR208" i="233"/>
  <c r="AO208" i="233"/>
  <c r="AN208" i="233"/>
  <c r="F208" i="233"/>
  <c r="AR207" i="233"/>
  <c r="AM161" i="233" s="1"/>
  <c r="AO207" i="233"/>
  <c r="AN207" i="233"/>
  <c r="F207" i="233"/>
  <c r="AR206" i="233"/>
  <c r="AM160" i="233" s="1"/>
  <c r="AO206" i="233"/>
  <c r="AN206" i="233"/>
  <c r="F206" i="233"/>
  <c r="AR205" i="233"/>
  <c r="AM159" i="233" s="1"/>
  <c r="AO205" i="233"/>
  <c r="AN205" i="233"/>
  <c r="F205" i="233"/>
  <c r="AR204" i="233"/>
  <c r="AO204" i="233"/>
  <c r="AN204" i="233"/>
  <c r="F204" i="233"/>
  <c r="AR203" i="233"/>
  <c r="AO203" i="233"/>
  <c r="AN203" i="233"/>
  <c r="F203" i="233"/>
  <c r="AR202" i="233"/>
  <c r="AM156" i="233" s="1"/>
  <c r="AO202" i="233"/>
  <c r="AN202" i="233"/>
  <c r="F202" i="233"/>
  <c r="AR201" i="233"/>
  <c r="AO201" i="233"/>
  <c r="AN201" i="233"/>
  <c r="F201" i="233"/>
  <c r="AR200" i="233"/>
  <c r="AO200" i="233"/>
  <c r="AN200" i="233"/>
  <c r="F200" i="233"/>
  <c r="AR199" i="233"/>
  <c r="AO199" i="233"/>
  <c r="AN199" i="233"/>
  <c r="F199" i="233"/>
  <c r="AR198" i="233"/>
  <c r="AO198" i="233"/>
  <c r="AN198" i="233"/>
  <c r="E4" i="233" s="1"/>
  <c r="F198" i="233"/>
  <c r="AR197" i="233"/>
  <c r="AO197" i="233"/>
  <c r="AN197" i="233"/>
  <c r="F197" i="233"/>
  <c r="N192" i="233"/>
  <c r="N193" i="233" s="1"/>
  <c r="AM175" i="233"/>
  <c r="F175" i="233"/>
  <c r="C175" i="233"/>
  <c r="AM174" i="233"/>
  <c r="F174" i="233"/>
  <c r="C174" i="233"/>
  <c r="AM173" i="233"/>
  <c r="F173" i="233"/>
  <c r="C173" i="233"/>
  <c r="F172" i="233"/>
  <c r="C172" i="233"/>
  <c r="AM171" i="233"/>
  <c r="F171" i="233"/>
  <c r="C171" i="233"/>
  <c r="AM170" i="233"/>
  <c r="F170" i="233"/>
  <c r="C170" i="233"/>
  <c r="AM169" i="233"/>
  <c r="F169" i="233"/>
  <c r="C169" i="233"/>
  <c r="F168" i="233"/>
  <c r="C168" i="233"/>
  <c r="AM167" i="233"/>
  <c r="F167" i="233"/>
  <c r="AF167" i="233" s="1"/>
  <c r="C167" i="233"/>
  <c r="AM166" i="233"/>
  <c r="F166" i="233"/>
  <c r="C166" i="233"/>
  <c r="AM165" i="233"/>
  <c r="F165" i="233"/>
  <c r="C165" i="233"/>
  <c r="F164" i="233"/>
  <c r="C164" i="233"/>
  <c r="F163" i="233"/>
  <c r="C163" i="233"/>
  <c r="AM162" i="233"/>
  <c r="F162" i="233"/>
  <c r="C162" i="233"/>
  <c r="F161" i="233"/>
  <c r="C161" i="233"/>
  <c r="F160" i="233"/>
  <c r="C160" i="233"/>
  <c r="F159" i="233"/>
  <c r="C159" i="233"/>
  <c r="AM158" i="233"/>
  <c r="F158" i="233"/>
  <c r="C158" i="233"/>
  <c r="AM157" i="233"/>
  <c r="F157" i="233"/>
  <c r="C157" i="233"/>
  <c r="F156" i="233"/>
  <c r="C156" i="233"/>
  <c r="AM155" i="233"/>
  <c r="F155" i="233"/>
  <c r="C155" i="233"/>
  <c r="AM154" i="233"/>
  <c r="F154" i="233"/>
  <c r="P154" i="233" s="1"/>
  <c r="C154" i="233"/>
  <c r="AM153" i="233"/>
  <c r="F153" i="233"/>
  <c r="C153" i="233"/>
  <c r="AM152" i="233"/>
  <c r="F152" i="233"/>
  <c r="AE152" i="233" s="1"/>
  <c r="C152" i="233"/>
  <c r="AM151" i="233"/>
  <c r="F151" i="233"/>
  <c r="C151" i="233"/>
  <c r="AK150" i="233"/>
  <c r="AJ150" i="233"/>
  <c r="AI150" i="233"/>
  <c r="AH150" i="233"/>
  <c r="AG150" i="233"/>
  <c r="AF150" i="233"/>
  <c r="AE150" i="233"/>
  <c r="AD150" i="233"/>
  <c r="AC150" i="233"/>
  <c r="AB150" i="233"/>
  <c r="AA150" i="233"/>
  <c r="Z150" i="233"/>
  <c r="Y150" i="233"/>
  <c r="X150" i="233"/>
  <c r="W150" i="233"/>
  <c r="V150" i="233"/>
  <c r="U150" i="233"/>
  <c r="T150" i="233"/>
  <c r="S150" i="233"/>
  <c r="R150" i="233"/>
  <c r="Q150" i="233"/>
  <c r="P150" i="233"/>
  <c r="O150" i="233"/>
  <c r="N150" i="233"/>
  <c r="M150" i="233"/>
  <c r="L150" i="233"/>
  <c r="K150" i="233"/>
  <c r="J150" i="233"/>
  <c r="I150" i="233"/>
  <c r="H150" i="233"/>
  <c r="G150" i="233"/>
  <c r="C149" i="233"/>
  <c r="M148" i="233" s="1"/>
  <c r="U148" i="233" s="1"/>
  <c r="AD148" i="233"/>
  <c r="C148" i="233"/>
  <c r="F143" i="233"/>
  <c r="AP141" i="233"/>
  <c r="AO141" i="233"/>
  <c r="AN141" i="233"/>
  <c r="AK141" i="233"/>
  <c r="AJ141" i="233"/>
  <c r="AI141" i="233"/>
  <c r="AH141" i="233"/>
  <c r="AG141" i="233"/>
  <c r="AF141" i="233"/>
  <c r="AE141" i="233"/>
  <c r="AD141" i="233"/>
  <c r="AC141" i="233"/>
  <c r="AB141" i="233"/>
  <c r="AA141" i="233"/>
  <c r="Z141" i="233"/>
  <c r="Y141" i="233"/>
  <c r="X141" i="233"/>
  <c r="W141" i="233"/>
  <c r="V141" i="233"/>
  <c r="U141" i="233"/>
  <c r="T141" i="233"/>
  <c r="S141" i="233"/>
  <c r="R141" i="233"/>
  <c r="Q141" i="233"/>
  <c r="P141" i="233"/>
  <c r="O141" i="233"/>
  <c r="N141" i="233"/>
  <c r="M141" i="233"/>
  <c r="L141" i="233"/>
  <c r="K141" i="233"/>
  <c r="J141" i="233"/>
  <c r="I141" i="233"/>
  <c r="H141" i="233"/>
  <c r="G141" i="233"/>
  <c r="AP139" i="233"/>
  <c r="AO139" i="233"/>
  <c r="AN139" i="233"/>
  <c r="AK139" i="233"/>
  <c r="AJ139" i="233"/>
  <c r="AI139" i="233"/>
  <c r="AH139" i="233"/>
  <c r="AG139" i="233"/>
  <c r="AF139" i="233"/>
  <c r="AE139" i="233"/>
  <c r="AD139" i="233"/>
  <c r="AC139" i="233"/>
  <c r="AB139" i="233"/>
  <c r="AA139" i="233"/>
  <c r="Z139" i="233"/>
  <c r="Y139" i="233"/>
  <c r="X139" i="233"/>
  <c r="W139" i="233"/>
  <c r="V139" i="233"/>
  <c r="U139" i="233"/>
  <c r="T139" i="233"/>
  <c r="S139" i="233"/>
  <c r="R139" i="233"/>
  <c r="Q139" i="233"/>
  <c r="P139" i="233"/>
  <c r="O139" i="233"/>
  <c r="N139" i="233"/>
  <c r="AL139" i="233" s="1"/>
  <c r="M139" i="233"/>
  <c r="L139" i="233"/>
  <c r="K139" i="233"/>
  <c r="J139" i="233"/>
  <c r="I139" i="233"/>
  <c r="H139" i="233"/>
  <c r="G139" i="233"/>
  <c r="AL138" i="233"/>
  <c r="AP137" i="233"/>
  <c r="AO137" i="233"/>
  <c r="AN137" i="233"/>
  <c r="AK137" i="233"/>
  <c r="AJ137" i="233"/>
  <c r="AI137" i="233"/>
  <c r="AH137" i="233"/>
  <c r="AG137" i="233"/>
  <c r="AF137" i="233"/>
  <c r="AE137" i="233"/>
  <c r="AD137" i="233"/>
  <c r="AC137" i="233"/>
  <c r="AB137" i="233"/>
  <c r="AA137" i="233"/>
  <c r="Z137" i="233"/>
  <c r="Y137" i="233"/>
  <c r="X137" i="233"/>
  <c r="W137" i="233"/>
  <c r="V137" i="233"/>
  <c r="U137" i="233"/>
  <c r="T137" i="233"/>
  <c r="S137" i="233"/>
  <c r="R137" i="233"/>
  <c r="Q137" i="233"/>
  <c r="P137" i="233"/>
  <c r="O137" i="233"/>
  <c r="N137" i="233"/>
  <c r="M137" i="233"/>
  <c r="L137" i="233"/>
  <c r="K137" i="233"/>
  <c r="J137" i="233"/>
  <c r="I137" i="233"/>
  <c r="H137" i="233"/>
  <c r="AL137" i="233" s="1"/>
  <c r="AM137" i="233" s="1"/>
  <c r="G137" i="233"/>
  <c r="AP135" i="233"/>
  <c r="AO135" i="233"/>
  <c r="AN135" i="233"/>
  <c r="AK135" i="233"/>
  <c r="AJ135" i="233"/>
  <c r="AI135" i="233"/>
  <c r="AH135" i="233"/>
  <c r="AG135" i="233"/>
  <c r="AF135" i="233"/>
  <c r="AE135" i="233"/>
  <c r="AD135" i="233"/>
  <c r="AC135" i="233"/>
  <c r="AB135" i="233"/>
  <c r="AA135" i="233"/>
  <c r="Z135" i="233"/>
  <c r="Y135" i="233"/>
  <c r="X135" i="233"/>
  <c r="W135" i="233"/>
  <c r="V135" i="233"/>
  <c r="U135" i="233"/>
  <c r="T135" i="233"/>
  <c r="S135" i="233"/>
  <c r="R135" i="233"/>
  <c r="Q135" i="233"/>
  <c r="P135" i="233"/>
  <c r="O135" i="233"/>
  <c r="N135" i="233"/>
  <c r="M135" i="233"/>
  <c r="L135" i="233"/>
  <c r="K135" i="233"/>
  <c r="J135" i="233"/>
  <c r="I135" i="233"/>
  <c r="H135" i="233"/>
  <c r="G135" i="233"/>
  <c r="AP133" i="233"/>
  <c r="AO133" i="233"/>
  <c r="AN133" i="233"/>
  <c r="AK133" i="233"/>
  <c r="AJ133" i="233"/>
  <c r="AI133" i="233"/>
  <c r="AH133" i="233"/>
  <c r="AG133" i="233"/>
  <c r="AF133" i="233"/>
  <c r="AE133" i="233"/>
  <c r="AD133" i="233"/>
  <c r="AC133" i="233"/>
  <c r="AB133" i="233"/>
  <c r="AA133" i="233"/>
  <c r="Z133" i="233"/>
  <c r="Y133" i="233"/>
  <c r="X133" i="233"/>
  <c r="W133" i="233"/>
  <c r="V133" i="233"/>
  <c r="U133" i="233"/>
  <c r="T133" i="233"/>
  <c r="S133" i="233"/>
  <c r="R133" i="233"/>
  <c r="Q133" i="233"/>
  <c r="P133" i="233"/>
  <c r="O133" i="233"/>
  <c r="N133" i="233"/>
  <c r="M133" i="233"/>
  <c r="L133" i="233"/>
  <c r="K133" i="233"/>
  <c r="J133" i="233"/>
  <c r="I133" i="233"/>
  <c r="H133" i="233"/>
  <c r="G133" i="233"/>
  <c r="AP131" i="233"/>
  <c r="AO131" i="233"/>
  <c r="AN131" i="233"/>
  <c r="AK131" i="233"/>
  <c r="AJ131" i="233"/>
  <c r="AI131" i="233"/>
  <c r="AH131" i="233"/>
  <c r="AG131" i="233"/>
  <c r="AF131" i="233"/>
  <c r="AE131" i="233"/>
  <c r="AD131" i="233"/>
  <c r="AC131" i="233"/>
  <c r="AB131" i="233"/>
  <c r="AA131" i="233"/>
  <c r="Z131" i="233"/>
  <c r="Y131" i="233"/>
  <c r="X131" i="233"/>
  <c r="W131" i="233"/>
  <c r="V131" i="233"/>
  <c r="U131" i="233"/>
  <c r="T131" i="233"/>
  <c r="S131" i="233"/>
  <c r="R131" i="233"/>
  <c r="Q131" i="233"/>
  <c r="P131" i="233"/>
  <c r="O131" i="233"/>
  <c r="N131" i="233"/>
  <c r="M131" i="233"/>
  <c r="L131" i="233"/>
  <c r="K131" i="233"/>
  <c r="J131" i="233"/>
  <c r="I131" i="233"/>
  <c r="H131" i="233"/>
  <c r="G131" i="233"/>
  <c r="AL131" i="233" s="1"/>
  <c r="AP129" i="233"/>
  <c r="AO129" i="233"/>
  <c r="AN129" i="233"/>
  <c r="AK129" i="233"/>
  <c r="AJ129" i="233"/>
  <c r="AI129" i="233"/>
  <c r="AH129" i="233"/>
  <c r="AG129" i="233"/>
  <c r="AF129" i="233"/>
  <c r="AE129" i="233"/>
  <c r="AD129" i="233"/>
  <c r="AC129" i="233"/>
  <c r="AB129" i="233"/>
  <c r="AA129" i="233"/>
  <c r="Z129" i="233"/>
  <c r="Y129" i="233"/>
  <c r="X129" i="233"/>
  <c r="W129" i="233"/>
  <c r="V129" i="233"/>
  <c r="U129" i="233"/>
  <c r="T129" i="233"/>
  <c r="S129" i="233"/>
  <c r="R129" i="233"/>
  <c r="Q129" i="233"/>
  <c r="P129" i="233"/>
  <c r="O129" i="233"/>
  <c r="N129" i="233"/>
  <c r="M129" i="233"/>
  <c r="AL128" i="233" s="1"/>
  <c r="L129" i="233"/>
  <c r="K129" i="233"/>
  <c r="J129" i="233"/>
  <c r="I129" i="233"/>
  <c r="H129" i="233"/>
  <c r="G129" i="233"/>
  <c r="AP127" i="233"/>
  <c r="AO127" i="233"/>
  <c r="AN127" i="233"/>
  <c r="AK127" i="233"/>
  <c r="AJ127" i="233"/>
  <c r="AI127" i="233"/>
  <c r="AH127" i="233"/>
  <c r="AG127" i="233"/>
  <c r="AF127" i="233"/>
  <c r="AE127" i="233"/>
  <c r="AD127" i="233"/>
  <c r="AC127" i="233"/>
  <c r="AB127" i="233"/>
  <c r="AA127" i="233"/>
  <c r="Z127" i="233"/>
  <c r="Y127" i="233"/>
  <c r="X127" i="233"/>
  <c r="W127" i="233"/>
  <c r="V127" i="233"/>
  <c r="U127" i="233"/>
  <c r="T127" i="233"/>
  <c r="S127" i="233"/>
  <c r="R127" i="233"/>
  <c r="Q127" i="233"/>
  <c r="P127" i="233"/>
  <c r="O127" i="233"/>
  <c r="N127" i="233"/>
  <c r="M127" i="233"/>
  <c r="L127" i="233"/>
  <c r="K127" i="233"/>
  <c r="AL127" i="233" s="1"/>
  <c r="J127" i="233"/>
  <c r="I127" i="233"/>
  <c r="H127" i="233"/>
  <c r="G127" i="233"/>
  <c r="AP125" i="233"/>
  <c r="AO125" i="233"/>
  <c r="AN125" i="233"/>
  <c r="AK125" i="233"/>
  <c r="AJ125" i="233"/>
  <c r="AI125" i="233"/>
  <c r="AH125" i="233"/>
  <c r="AG125" i="233"/>
  <c r="AF125" i="233"/>
  <c r="AE125" i="233"/>
  <c r="AD125" i="233"/>
  <c r="AC125" i="233"/>
  <c r="AB125" i="233"/>
  <c r="AA125" i="233"/>
  <c r="Z125" i="233"/>
  <c r="Y125" i="233"/>
  <c r="X125" i="233"/>
  <c r="W125" i="233"/>
  <c r="V125" i="233"/>
  <c r="U125" i="233"/>
  <c r="T125" i="233"/>
  <c r="S125" i="233"/>
  <c r="R125" i="233"/>
  <c r="Q125" i="233"/>
  <c r="P125" i="233"/>
  <c r="O125" i="233"/>
  <c r="N125" i="233"/>
  <c r="M125" i="233"/>
  <c r="L125" i="233"/>
  <c r="K125" i="233"/>
  <c r="J125" i="233"/>
  <c r="I125" i="233"/>
  <c r="H125" i="233"/>
  <c r="G125" i="233"/>
  <c r="AP123" i="233"/>
  <c r="AO123" i="233"/>
  <c r="AN123" i="233"/>
  <c r="AK123" i="233"/>
  <c r="AJ123" i="233"/>
  <c r="AI123" i="233"/>
  <c r="AH123" i="233"/>
  <c r="AG123" i="233"/>
  <c r="AF123" i="233"/>
  <c r="AE123" i="233"/>
  <c r="AD123" i="233"/>
  <c r="AC123" i="233"/>
  <c r="AB123" i="233"/>
  <c r="AA123" i="233"/>
  <c r="Z123" i="233"/>
  <c r="Y123" i="233"/>
  <c r="X123" i="233"/>
  <c r="W123" i="233"/>
  <c r="V123" i="233"/>
  <c r="U123" i="233"/>
  <c r="T123" i="233"/>
  <c r="S123" i="233"/>
  <c r="R123" i="233"/>
  <c r="Q123" i="233"/>
  <c r="P123" i="233"/>
  <c r="O123" i="233"/>
  <c r="N123" i="233"/>
  <c r="M123" i="233"/>
  <c r="L123" i="233"/>
  <c r="K123" i="233"/>
  <c r="J123" i="233"/>
  <c r="I123" i="233"/>
  <c r="H123" i="233"/>
  <c r="G123" i="233"/>
  <c r="AP121" i="233"/>
  <c r="AO121" i="233"/>
  <c r="AN121" i="233"/>
  <c r="AK121" i="233"/>
  <c r="AJ121" i="233"/>
  <c r="AI121" i="233"/>
  <c r="AH121" i="233"/>
  <c r="AG121" i="233"/>
  <c r="AF121" i="233"/>
  <c r="AE121" i="233"/>
  <c r="AD121" i="233"/>
  <c r="AC121" i="233"/>
  <c r="AB121" i="233"/>
  <c r="AA121" i="233"/>
  <c r="Z121" i="233"/>
  <c r="Y121" i="233"/>
  <c r="X121" i="233"/>
  <c r="W121" i="233"/>
  <c r="V121" i="233"/>
  <c r="U121" i="233"/>
  <c r="T121" i="233"/>
  <c r="S121" i="233"/>
  <c r="R121" i="233"/>
  <c r="Q121" i="233"/>
  <c r="P121" i="233"/>
  <c r="O121" i="233"/>
  <c r="N121" i="233"/>
  <c r="M121" i="233"/>
  <c r="AL121" i="233" s="1"/>
  <c r="L121" i="233"/>
  <c r="K121" i="233"/>
  <c r="J121" i="233"/>
  <c r="I121" i="233"/>
  <c r="H121" i="233"/>
  <c r="G121" i="233"/>
  <c r="AP119" i="233"/>
  <c r="AO119" i="233"/>
  <c r="AN119" i="233"/>
  <c r="AK119" i="233"/>
  <c r="AJ119" i="233"/>
  <c r="AI119" i="233"/>
  <c r="AH119" i="233"/>
  <c r="AG119" i="233"/>
  <c r="AF119" i="233"/>
  <c r="AE119" i="233"/>
  <c r="AD119" i="233"/>
  <c r="AC119" i="233"/>
  <c r="AB119" i="233"/>
  <c r="AA119" i="233"/>
  <c r="Z119" i="233"/>
  <c r="Y119" i="233"/>
  <c r="X119" i="233"/>
  <c r="W119" i="233"/>
  <c r="V119" i="233"/>
  <c r="U119" i="233"/>
  <c r="T119" i="233"/>
  <c r="S119" i="233"/>
  <c r="R119" i="233"/>
  <c r="Q119" i="233"/>
  <c r="P119" i="233"/>
  <c r="O119" i="233"/>
  <c r="N119" i="233"/>
  <c r="M119" i="233"/>
  <c r="L119" i="233"/>
  <c r="AL119" i="233" s="1"/>
  <c r="K119" i="233"/>
  <c r="J119" i="233"/>
  <c r="I119" i="233"/>
  <c r="H119" i="233"/>
  <c r="G119" i="233"/>
  <c r="AP117" i="233"/>
  <c r="AO117" i="233"/>
  <c r="AN117" i="233"/>
  <c r="AK117" i="233"/>
  <c r="AJ117" i="233"/>
  <c r="AI117" i="233"/>
  <c r="AH117" i="233"/>
  <c r="AG117" i="233"/>
  <c r="AF117" i="233"/>
  <c r="AE117" i="233"/>
  <c r="AD117" i="233"/>
  <c r="AC117" i="233"/>
  <c r="AB117" i="233"/>
  <c r="AA117" i="233"/>
  <c r="Z117" i="233"/>
  <c r="Y117" i="233"/>
  <c r="X117" i="233"/>
  <c r="W117" i="233"/>
  <c r="V117" i="233"/>
  <c r="U117" i="233"/>
  <c r="T117" i="233"/>
  <c r="S117" i="233"/>
  <c r="R117" i="233"/>
  <c r="Q117" i="233"/>
  <c r="P117" i="233"/>
  <c r="O117" i="233"/>
  <c r="N117" i="233"/>
  <c r="M117" i="233"/>
  <c r="L117" i="233"/>
  <c r="K117" i="233"/>
  <c r="J117" i="233"/>
  <c r="I117" i="233"/>
  <c r="H117" i="233"/>
  <c r="AL117" i="233" s="1"/>
  <c r="AM117" i="233" s="1"/>
  <c r="G117" i="233"/>
  <c r="AP115" i="233"/>
  <c r="AO115" i="233"/>
  <c r="AN115" i="233"/>
  <c r="AK115" i="233"/>
  <c r="AJ115" i="233"/>
  <c r="AI115" i="233"/>
  <c r="AH115" i="233"/>
  <c r="AG115" i="233"/>
  <c r="AF115" i="233"/>
  <c r="AE115" i="233"/>
  <c r="AD115" i="233"/>
  <c r="AC115" i="233"/>
  <c r="AB115" i="233"/>
  <c r="AA115" i="233"/>
  <c r="Z115" i="233"/>
  <c r="Y115" i="233"/>
  <c r="X115" i="233"/>
  <c r="W115" i="233"/>
  <c r="V115" i="233"/>
  <c r="U115" i="233"/>
  <c r="T115" i="233"/>
  <c r="S115" i="233"/>
  <c r="R115" i="233"/>
  <c r="Q115" i="233"/>
  <c r="P115" i="233"/>
  <c r="O115" i="233"/>
  <c r="N115" i="233"/>
  <c r="M115" i="233"/>
  <c r="L115" i="233"/>
  <c r="K115" i="233"/>
  <c r="J115" i="233"/>
  <c r="I115" i="233"/>
  <c r="H115" i="233"/>
  <c r="G115" i="233"/>
  <c r="AP113" i="233"/>
  <c r="AO113" i="233"/>
  <c r="AN113" i="233"/>
  <c r="AK113" i="233"/>
  <c r="AJ113" i="233"/>
  <c r="AI113" i="233"/>
  <c r="AH113" i="233"/>
  <c r="AG113" i="233"/>
  <c r="AF113" i="233"/>
  <c r="AE113" i="233"/>
  <c r="AD113" i="233"/>
  <c r="AC113" i="233"/>
  <c r="AB113" i="233"/>
  <c r="AA113" i="233"/>
  <c r="Z113" i="233"/>
  <c r="Y113" i="233"/>
  <c r="X113" i="233"/>
  <c r="W113" i="233"/>
  <c r="V113" i="233"/>
  <c r="U113" i="233"/>
  <c r="T113" i="233"/>
  <c r="S113" i="233"/>
  <c r="R113" i="233"/>
  <c r="Q113" i="233"/>
  <c r="P113" i="233"/>
  <c r="O113" i="233"/>
  <c r="N113" i="233"/>
  <c r="M113" i="233"/>
  <c r="L113" i="233"/>
  <c r="K113" i="233"/>
  <c r="J113" i="233"/>
  <c r="I113" i="233"/>
  <c r="H113" i="233"/>
  <c r="G113" i="233"/>
  <c r="AL113" i="233" s="1"/>
  <c r="AM113" i="233" s="1"/>
  <c r="AP111" i="233"/>
  <c r="AO111" i="233"/>
  <c r="AN111" i="233"/>
  <c r="AK111" i="233"/>
  <c r="AJ111" i="233"/>
  <c r="AI111" i="233"/>
  <c r="AH111" i="233"/>
  <c r="AG111" i="233"/>
  <c r="AF111" i="233"/>
  <c r="AE111" i="233"/>
  <c r="AD111" i="233"/>
  <c r="AC111" i="233"/>
  <c r="AB111" i="233"/>
  <c r="AA111" i="233"/>
  <c r="Z111" i="233"/>
  <c r="Y111" i="233"/>
  <c r="X111" i="233"/>
  <c r="W111" i="233"/>
  <c r="V111" i="233"/>
  <c r="U111" i="233"/>
  <c r="T111" i="233"/>
  <c r="S111" i="233"/>
  <c r="R111" i="233"/>
  <c r="Q111" i="233"/>
  <c r="P111" i="233"/>
  <c r="O111" i="233"/>
  <c r="N111" i="233"/>
  <c r="M111" i="233"/>
  <c r="L111" i="233"/>
  <c r="K111" i="233"/>
  <c r="J111" i="233"/>
  <c r="I111" i="233"/>
  <c r="H111" i="233"/>
  <c r="AL111" i="233" s="1"/>
  <c r="G111" i="233"/>
  <c r="AP109" i="233"/>
  <c r="AO109" i="233"/>
  <c r="AN109" i="233"/>
  <c r="AK109" i="233"/>
  <c r="AJ109" i="233"/>
  <c r="AI109" i="233"/>
  <c r="AH109" i="233"/>
  <c r="AG109" i="233"/>
  <c r="AF109" i="233"/>
  <c r="AE109" i="233"/>
  <c r="AD109" i="233"/>
  <c r="AC109" i="233"/>
  <c r="AB109" i="233"/>
  <c r="AA109" i="233"/>
  <c r="Z109" i="233"/>
  <c r="Y109" i="233"/>
  <c r="X109" i="233"/>
  <c r="W109" i="233"/>
  <c r="V109" i="233"/>
  <c r="U109" i="233"/>
  <c r="T109" i="233"/>
  <c r="S109" i="233"/>
  <c r="R109" i="233"/>
  <c r="Q109" i="233"/>
  <c r="P109" i="233"/>
  <c r="O109" i="233"/>
  <c r="N109" i="233"/>
  <c r="M109" i="233"/>
  <c r="L109" i="233"/>
  <c r="K109" i="233"/>
  <c r="J109" i="233"/>
  <c r="I109" i="233"/>
  <c r="H109" i="233"/>
  <c r="G109" i="233"/>
  <c r="AP107" i="233"/>
  <c r="AO107" i="233"/>
  <c r="AN107" i="233"/>
  <c r="AK107" i="233"/>
  <c r="AJ107" i="233"/>
  <c r="AI107" i="233"/>
  <c r="AH107" i="233"/>
  <c r="AG107" i="233"/>
  <c r="AF107" i="233"/>
  <c r="AE107" i="233"/>
  <c r="AD107" i="233"/>
  <c r="AC107" i="233"/>
  <c r="AB107" i="233"/>
  <c r="AA107" i="233"/>
  <c r="Z107" i="233"/>
  <c r="Y107" i="233"/>
  <c r="X107" i="233"/>
  <c r="W107" i="233"/>
  <c r="V107" i="233"/>
  <c r="U107" i="233"/>
  <c r="T107" i="233"/>
  <c r="S107" i="233"/>
  <c r="R107" i="233"/>
  <c r="Q107" i="233"/>
  <c r="P107" i="233"/>
  <c r="O107" i="233"/>
  <c r="N107" i="233"/>
  <c r="M107" i="233"/>
  <c r="L107" i="233"/>
  <c r="K107" i="233"/>
  <c r="J107" i="233"/>
  <c r="I107" i="233"/>
  <c r="H107" i="233"/>
  <c r="G107" i="233"/>
  <c r="AP105" i="233"/>
  <c r="AO105" i="233"/>
  <c r="AN105" i="233"/>
  <c r="AK105" i="233"/>
  <c r="AJ105" i="233"/>
  <c r="AI105" i="233"/>
  <c r="AH105" i="233"/>
  <c r="AG105" i="233"/>
  <c r="AF105" i="233"/>
  <c r="AE105" i="233"/>
  <c r="AD105" i="233"/>
  <c r="AC105" i="233"/>
  <c r="AB105" i="233"/>
  <c r="AA105" i="233"/>
  <c r="Z105" i="233"/>
  <c r="Y105" i="233"/>
  <c r="X105" i="233"/>
  <c r="W105" i="233"/>
  <c r="V105" i="233"/>
  <c r="U105" i="233"/>
  <c r="T105" i="233"/>
  <c r="S105" i="233"/>
  <c r="R105" i="233"/>
  <c r="Q105" i="233"/>
  <c r="P105" i="233"/>
  <c r="O105" i="233"/>
  <c r="N105" i="233"/>
  <c r="M105" i="233"/>
  <c r="L105" i="233"/>
  <c r="K105" i="233"/>
  <c r="J105" i="233"/>
  <c r="I105" i="233"/>
  <c r="H105" i="233"/>
  <c r="G105" i="233"/>
  <c r="AP103" i="233"/>
  <c r="AO103" i="233"/>
  <c r="AN103" i="233"/>
  <c r="AK103" i="233"/>
  <c r="AJ103" i="233"/>
  <c r="AI103" i="233"/>
  <c r="AH103" i="233"/>
  <c r="AG103" i="233"/>
  <c r="AF103" i="233"/>
  <c r="AE103" i="233"/>
  <c r="AD103" i="233"/>
  <c r="AC103" i="233"/>
  <c r="AB103" i="233"/>
  <c r="AA103" i="233"/>
  <c r="Z103" i="233"/>
  <c r="Y103" i="233"/>
  <c r="X103" i="233"/>
  <c r="W103" i="233"/>
  <c r="V103" i="233"/>
  <c r="U103" i="233"/>
  <c r="T103" i="233"/>
  <c r="S103" i="233"/>
  <c r="R103" i="233"/>
  <c r="Q103" i="233"/>
  <c r="P103" i="233"/>
  <c r="O103" i="233"/>
  <c r="N103" i="233"/>
  <c r="M103" i="233"/>
  <c r="L103" i="233"/>
  <c r="K103" i="233"/>
  <c r="J103" i="233"/>
  <c r="I103" i="233"/>
  <c r="H103" i="233"/>
  <c r="G103" i="233"/>
  <c r="AL103" i="233" s="1"/>
  <c r="AP101" i="233"/>
  <c r="AO101" i="233"/>
  <c r="AN101" i="233"/>
  <c r="AK101" i="233"/>
  <c r="AJ101" i="233"/>
  <c r="AI101" i="233"/>
  <c r="AH101" i="233"/>
  <c r="AG101" i="233"/>
  <c r="AF101" i="233"/>
  <c r="AE101" i="233"/>
  <c r="AD101" i="233"/>
  <c r="AC101" i="233"/>
  <c r="AB101" i="233"/>
  <c r="AA101" i="233"/>
  <c r="Z101" i="233"/>
  <c r="Y101" i="233"/>
  <c r="X101" i="233"/>
  <c r="W101" i="233"/>
  <c r="V101" i="233"/>
  <c r="U101" i="233"/>
  <c r="T101" i="233"/>
  <c r="S101" i="233"/>
  <c r="R101" i="233"/>
  <c r="Q101" i="233"/>
  <c r="P101" i="233"/>
  <c r="O101" i="233"/>
  <c r="N101" i="233"/>
  <c r="M101" i="233"/>
  <c r="AL101" i="233" s="1"/>
  <c r="L101" i="233"/>
  <c r="K101" i="233"/>
  <c r="J101" i="233"/>
  <c r="I101" i="233"/>
  <c r="H101" i="233"/>
  <c r="G101" i="233"/>
  <c r="AP99" i="233"/>
  <c r="AO99" i="233"/>
  <c r="AN99" i="233"/>
  <c r="AK99" i="233"/>
  <c r="AJ99" i="233"/>
  <c r="AI99" i="233"/>
  <c r="AH99" i="233"/>
  <c r="AG99" i="233"/>
  <c r="AF99" i="233"/>
  <c r="AE99" i="233"/>
  <c r="AD99" i="233"/>
  <c r="AC99" i="233"/>
  <c r="AB99" i="233"/>
  <c r="AA99" i="233"/>
  <c r="Z99" i="233"/>
  <c r="Y99" i="233"/>
  <c r="X99" i="233"/>
  <c r="W99" i="233"/>
  <c r="V99" i="233"/>
  <c r="U99" i="233"/>
  <c r="T99" i="233"/>
  <c r="S99" i="233"/>
  <c r="R99" i="233"/>
  <c r="Q99" i="233"/>
  <c r="P99" i="233"/>
  <c r="O99" i="233"/>
  <c r="N99" i="233"/>
  <c r="M99" i="233"/>
  <c r="L99" i="233"/>
  <c r="AL99" i="233" s="1"/>
  <c r="K99" i="233"/>
  <c r="J99" i="233"/>
  <c r="I99" i="233"/>
  <c r="H99" i="233"/>
  <c r="G99" i="233"/>
  <c r="AP97" i="233"/>
  <c r="AO97" i="233"/>
  <c r="AN97" i="233"/>
  <c r="AK97" i="233"/>
  <c r="AJ97" i="233"/>
  <c r="AI97" i="233"/>
  <c r="AH97" i="233"/>
  <c r="AG97" i="233"/>
  <c r="AF97" i="233"/>
  <c r="AE97" i="233"/>
  <c r="AD97" i="233"/>
  <c r="AC97" i="233"/>
  <c r="AB97" i="233"/>
  <c r="AA97" i="233"/>
  <c r="Z97" i="233"/>
  <c r="Y97" i="233"/>
  <c r="X97" i="233"/>
  <c r="W97" i="233"/>
  <c r="V97" i="233"/>
  <c r="U97" i="233"/>
  <c r="T97" i="233"/>
  <c r="S97" i="233"/>
  <c r="R97" i="233"/>
  <c r="Q97" i="233"/>
  <c r="P97" i="233"/>
  <c r="O97" i="233"/>
  <c r="N97" i="233"/>
  <c r="M97" i="233"/>
  <c r="L97" i="233"/>
  <c r="K97" i="233"/>
  <c r="AL97" i="233" s="1"/>
  <c r="J97" i="233"/>
  <c r="I97" i="233"/>
  <c r="H97" i="233"/>
  <c r="G97" i="233"/>
  <c r="AP95" i="233"/>
  <c r="AO95" i="233"/>
  <c r="AN95" i="233"/>
  <c r="AK95" i="233"/>
  <c r="AJ95" i="233"/>
  <c r="AI95" i="233"/>
  <c r="AH95" i="233"/>
  <c r="AG95" i="233"/>
  <c r="AF95" i="233"/>
  <c r="AE95" i="233"/>
  <c r="AD95" i="233"/>
  <c r="AC95" i="233"/>
  <c r="AB95" i="233"/>
  <c r="AA95" i="233"/>
  <c r="Z95" i="233"/>
  <c r="Y95" i="233"/>
  <c r="X95" i="233"/>
  <c r="W95" i="233"/>
  <c r="V95" i="233"/>
  <c r="U95" i="233"/>
  <c r="T95" i="233"/>
  <c r="S95" i="233"/>
  <c r="R95" i="233"/>
  <c r="Q95" i="233"/>
  <c r="P95" i="233"/>
  <c r="O95" i="233"/>
  <c r="N95" i="233"/>
  <c r="M95" i="233"/>
  <c r="L95" i="233"/>
  <c r="K95" i="233"/>
  <c r="J95" i="233"/>
  <c r="I95" i="233"/>
  <c r="H95" i="233"/>
  <c r="AL95" i="233" s="1"/>
  <c r="AM95" i="233" s="1"/>
  <c r="G95" i="233"/>
  <c r="AP93" i="233"/>
  <c r="AO93" i="233"/>
  <c r="AN93" i="233"/>
  <c r="AK93" i="233"/>
  <c r="AJ93" i="233"/>
  <c r="AI93" i="233"/>
  <c r="AH93" i="233"/>
  <c r="AG93" i="233"/>
  <c r="AF93" i="233"/>
  <c r="AE93" i="233"/>
  <c r="AD93" i="233"/>
  <c r="AC93" i="233"/>
  <c r="AB93" i="233"/>
  <c r="AA93" i="233"/>
  <c r="Z93" i="233"/>
  <c r="Y93" i="233"/>
  <c r="X93" i="233"/>
  <c r="W93" i="233"/>
  <c r="V93" i="233"/>
  <c r="U93" i="233"/>
  <c r="T93" i="233"/>
  <c r="S93" i="233"/>
  <c r="R93" i="233"/>
  <c r="Q93" i="233"/>
  <c r="P93" i="233"/>
  <c r="O93" i="233"/>
  <c r="N93" i="233"/>
  <c r="M93" i="233"/>
  <c r="L93" i="233"/>
  <c r="K93" i="233"/>
  <c r="J93" i="233"/>
  <c r="I93" i="233"/>
  <c r="H93" i="233"/>
  <c r="G93" i="233"/>
  <c r="AP91" i="233"/>
  <c r="AO91" i="233"/>
  <c r="AN91" i="233"/>
  <c r="AL91" i="233"/>
  <c r="AK91" i="233"/>
  <c r="AJ91" i="233"/>
  <c r="AI91" i="233"/>
  <c r="AH91" i="233"/>
  <c r="AG91" i="233"/>
  <c r="AF91" i="233"/>
  <c r="AE91" i="233"/>
  <c r="AD91" i="233"/>
  <c r="AC91" i="233"/>
  <c r="AB91" i="233"/>
  <c r="AA91" i="233"/>
  <c r="Z91" i="233"/>
  <c r="Y91" i="233"/>
  <c r="X91" i="233"/>
  <c r="W91" i="233"/>
  <c r="V91" i="233"/>
  <c r="U91" i="233"/>
  <c r="T91" i="233"/>
  <c r="S91" i="233"/>
  <c r="R91" i="233"/>
  <c r="Q91" i="233"/>
  <c r="P91" i="233"/>
  <c r="O91" i="233"/>
  <c r="N91" i="233"/>
  <c r="M91" i="233"/>
  <c r="L91" i="233"/>
  <c r="K91" i="233"/>
  <c r="J91" i="233"/>
  <c r="I91" i="233"/>
  <c r="H91" i="233"/>
  <c r="G91" i="233"/>
  <c r="AL90" i="233"/>
  <c r="AP89" i="233"/>
  <c r="AO89" i="233"/>
  <c r="AN89" i="233"/>
  <c r="AK89" i="233"/>
  <c r="AJ89" i="233"/>
  <c r="AI89" i="233"/>
  <c r="AH89" i="233"/>
  <c r="AG89" i="233"/>
  <c r="AF89" i="233"/>
  <c r="AE89" i="233"/>
  <c r="AD89" i="233"/>
  <c r="AC89" i="233"/>
  <c r="AB89" i="233"/>
  <c r="AA89" i="233"/>
  <c r="Z89" i="233"/>
  <c r="Y89" i="233"/>
  <c r="X89" i="233"/>
  <c r="W89" i="233"/>
  <c r="V89" i="233"/>
  <c r="U89" i="233"/>
  <c r="T89" i="233"/>
  <c r="S89" i="233"/>
  <c r="R89" i="233"/>
  <c r="Q89" i="233"/>
  <c r="P89" i="233"/>
  <c r="O89" i="233"/>
  <c r="N89" i="233"/>
  <c r="M89" i="233"/>
  <c r="L89" i="233"/>
  <c r="K89" i="233"/>
  <c r="AL89" i="233" s="1"/>
  <c r="J89" i="233"/>
  <c r="I89" i="233"/>
  <c r="H89" i="233"/>
  <c r="G89" i="233"/>
  <c r="AP87" i="233"/>
  <c r="AO87" i="233"/>
  <c r="AN87" i="233"/>
  <c r="AK87" i="233"/>
  <c r="AJ87" i="233"/>
  <c r="AI87" i="233"/>
  <c r="AH87" i="233"/>
  <c r="AG87" i="233"/>
  <c r="AF87" i="233"/>
  <c r="AE87" i="233"/>
  <c r="AD87" i="233"/>
  <c r="AC87" i="233"/>
  <c r="AB87" i="233"/>
  <c r="AA87" i="233"/>
  <c r="Z87" i="233"/>
  <c r="Y87" i="233"/>
  <c r="X87" i="233"/>
  <c r="W87" i="233"/>
  <c r="V87" i="233"/>
  <c r="U87" i="233"/>
  <c r="T87" i="233"/>
  <c r="S87" i="233"/>
  <c r="R87" i="233"/>
  <c r="Q87" i="233"/>
  <c r="P87" i="233"/>
  <c r="O87" i="233"/>
  <c r="N87" i="233"/>
  <c r="M87" i="233"/>
  <c r="L87" i="233"/>
  <c r="K87" i="233"/>
  <c r="J87" i="233"/>
  <c r="I87" i="233"/>
  <c r="H87" i="233"/>
  <c r="G87" i="233"/>
  <c r="AL87" i="233" s="1"/>
  <c r="AP85" i="233"/>
  <c r="AO85" i="233"/>
  <c r="AN85" i="233"/>
  <c r="AK85" i="233"/>
  <c r="AJ85" i="233"/>
  <c r="AI85" i="233"/>
  <c r="AH85" i="233"/>
  <c r="AG85" i="233"/>
  <c r="AF85" i="233"/>
  <c r="AE85" i="233"/>
  <c r="AD85" i="233"/>
  <c r="AC85" i="233"/>
  <c r="AB85" i="233"/>
  <c r="AA85" i="233"/>
  <c r="Z85" i="233"/>
  <c r="Y85" i="233"/>
  <c r="X85" i="233"/>
  <c r="W85" i="233"/>
  <c r="V85" i="233"/>
  <c r="U85" i="233"/>
  <c r="T85" i="233"/>
  <c r="S85" i="233"/>
  <c r="R85" i="233"/>
  <c r="Q85" i="233"/>
  <c r="P85" i="233"/>
  <c r="O85" i="233"/>
  <c r="N85" i="233"/>
  <c r="M85" i="233"/>
  <c r="L85" i="233"/>
  <c r="K85" i="233"/>
  <c r="J85" i="233"/>
  <c r="I85" i="233"/>
  <c r="H85" i="233"/>
  <c r="G85" i="233"/>
  <c r="AP83" i="233"/>
  <c r="AO83" i="233"/>
  <c r="AN83" i="233"/>
  <c r="AK83" i="233"/>
  <c r="AJ83" i="233"/>
  <c r="AI83" i="233"/>
  <c r="AH83" i="233"/>
  <c r="AG83" i="233"/>
  <c r="AF83" i="233"/>
  <c r="AE83" i="233"/>
  <c r="AD83" i="233"/>
  <c r="AC83" i="233"/>
  <c r="AB83" i="233"/>
  <c r="AA83" i="233"/>
  <c r="Z83" i="233"/>
  <c r="Y83" i="233"/>
  <c r="X83" i="233"/>
  <c r="W83" i="233"/>
  <c r="V83" i="233"/>
  <c r="AL82" i="233" s="1"/>
  <c r="U83" i="233"/>
  <c r="T83" i="233"/>
  <c r="S83" i="233"/>
  <c r="R83" i="233"/>
  <c r="Q83" i="233"/>
  <c r="P83" i="233"/>
  <c r="O83" i="233"/>
  <c r="N83" i="233"/>
  <c r="AL83" i="233" s="1"/>
  <c r="M83" i="233"/>
  <c r="L83" i="233"/>
  <c r="K83" i="233"/>
  <c r="J83" i="233"/>
  <c r="I83" i="233"/>
  <c r="H83" i="233"/>
  <c r="G83" i="233"/>
  <c r="AP81" i="233"/>
  <c r="AO81" i="233"/>
  <c r="AN81" i="233"/>
  <c r="AK81" i="233"/>
  <c r="AJ81" i="233"/>
  <c r="AI81" i="233"/>
  <c r="AH81" i="233"/>
  <c r="AG81" i="233"/>
  <c r="AF81" i="233"/>
  <c r="AE81" i="233"/>
  <c r="AD81" i="233"/>
  <c r="AC81" i="233"/>
  <c r="AB81" i="233"/>
  <c r="AA81" i="233"/>
  <c r="Z81" i="233"/>
  <c r="Y81" i="233"/>
  <c r="X81" i="233"/>
  <c r="W81" i="233"/>
  <c r="V81" i="233"/>
  <c r="U81" i="233"/>
  <c r="T81" i="233"/>
  <c r="S81" i="233"/>
  <c r="R81" i="233"/>
  <c r="Q81" i="233"/>
  <c r="P81" i="233"/>
  <c r="O81" i="233"/>
  <c r="N81" i="233"/>
  <c r="M81" i="233"/>
  <c r="L81" i="233"/>
  <c r="K81" i="233"/>
  <c r="J81" i="233"/>
  <c r="I81" i="233"/>
  <c r="H81" i="233"/>
  <c r="G81" i="233"/>
  <c r="AL81" i="233" s="1"/>
  <c r="AP79" i="233"/>
  <c r="AO79" i="233"/>
  <c r="AN79" i="233"/>
  <c r="AK79" i="233"/>
  <c r="AJ79" i="233"/>
  <c r="AI79" i="233"/>
  <c r="AH79" i="233"/>
  <c r="AG79" i="233"/>
  <c r="AF79" i="233"/>
  <c r="AE79" i="233"/>
  <c r="AD79" i="233"/>
  <c r="AC79" i="233"/>
  <c r="AB79" i="233"/>
  <c r="AA79" i="233"/>
  <c r="Z79" i="233"/>
  <c r="Y79" i="233"/>
  <c r="X79" i="233"/>
  <c r="W79" i="233"/>
  <c r="V79" i="233"/>
  <c r="U79" i="233"/>
  <c r="T79" i="233"/>
  <c r="S79" i="233"/>
  <c r="R79" i="233"/>
  <c r="Q79" i="233"/>
  <c r="P79" i="233"/>
  <c r="O79" i="233"/>
  <c r="N79" i="233"/>
  <c r="AL79" i="233" s="1"/>
  <c r="M79" i="233"/>
  <c r="L79" i="233"/>
  <c r="K79" i="233"/>
  <c r="J79" i="233"/>
  <c r="I79" i="233"/>
  <c r="H79" i="233"/>
  <c r="G79" i="233"/>
  <c r="AL78" i="233"/>
  <c r="AP77" i="233"/>
  <c r="AO77" i="233"/>
  <c r="AN77" i="233"/>
  <c r="AK77" i="233"/>
  <c r="AJ77" i="233"/>
  <c r="AI77" i="233"/>
  <c r="AH77" i="233"/>
  <c r="AG77" i="233"/>
  <c r="AF77" i="233"/>
  <c r="AE77" i="233"/>
  <c r="AD77" i="233"/>
  <c r="AC77" i="233"/>
  <c r="AB77" i="233"/>
  <c r="AA77" i="233"/>
  <c r="Z77" i="233"/>
  <c r="Y77" i="233"/>
  <c r="X77" i="233"/>
  <c r="W77" i="233"/>
  <c r="V77" i="233"/>
  <c r="U77" i="233"/>
  <c r="T77" i="233"/>
  <c r="S77" i="233"/>
  <c r="R77" i="233"/>
  <c r="Q77" i="233"/>
  <c r="P77" i="233"/>
  <c r="O77" i="233"/>
  <c r="N77" i="233"/>
  <c r="M77" i="233"/>
  <c r="L77" i="233"/>
  <c r="K77" i="233"/>
  <c r="J77" i="233"/>
  <c r="I77" i="233"/>
  <c r="H77" i="233"/>
  <c r="G77" i="233"/>
  <c r="AP75" i="233"/>
  <c r="AO75" i="233"/>
  <c r="AN75" i="233"/>
  <c r="AK75" i="233"/>
  <c r="AJ75" i="233"/>
  <c r="AI75" i="233"/>
  <c r="AH75" i="233"/>
  <c r="AG75" i="233"/>
  <c r="AF75" i="233"/>
  <c r="AE75" i="233"/>
  <c r="AD75" i="233"/>
  <c r="AC75" i="233"/>
  <c r="AB75" i="233"/>
  <c r="AA75" i="233"/>
  <c r="Z75" i="233"/>
  <c r="Y75" i="233"/>
  <c r="X75" i="233"/>
  <c r="W75" i="233"/>
  <c r="V75" i="233"/>
  <c r="U75" i="233"/>
  <c r="T75" i="233"/>
  <c r="S75" i="233"/>
  <c r="R75" i="233"/>
  <c r="Q75" i="233"/>
  <c r="P75" i="233"/>
  <c r="O75" i="233"/>
  <c r="N75" i="233"/>
  <c r="M75" i="233"/>
  <c r="L75" i="233"/>
  <c r="K75" i="233"/>
  <c r="J75" i="233"/>
  <c r="I75" i="233"/>
  <c r="H75" i="233"/>
  <c r="G75" i="233"/>
  <c r="AP73" i="233"/>
  <c r="AO73" i="233"/>
  <c r="AN73" i="233"/>
  <c r="AK73" i="233"/>
  <c r="AJ73" i="233"/>
  <c r="AI73" i="233"/>
  <c r="AH73" i="233"/>
  <c r="AG73" i="233"/>
  <c r="AF73" i="233"/>
  <c r="AE73" i="233"/>
  <c r="AD73" i="233"/>
  <c r="AC73" i="233"/>
  <c r="AB73" i="233"/>
  <c r="AA73" i="233"/>
  <c r="Z73" i="233"/>
  <c r="Y73" i="233"/>
  <c r="X73" i="233"/>
  <c r="W73" i="233"/>
  <c r="V73" i="233"/>
  <c r="U73" i="233"/>
  <c r="T73" i="233"/>
  <c r="S73" i="233"/>
  <c r="R73" i="233"/>
  <c r="Q73" i="233"/>
  <c r="P73" i="233"/>
  <c r="O73" i="233"/>
  <c r="N73" i="233"/>
  <c r="M73" i="233"/>
  <c r="AL72" i="233" s="1"/>
  <c r="L73" i="233"/>
  <c r="K73" i="233"/>
  <c r="J73" i="233"/>
  <c r="I73" i="233"/>
  <c r="H73" i="233"/>
  <c r="G73" i="233"/>
  <c r="AP71" i="233"/>
  <c r="AO71" i="233"/>
  <c r="AN71" i="233"/>
  <c r="AK71" i="233"/>
  <c r="AJ71" i="233"/>
  <c r="AI71" i="233"/>
  <c r="AH71" i="233"/>
  <c r="AG71" i="233"/>
  <c r="AF71" i="233"/>
  <c r="AE71" i="233"/>
  <c r="AD71" i="233"/>
  <c r="AC71" i="233"/>
  <c r="AB71" i="233"/>
  <c r="AA71" i="233"/>
  <c r="Z71" i="233"/>
  <c r="Y71" i="233"/>
  <c r="X71" i="233"/>
  <c r="W71" i="233"/>
  <c r="V71" i="233"/>
  <c r="U71" i="233"/>
  <c r="T71" i="233"/>
  <c r="S71" i="233"/>
  <c r="R71" i="233"/>
  <c r="Q71" i="233"/>
  <c r="P71" i="233"/>
  <c r="O71" i="233"/>
  <c r="N71" i="233"/>
  <c r="M71" i="233"/>
  <c r="L71" i="233"/>
  <c r="K71" i="233"/>
  <c r="J71" i="233"/>
  <c r="I71" i="233"/>
  <c r="H71" i="233"/>
  <c r="G71" i="233"/>
  <c r="AL71" i="233" s="1"/>
  <c r="AP69" i="233"/>
  <c r="AO69" i="233"/>
  <c r="AN69" i="233"/>
  <c r="AK69" i="233"/>
  <c r="AJ69" i="233"/>
  <c r="AI69" i="233"/>
  <c r="AH69" i="233"/>
  <c r="AG69" i="233"/>
  <c r="AF69" i="233"/>
  <c r="AE69" i="233"/>
  <c r="AD69" i="233"/>
  <c r="AC69" i="233"/>
  <c r="AB69" i="233"/>
  <c r="AA69" i="233"/>
  <c r="Z69" i="233"/>
  <c r="Y69" i="233"/>
  <c r="X69" i="233"/>
  <c r="W69" i="233"/>
  <c r="V69" i="233"/>
  <c r="U69" i="233"/>
  <c r="T69" i="233"/>
  <c r="S69" i="233"/>
  <c r="R69" i="233"/>
  <c r="Q69" i="233"/>
  <c r="P69" i="233"/>
  <c r="O69" i="233"/>
  <c r="N69" i="233"/>
  <c r="M69" i="233"/>
  <c r="AL69" i="233" s="1"/>
  <c r="L69" i="233"/>
  <c r="K69" i="233"/>
  <c r="J69" i="233"/>
  <c r="I69" i="233"/>
  <c r="H69" i="233"/>
  <c r="G69" i="233"/>
  <c r="AP67" i="233"/>
  <c r="AO67" i="233"/>
  <c r="AN67" i="233"/>
  <c r="AK67" i="233"/>
  <c r="AJ67" i="233"/>
  <c r="AI67" i="233"/>
  <c r="AH67" i="233"/>
  <c r="AG67" i="233"/>
  <c r="AF67" i="233"/>
  <c r="AE67" i="233"/>
  <c r="AD67" i="233"/>
  <c r="AC67" i="233"/>
  <c r="AB67" i="233"/>
  <c r="AA67" i="233"/>
  <c r="Z67" i="233"/>
  <c r="Y67" i="233"/>
  <c r="X67" i="233"/>
  <c r="W67" i="233"/>
  <c r="V67" i="233"/>
  <c r="U67" i="233"/>
  <c r="T67" i="233"/>
  <c r="S67" i="233"/>
  <c r="R67" i="233"/>
  <c r="Q67" i="233"/>
  <c r="P67" i="233"/>
  <c r="O67" i="233"/>
  <c r="N67" i="233"/>
  <c r="M67" i="233"/>
  <c r="L67" i="233"/>
  <c r="K67" i="233"/>
  <c r="J67" i="233"/>
  <c r="I67" i="233"/>
  <c r="H67" i="233"/>
  <c r="G67" i="233"/>
  <c r="AP65" i="233"/>
  <c r="AO65" i="233"/>
  <c r="AN65" i="233"/>
  <c r="AK65" i="233"/>
  <c r="AJ65" i="233"/>
  <c r="AI65" i="233"/>
  <c r="AH65" i="233"/>
  <c r="AG65" i="233"/>
  <c r="AF65" i="233"/>
  <c r="AE65" i="233"/>
  <c r="AD65" i="233"/>
  <c r="AC65" i="233"/>
  <c r="AB65" i="233"/>
  <c r="AA65" i="233"/>
  <c r="Z65" i="233"/>
  <c r="Y65" i="233"/>
  <c r="X65" i="233"/>
  <c r="W65" i="233"/>
  <c r="V65" i="233"/>
  <c r="U65" i="233"/>
  <c r="T65" i="233"/>
  <c r="S65" i="233"/>
  <c r="R65" i="233"/>
  <c r="Q65" i="233"/>
  <c r="P65" i="233"/>
  <c r="O65" i="233"/>
  <c r="N65" i="233"/>
  <c r="M65" i="233"/>
  <c r="L65" i="233"/>
  <c r="K65" i="233"/>
  <c r="J65" i="233"/>
  <c r="I65" i="233"/>
  <c r="H65" i="233"/>
  <c r="G65" i="233"/>
  <c r="AP63" i="233"/>
  <c r="AO63" i="233"/>
  <c r="AN63" i="233"/>
  <c r="AK63" i="233"/>
  <c r="AJ63" i="233"/>
  <c r="AI63" i="233"/>
  <c r="AH63" i="233"/>
  <c r="AG63" i="233"/>
  <c r="AF63" i="233"/>
  <c r="AE63" i="233"/>
  <c r="AD63" i="233"/>
  <c r="AC63" i="233"/>
  <c r="AB63" i="233"/>
  <c r="AA63" i="233"/>
  <c r="Z63" i="233"/>
  <c r="Y63" i="233"/>
  <c r="X63" i="233"/>
  <c r="W63" i="233"/>
  <c r="V63" i="233"/>
  <c r="U63" i="233"/>
  <c r="T63" i="233"/>
  <c r="S63" i="233"/>
  <c r="R63" i="233"/>
  <c r="Q63" i="233"/>
  <c r="P63" i="233"/>
  <c r="O63" i="233"/>
  <c r="N63" i="233"/>
  <c r="AL63" i="233" s="1"/>
  <c r="M63" i="233"/>
  <c r="L63" i="233"/>
  <c r="K63" i="233"/>
  <c r="J63" i="233"/>
  <c r="I63" i="233"/>
  <c r="H63" i="233"/>
  <c r="G63" i="233"/>
  <c r="AL62" i="233"/>
  <c r="AP61" i="233"/>
  <c r="AO61" i="233"/>
  <c r="AN61" i="233"/>
  <c r="AK61" i="233"/>
  <c r="AJ61" i="233"/>
  <c r="AI61" i="233"/>
  <c r="AH61" i="233"/>
  <c r="AG61" i="233"/>
  <c r="AF61" i="233"/>
  <c r="AE61" i="233"/>
  <c r="AD61" i="233"/>
  <c r="AC61" i="233"/>
  <c r="AB61" i="233"/>
  <c r="AA61" i="233"/>
  <c r="Z61" i="233"/>
  <c r="Y61" i="233"/>
  <c r="X61" i="233"/>
  <c r="W61" i="233"/>
  <c r="V61" i="233"/>
  <c r="U61" i="233"/>
  <c r="T61" i="233"/>
  <c r="S61" i="233"/>
  <c r="R61" i="233"/>
  <c r="Q61" i="233"/>
  <c r="P61" i="233"/>
  <c r="O61" i="233"/>
  <c r="N61" i="233"/>
  <c r="M61" i="233"/>
  <c r="L61" i="233"/>
  <c r="K61" i="233"/>
  <c r="J61" i="233"/>
  <c r="I61" i="233"/>
  <c r="H61" i="233"/>
  <c r="G61" i="233"/>
  <c r="AP59" i="233"/>
  <c r="AO59" i="233"/>
  <c r="AN59" i="233"/>
  <c r="AK59" i="233"/>
  <c r="AJ59" i="233"/>
  <c r="AI59" i="233"/>
  <c r="AH59" i="233"/>
  <c r="AG59" i="233"/>
  <c r="AF59" i="233"/>
  <c r="AE59" i="233"/>
  <c r="AD59" i="233"/>
  <c r="AC59" i="233"/>
  <c r="AB59" i="233"/>
  <c r="AA59" i="233"/>
  <c r="Z59" i="233"/>
  <c r="Y59" i="233"/>
  <c r="X59" i="233"/>
  <c r="W59" i="233"/>
  <c r="V59" i="233"/>
  <c r="U59" i="233"/>
  <c r="T59" i="233"/>
  <c r="S59" i="233"/>
  <c r="R59" i="233"/>
  <c r="Q59" i="233"/>
  <c r="P59" i="233"/>
  <c r="O59" i="233"/>
  <c r="N59" i="233"/>
  <c r="M59" i="233"/>
  <c r="L59" i="233"/>
  <c r="K59" i="233"/>
  <c r="J59" i="233"/>
  <c r="I59" i="233"/>
  <c r="AL59" i="233" s="1"/>
  <c r="H59" i="233"/>
  <c r="G59" i="233"/>
  <c r="AP57" i="233"/>
  <c r="AO57" i="233"/>
  <c r="AN57" i="233"/>
  <c r="AK57" i="233"/>
  <c r="AJ57" i="233"/>
  <c r="AI57" i="233"/>
  <c r="AH57" i="233"/>
  <c r="AG57" i="233"/>
  <c r="AF57" i="233"/>
  <c r="AE57" i="233"/>
  <c r="AD57" i="233"/>
  <c r="AC57" i="233"/>
  <c r="AB57" i="233"/>
  <c r="AA57" i="233"/>
  <c r="Z57" i="233"/>
  <c r="Y57" i="233"/>
  <c r="X57" i="233"/>
  <c r="W57" i="233"/>
  <c r="V57" i="233"/>
  <c r="U57" i="233"/>
  <c r="T57" i="233"/>
  <c r="S57" i="233"/>
  <c r="R57" i="233"/>
  <c r="Q57" i="233"/>
  <c r="P57" i="233"/>
  <c r="O57" i="233"/>
  <c r="N57" i="233"/>
  <c r="M57" i="233"/>
  <c r="L57" i="233"/>
  <c r="K57" i="233"/>
  <c r="J57" i="233"/>
  <c r="I57" i="233"/>
  <c r="H57" i="233"/>
  <c r="G57" i="233"/>
  <c r="AP55" i="233"/>
  <c r="AO55" i="233"/>
  <c r="AN55" i="233"/>
  <c r="AK55" i="233"/>
  <c r="AJ55" i="233"/>
  <c r="AI55" i="233"/>
  <c r="AH55" i="233"/>
  <c r="AG55" i="233"/>
  <c r="AF55" i="233"/>
  <c r="AE55" i="233"/>
  <c r="AD55" i="233"/>
  <c r="AC55" i="233"/>
  <c r="AB55" i="233"/>
  <c r="AA55" i="233"/>
  <c r="Z55" i="233"/>
  <c r="Y55" i="233"/>
  <c r="X55" i="233"/>
  <c r="W55" i="233"/>
  <c r="V55" i="233"/>
  <c r="U55" i="233"/>
  <c r="T55" i="233"/>
  <c r="S55" i="233"/>
  <c r="R55" i="233"/>
  <c r="Q55" i="233"/>
  <c r="P55" i="233"/>
  <c r="O55" i="233"/>
  <c r="N55" i="233"/>
  <c r="M55" i="233"/>
  <c r="L55" i="233"/>
  <c r="K55" i="233"/>
  <c r="J55" i="233"/>
  <c r="I55" i="233"/>
  <c r="H55" i="233"/>
  <c r="AL55" i="233" s="1"/>
  <c r="G55" i="233"/>
  <c r="AP53" i="233"/>
  <c r="AO53" i="233"/>
  <c r="AN53" i="233"/>
  <c r="AK53" i="233"/>
  <c r="AJ53" i="233"/>
  <c r="AI53" i="233"/>
  <c r="AH53" i="233"/>
  <c r="AG53" i="233"/>
  <c r="AF53" i="233"/>
  <c r="AE53" i="233"/>
  <c r="AD53" i="233"/>
  <c r="AC53" i="233"/>
  <c r="AB53" i="233"/>
  <c r="AA53" i="233"/>
  <c r="Z53" i="233"/>
  <c r="Y53" i="233"/>
  <c r="X53" i="233"/>
  <c r="W53" i="233"/>
  <c r="V53" i="233"/>
  <c r="U53" i="233"/>
  <c r="T53" i="233"/>
  <c r="S53" i="233"/>
  <c r="R53" i="233"/>
  <c r="Q53" i="233"/>
  <c r="P53" i="233"/>
  <c r="O53" i="233"/>
  <c r="N53" i="233"/>
  <c r="M53" i="233"/>
  <c r="L53" i="233"/>
  <c r="K53" i="233"/>
  <c r="J53" i="233"/>
  <c r="I53" i="233"/>
  <c r="H53" i="233"/>
  <c r="G53" i="233"/>
  <c r="AL53" i="233" s="1"/>
  <c r="AP51" i="233"/>
  <c r="AO51" i="233"/>
  <c r="AN51" i="233"/>
  <c r="AK51" i="233"/>
  <c r="AJ51" i="233"/>
  <c r="AI51" i="233"/>
  <c r="AH51" i="233"/>
  <c r="AG51" i="233"/>
  <c r="AF51" i="233"/>
  <c r="AE51" i="233"/>
  <c r="AD51" i="233"/>
  <c r="AC51" i="233"/>
  <c r="AB51" i="233"/>
  <c r="AA51" i="233"/>
  <c r="Z51" i="233"/>
  <c r="Y51" i="233"/>
  <c r="X51" i="233"/>
  <c r="W51" i="233"/>
  <c r="V51" i="233"/>
  <c r="U51" i="233"/>
  <c r="T51" i="233"/>
  <c r="S51" i="233"/>
  <c r="R51" i="233"/>
  <c r="Q51" i="233"/>
  <c r="P51" i="233"/>
  <c r="O51" i="233"/>
  <c r="N51" i="233"/>
  <c r="AL51" i="233" s="1"/>
  <c r="M51" i="233"/>
  <c r="L51" i="233"/>
  <c r="K51" i="233"/>
  <c r="J51" i="233"/>
  <c r="I51" i="233"/>
  <c r="H51" i="233"/>
  <c r="G51" i="233"/>
  <c r="AP49" i="233"/>
  <c r="AO49" i="233"/>
  <c r="AN49" i="233"/>
  <c r="AK49" i="233"/>
  <c r="AJ49" i="233"/>
  <c r="AI49" i="233"/>
  <c r="AH49" i="233"/>
  <c r="AG49" i="233"/>
  <c r="AF49" i="233"/>
  <c r="AE49" i="233"/>
  <c r="AD49" i="233"/>
  <c r="AC49" i="233"/>
  <c r="AB49" i="233"/>
  <c r="AA49" i="233"/>
  <c r="Z49" i="233"/>
  <c r="Y49" i="233"/>
  <c r="X49" i="233"/>
  <c r="W49" i="233"/>
  <c r="V49" i="233"/>
  <c r="U49" i="233"/>
  <c r="T49" i="233"/>
  <c r="S49" i="233"/>
  <c r="R49" i="233"/>
  <c r="Q49" i="233"/>
  <c r="P49" i="233"/>
  <c r="O49" i="233"/>
  <c r="N49" i="233"/>
  <c r="M49" i="233"/>
  <c r="AL48" i="233" s="1"/>
  <c r="L49" i="233"/>
  <c r="K49" i="233"/>
  <c r="J49" i="233"/>
  <c r="I49" i="233"/>
  <c r="H49" i="233"/>
  <c r="G49" i="233"/>
  <c r="AP47" i="233"/>
  <c r="AO47" i="233"/>
  <c r="AN47" i="233"/>
  <c r="AK47" i="233"/>
  <c r="AJ47" i="233"/>
  <c r="AI47" i="233"/>
  <c r="AH47" i="233"/>
  <c r="AG47" i="233"/>
  <c r="AF47" i="233"/>
  <c r="AE47" i="233"/>
  <c r="AD47" i="233"/>
  <c r="AC47" i="233"/>
  <c r="AB47" i="233"/>
  <c r="AA47" i="233"/>
  <c r="Z47" i="233"/>
  <c r="Y47" i="233"/>
  <c r="X47" i="233"/>
  <c r="W47" i="233"/>
  <c r="V47" i="233"/>
  <c r="U47" i="233"/>
  <c r="T47" i="233"/>
  <c r="S47" i="233"/>
  <c r="R47" i="233"/>
  <c r="Q47" i="233"/>
  <c r="P47" i="233"/>
  <c r="O47" i="233"/>
  <c r="N47" i="233"/>
  <c r="M47" i="233"/>
  <c r="L47" i="233"/>
  <c r="K47" i="233"/>
  <c r="J47" i="233"/>
  <c r="I47" i="233"/>
  <c r="H47" i="233"/>
  <c r="G47" i="233"/>
  <c r="AP45" i="233"/>
  <c r="AO45" i="233"/>
  <c r="AN45" i="233"/>
  <c r="AK45" i="233"/>
  <c r="AJ45" i="233"/>
  <c r="AI45" i="233"/>
  <c r="AH45" i="233"/>
  <c r="AG45" i="233"/>
  <c r="AF45" i="233"/>
  <c r="AE45" i="233"/>
  <c r="AD45" i="233"/>
  <c r="AC45" i="233"/>
  <c r="AB45" i="233"/>
  <c r="AA45" i="233"/>
  <c r="Z45" i="233"/>
  <c r="Y45" i="233"/>
  <c r="X45" i="233"/>
  <c r="W45" i="233"/>
  <c r="V45" i="233"/>
  <c r="U45" i="233"/>
  <c r="T45" i="233"/>
  <c r="S45" i="233"/>
  <c r="R45" i="233"/>
  <c r="Q45" i="233"/>
  <c r="P45" i="233"/>
  <c r="O45" i="233"/>
  <c r="N45" i="233"/>
  <c r="M45" i="233"/>
  <c r="L45" i="233"/>
  <c r="K45" i="233"/>
  <c r="J45" i="233"/>
  <c r="I45" i="233"/>
  <c r="H45" i="233"/>
  <c r="G45" i="233"/>
  <c r="AP43" i="233"/>
  <c r="AO43" i="233"/>
  <c r="AN43" i="233"/>
  <c r="AK43" i="233"/>
  <c r="AJ43" i="233"/>
  <c r="AI43" i="233"/>
  <c r="AH43" i="233"/>
  <c r="AG43" i="233"/>
  <c r="AF43" i="233"/>
  <c r="AE43" i="233"/>
  <c r="AD43" i="233"/>
  <c r="AC43" i="233"/>
  <c r="AB43" i="233"/>
  <c r="AA43" i="233"/>
  <c r="Z43" i="233"/>
  <c r="Y43" i="233"/>
  <c r="X43" i="233"/>
  <c r="W43" i="233"/>
  <c r="V43" i="233"/>
  <c r="U43" i="233"/>
  <c r="T43" i="233"/>
  <c r="S43" i="233"/>
  <c r="R43" i="233"/>
  <c r="Q43" i="233"/>
  <c r="P43" i="233"/>
  <c r="O43" i="233"/>
  <c r="N43" i="233"/>
  <c r="M43" i="233"/>
  <c r="L43" i="233"/>
  <c r="AL43" i="233" s="1"/>
  <c r="K43" i="233"/>
  <c r="J43" i="233"/>
  <c r="I43" i="233"/>
  <c r="H43" i="233"/>
  <c r="G43" i="233"/>
  <c r="AP41" i="233"/>
  <c r="AO41" i="233"/>
  <c r="AN41" i="233"/>
  <c r="AK41" i="233"/>
  <c r="AJ41" i="233"/>
  <c r="AI41" i="233"/>
  <c r="AH41" i="233"/>
  <c r="AH154" i="233" s="1"/>
  <c r="AG41" i="233"/>
  <c r="AF41" i="233"/>
  <c r="AE41" i="233"/>
  <c r="AD41" i="233"/>
  <c r="AC41" i="233"/>
  <c r="AB41" i="233"/>
  <c r="AA41" i="233"/>
  <c r="Z41" i="233"/>
  <c r="Y41" i="233"/>
  <c r="X41" i="233"/>
  <c r="W41" i="233"/>
  <c r="V41" i="233"/>
  <c r="U41" i="233"/>
  <c r="T41" i="233"/>
  <c r="S41" i="233"/>
  <c r="R41" i="233"/>
  <c r="Q41" i="233"/>
  <c r="P41" i="233"/>
  <c r="O41" i="233"/>
  <c r="N41" i="233"/>
  <c r="M41" i="233"/>
  <c r="L41" i="233"/>
  <c r="K41" i="233"/>
  <c r="J41" i="233"/>
  <c r="J155" i="233" s="1"/>
  <c r="I41" i="233"/>
  <c r="H41" i="233"/>
  <c r="G41" i="233"/>
  <c r="AL41" i="233" s="1"/>
  <c r="AP39" i="233"/>
  <c r="AO39" i="233"/>
  <c r="AN39" i="233"/>
  <c r="AK39" i="233"/>
  <c r="AJ39" i="233"/>
  <c r="AI39" i="233"/>
  <c r="AH39" i="233"/>
  <c r="AG39" i="233"/>
  <c r="AF39" i="233"/>
  <c r="AE39" i="233"/>
  <c r="AD39" i="233"/>
  <c r="AC39" i="233"/>
  <c r="AB39" i="233"/>
  <c r="AA39" i="233"/>
  <c r="Z39" i="233"/>
  <c r="Y39" i="233"/>
  <c r="X39" i="233"/>
  <c r="W39" i="233"/>
  <c r="V39" i="233"/>
  <c r="U39" i="233"/>
  <c r="T39" i="233"/>
  <c r="S39" i="233"/>
  <c r="R39" i="233"/>
  <c r="Q39" i="233"/>
  <c r="P39" i="233"/>
  <c r="O39" i="233"/>
  <c r="N39" i="233"/>
  <c r="M39" i="233"/>
  <c r="L39" i="233"/>
  <c r="K39" i="233"/>
  <c r="J39" i="233"/>
  <c r="I39" i="233"/>
  <c r="H39" i="233"/>
  <c r="G39" i="233"/>
  <c r="AP37" i="233"/>
  <c r="AO37" i="233"/>
  <c r="AN37" i="233"/>
  <c r="AK37" i="233"/>
  <c r="AJ37" i="233"/>
  <c r="AI37" i="233"/>
  <c r="AH37" i="233"/>
  <c r="AG37" i="233"/>
  <c r="AF37" i="233"/>
  <c r="AE37" i="233"/>
  <c r="AD37" i="233"/>
  <c r="AC37" i="233"/>
  <c r="AB37" i="233"/>
  <c r="AA37" i="233"/>
  <c r="Z37" i="233"/>
  <c r="Y37" i="233"/>
  <c r="X37" i="233"/>
  <c r="W37" i="233"/>
  <c r="V37" i="233"/>
  <c r="U37" i="233"/>
  <c r="T37" i="233"/>
  <c r="S37" i="233"/>
  <c r="R37" i="233"/>
  <c r="Q37" i="233"/>
  <c r="P37" i="233"/>
  <c r="O37" i="233"/>
  <c r="N37" i="233"/>
  <c r="M37" i="233"/>
  <c r="L37" i="233"/>
  <c r="K37" i="233"/>
  <c r="J37" i="233"/>
  <c r="I37" i="233"/>
  <c r="H37" i="233"/>
  <c r="G37" i="233"/>
  <c r="AP35" i="233"/>
  <c r="AO35" i="233"/>
  <c r="AN35" i="233"/>
  <c r="AK35" i="233"/>
  <c r="AJ35" i="233"/>
  <c r="AI35" i="233"/>
  <c r="AH35" i="233"/>
  <c r="AG35" i="233"/>
  <c r="AF35" i="233"/>
  <c r="AE35" i="233"/>
  <c r="AD35" i="233"/>
  <c r="AC35" i="233"/>
  <c r="AB35" i="233"/>
  <c r="AA35" i="233"/>
  <c r="Z35" i="233"/>
  <c r="Y35" i="233"/>
  <c r="X35" i="233"/>
  <c r="W35" i="233"/>
  <c r="V35" i="233"/>
  <c r="U35" i="233"/>
  <c r="T35" i="233"/>
  <c r="S35" i="233"/>
  <c r="R35" i="233"/>
  <c r="Q35" i="233"/>
  <c r="P35" i="233"/>
  <c r="O35" i="233"/>
  <c r="N35" i="233"/>
  <c r="M35" i="233"/>
  <c r="L35" i="233"/>
  <c r="K35" i="233"/>
  <c r="J35" i="233"/>
  <c r="I35" i="233"/>
  <c r="H35" i="233"/>
  <c r="G35" i="233"/>
  <c r="AL35" i="233" s="1"/>
  <c r="AP33" i="233"/>
  <c r="AO33" i="233"/>
  <c r="AN33" i="233"/>
  <c r="AK33" i="233"/>
  <c r="AK168" i="233" s="1"/>
  <c r="AJ33" i="233"/>
  <c r="AI33" i="233"/>
  <c r="AH33" i="233"/>
  <c r="AG33" i="233"/>
  <c r="AF33" i="233"/>
  <c r="AE33" i="233"/>
  <c r="AD33" i="233"/>
  <c r="AC33" i="233"/>
  <c r="AB33" i="233"/>
  <c r="AA33" i="233"/>
  <c r="Z33" i="233"/>
  <c r="Y33" i="233"/>
  <c r="X33" i="233"/>
  <c r="W33" i="233"/>
  <c r="V33" i="233"/>
  <c r="U33" i="233"/>
  <c r="U172" i="233" s="1"/>
  <c r="T33" i="233"/>
  <c r="S33" i="233"/>
  <c r="R33" i="233"/>
  <c r="Q33" i="233"/>
  <c r="P33" i="233"/>
  <c r="O33" i="233"/>
  <c r="N33" i="233"/>
  <c r="M33" i="233"/>
  <c r="AL33" i="233" s="1"/>
  <c r="L33" i="233"/>
  <c r="K33" i="233"/>
  <c r="J33" i="233"/>
  <c r="I33" i="233"/>
  <c r="H33" i="233"/>
  <c r="G33" i="233"/>
  <c r="AP31" i="233"/>
  <c r="AO31" i="233"/>
  <c r="AN31" i="233"/>
  <c r="AK31" i="233"/>
  <c r="AJ31" i="233"/>
  <c r="AI31" i="233"/>
  <c r="AH31" i="233"/>
  <c r="AG31" i="233"/>
  <c r="AF31" i="233"/>
  <c r="AE31" i="233"/>
  <c r="AD31" i="233"/>
  <c r="AC31" i="233"/>
  <c r="AB31" i="233"/>
  <c r="AA31" i="233"/>
  <c r="Z31" i="233"/>
  <c r="Y31" i="233"/>
  <c r="X31" i="233"/>
  <c r="W31" i="233"/>
  <c r="V31" i="233"/>
  <c r="U31" i="233"/>
  <c r="T31" i="233"/>
  <c r="S31" i="233"/>
  <c r="R31" i="233"/>
  <c r="Q31" i="233"/>
  <c r="P31" i="233"/>
  <c r="O31" i="233"/>
  <c r="N31" i="233"/>
  <c r="M31" i="233"/>
  <c r="L31" i="233"/>
  <c r="K31" i="233"/>
  <c r="J31" i="233"/>
  <c r="I31" i="233"/>
  <c r="H31" i="233"/>
  <c r="AL31" i="233" s="1"/>
  <c r="G31" i="233"/>
  <c r="AP29" i="233"/>
  <c r="AO29" i="233"/>
  <c r="AN29" i="233"/>
  <c r="AK29" i="233"/>
  <c r="AJ29" i="233"/>
  <c r="AI29" i="233"/>
  <c r="AH29" i="233"/>
  <c r="AG29" i="233"/>
  <c r="AF29" i="233"/>
  <c r="AE29" i="233"/>
  <c r="AD29" i="233"/>
  <c r="AC29" i="233"/>
  <c r="AB29" i="233"/>
  <c r="AA29" i="233"/>
  <c r="Z29" i="233"/>
  <c r="Y29" i="233"/>
  <c r="X29" i="233"/>
  <c r="W29" i="233"/>
  <c r="V29" i="233"/>
  <c r="U29" i="233"/>
  <c r="T29" i="233"/>
  <c r="S29" i="233"/>
  <c r="R29" i="233"/>
  <c r="Q29" i="233"/>
  <c r="P29" i="233"/>
  <c r="O29" i="233"/>
  <c r="N29" i="233"/>
  <c r="M29" i="233"/>
  <c r="L29" i="233"/>
  <c r="K29" i="233"/>
  <c r="J29" i="233"/>
  <c r="I29" i="233"/>
  <c r="H29" i="233"/>
  <c r="G29" i="233"/>
  <c r="AP27" i="233"/>
  <c r="AO27" i="233"/>
  <c r="AN27" i="233"/>
  <c r="AK27" i="233"/>
  <c r="AJ27" i="233"/>
  <c r="AI27" i="233"/>
  <c r="AH27" i="233"/>
  <c r="AG27" i="233"/>
  <c r="AF27" i="233"/>
  <c r="AE27" i="233"/>
  <c r="AD27" i="233"/>
  <c r="AC27" i="233"/>
  <c r="AB27" i="233"/>
  <c r="AA27" i="233"/>
  <c r="Z27" i="233"/>
  <c r="Y27" i="233"/>
  <c r="X27" i="233"/>
  <c r="W27" i="233"/>
  <c r="V27" i="233"/>
  <c r="U27" i="233"/>
  <c r="T27" i="233"/>
  <c r="S27" i="233"/>
  <c r="R27" i="233"/>
  <c r="Q27" i="233"/>
  <c r="P27" i="233"/>
  <c r="O27" i="233"/>
  <c r="N27" i="233"/>
  <c r="M27" i="233"/>
  <c r="L27" i="233"/>
  <c r="K27" i="233"/>
  <c r="J27" i="233"/>
  <c r="I27" i="233"/>
  <c r="H27" i="233"/>
  <c r="G27" i="233"/>
  <c r="AP25" i="233"/>
  <c r="AO25" i="233"/>
  <c r="AN25" i="233"/>
  <c r="AK25" i="233"/>
  <c r="AJ25" i="233"/>
  <c r="AI25" i="233"/>
  <c r="AH25" i="233"/>
  <c r="AG25" i="233"/>
  <c r="AF25" i="233"/>
  <c r="AE25" i="233"/>
  <c r="AD25" i="233"/>
  <c r="AC25" i="233"/>
  <c r="AB25" i="233"/>
  <c r="AA25" i="233"/>
  <c r="Z25" i="233"/>
  <c r="Y25" i="233"/>
  <c r="X25" i="233"/>
  <c r="W25" i="233"/>
  <c r="V25" i="233"/>
  <c r="U25" i="233"/>
  <c r="T25" i="233"/>
  <c r="S25" i="233"/>
  <c r="R25" i="233"/>
  <c r="Q25" i="233"/>
  <c r="P25" i="233"/>
  <c r="O25" i="233"/>
  <c r="N25" i="233"/>
  <c r="M25" i="233"/>
  <c r="L25" i="233"/>
  <c r="K25" i="233"/>
  <c r="J25" i="233"/>
  <c r="I25" i="233"/>
  <c r="H25" i="233"/>
  <c r="AL25" i="233" s="1"/>
  <c r="G25" i="233"/>
  <c r="AP23" i="233"/>
  <c r="AO23" i="233"/>
  <c r="AN23" i="233"/>
  <c r="AK23" i="233"/>
  <c r="AJ23" i="233"/>
  <c r="AI23" i="233"/>
  <c r="AH23" i="233"/>
  <c r="AG23" i="233"/>
  <c r="AF23" i="233"/>
  <c r="AE23" i="233"/>
  <c r="AD23" i="233"/>
  <c r="AC23" i="233"/>
  <c r="AB23" i="233"/>
  <c r="AA23" i="233"/>
  <c r="Z23" i="233"/>
  <c r="Y23" i="233"/>
  <c r="X23" i="233"/>
  <c r="W23" i="233"/>
  <c r="V23" i="233"/>
  <c r="U23" i="233"/>
  <c r="T23" i="233"/>
  <c r="S23" i="233"/>
  <c r="R23" i="233"/>
  <c r="Q23" i="233"/>
  <c r="P23" i="233"/>
  <c r="O23" i="233"/>
  <c r="N23" i="233"/>
  <c r="M23" i="233"/>
  <c r="L23" i="233"/>
  <c r="K23" i="233"/>
  <c r="J23" i="233"/>
  <c r="I23" i="233"/>
  <c r="H23" i="233"/>
  <c r="G23" i="233"/>
  <c r="AL23" i="233" s="1"/>
  <c r="AP21" i="233"/>
  <c r="AO21" i="233"/>
  <c r="AN21" i="233"/>
  <c r="AK21" i="233"/>
  <c r="AJ21" i="233"/>
  <c r="AI21" i="233"/>
  <c r="AH21" i="233"/>
  <c r="AG21" i="233"/>
  <c r="AF21" i="233"/>
  <c r="AE21" i="233"/>
  <c r="AD21" i="233"/>
  <c r="AD171" i="233" s="1"/>
  <c r="AC21" i="233"/>
  <c r="AB21" i="233"/>
  <c r="AA21" i="233"/>
  <c r="Z21" i="233"/>
  <c r="Y21" i="233"/>
  <c r="X21" i="233"/>
  <c r="W21" i="233"/>
  <c r="V21" i="233"/>
  <c r="U21" i="233"/>
  <c r="T21" i="233"/>
  <c r="S21" i="233"/>
  <c r="R21" i="233"/>
  <c r="Q21" i="233"/>
  <c r="P21" i="233"/>
  <c r="O21" i="233"/>
  <c r="N21" i="233"/>
  <c r="N152" i="233" s="1"/>
  <c r="M21" i="233"/>
  <c r="L21" i="233"/>
  <c r="K21" i="233"/>
  <c r="J21" i="233"/>
  <c r="I21" i="233"/>
  <c r="H21" i="233"/>
  <c r="G21" i="233"/>
  <c r="AP19" i="233"/>
  <c r="AO19" i="233"/>
  <c r="AN19" i="233"/>
  <c r="AK19" i="233"/>
  <c r="AK156" i="233" s="1"/>
  <c r="AJ19" i="233"/>
  <c r="AJ159" i="233" s="1"/>
  <c r="AI19" i="233"/>
  <c r="AH19" i="233"/>
  <c r="AG19" i="233"/>
  <c r="AF19" i="233"/>
  <c r="AE19" i="233"/>
  <c r="AD19" i="233"/>
  <c r="AD175" i="233" s="1"/>
  <c r="AC19" i="233"/>
  <c r="AC175" i="233" s="1"/>
  <c r="AB19" i="233"/>
  <c r="AB143" i="233" s="1"/>
  <c r="AA19" i="233"/>
  <c r="Z19" i="233"/>
  <c r="Y19" i="233"/>
  <c r="X19" i="233"/>
  <c r="W19" i="233"/>
  <c r="V19" i="233"/>
  <c r="V167" i="233" s="1"/>
  <c r="U19" i="233"/>
  <c r="U167" i="233" s="1"/>
  <c r="T19" i="233"/>
  <c r="T155" i="233" s="1"/>
  <c r="S19" i="233"/>
  <c r="R19" i="233"/>
  <c r="Q19" i="233"/>
  <c r="P19" i="233"/>
  <c r="O19" i="233"/>
  <c r="N19" i="233"/>
  <c r="M19" i="233"/>
  <c r="M174" i="233" s="1"/>
  <c r="L19" i="233"/>
  <c r="L163" i="233" s="1"/>
  <c r="K19" i="233"/>
  <c r="J19" i="233"/>
  <c r="I19" i="233"/>
  <c r="H19" i="233"/>
  <c r="G19" i="233"/>
  <c r="AP17" i="233"/>
  <c r="AO17" i="233"/>
  <c r="AN17" i="233"/>
  <c r="AK17" i="233"/>
  <c r="AJ17" i="233"/>
  <c r="AI17" i="233"/>
  <c r="AH17" i="233"/>
  <c r="AH170" i="233" s="1"/>
  <c r="AG17" i="233"/>
  <c r="AG169" i="233" s="1"/>
  <c r="AF17" i="233"/>
  <c r="AE17" i="233"/>
  <c r="AD17" i="233"/>
  <c r="AC17" i="233"/>
  <c r="AB17" i="233"/>
  <c r="AA17" i="233"/>
  <c r="Z17" i="233"/>
  <c r="Y17" i="233"/>
  <c r="X17" i="233"/>
  <c r="W17" i="233"/>
  <c r="V17" i="233"/>
  <c r="U17" i="233"/>
  <c r="T17" i="233"/>
  <c r="S17" i="233"/>
  <c r="R17" i="233"/>
  <c r="Q17" i="233"/>
  <c r="Q167" i="233" s="1"/>
  <c r="P17" i="233"/>
  <c r="O17" i="233"/>
  <c r="N17" i="233"/>
  <c r="M17" i="233"/>
  <c r="L17" i="233"/>
  <c r="K17" i="233"/>
  <c r="J17" i="233"/>
  <c r="I17" i="233"/>
  <c r="H17" i="233"/>
  <c r="G17" i="233"/>
  <c r="AP15" i="233"/>
  <c r="AO15" i="233"/>
  <c r="AN15" i="233"/>
  <c r="AK15" i="233"/>
  <c r="AJ15" i="233"/>
  <c r="AJ162" i="233" s="1"/>
  <c r="AI15" i="233"/>
  <c r="AH15" i="233"/>
  <c r="AG15" i="233"/>
  <c r="AF15" i="233"/>
  <c r="AE15" i="233"/>
  <c r="AE151" i="233" s="1"/>
  <c r="AD15" i="233"/>
  <c r="AC15" i="233"/>
  <c r="AB15" i="233"/>
  <c r="AB170" i="233" s="1"/>
  <c r="AA15" i="233"/>
  <c r="Z15" i="233"/>
  <c r="Y15" i="233"/>
  <c r="X15" i="233"/>
  <c r="W15" i="233"/>
  <c r="W153" i="233" s="1"/>
  <c r="V15" i="233"/>
  <c r="U15" i="233"/>
  <c r="T15" i="233"/>
  <c r="T164" i="233" s="1"/>
  <c r="S15" i="233"/>
  <c r="R15" i="233"/>
  <c r="Q15" i="233"/>
  <c r="P15" i="233"/>
  <c r="O15" i="233"/>
  <c r="O152" i="233" s="1"/>
  <c r="N15" i="233"/>
  <c r="M15" i="233"/>
  <c r="L15" i="233"/>
  <c r="L172" i="233" s="1"/>
  <c r="K15" i="233"/>
  <c r="J15" i="233"/>
  <c r="I15" i="233"/>
  <c r="H15" i="233"/>
  <c r="G15" i="233"/>
  <c r="AP13" i="233"/>
  <c r="AO13" i="233"/>
  <c r="AN13" i="233"/>
  <c r="AK13" i="233"/>
  <c r="AJ13" i="233"/>
  <c r="AI13" i="233"/>
  <c r="AI160" i="233" s="1"/>
  <c r="AH13" i="233"/>
  <c r="AG13" i="233"/>
  <c r="AF13" i="233"/>
  <c r="AE13" i="233"/>
  <c r="AD13" i="233"/>
  <c r="AC13" i="233"/>
  <c r="AB13" i="233"/>
  <c r="AA13" i="233"/>
  <c r="AA143" i="233" s="1"/>
  <c r="Z13" i="233"/>
  <c r="Y13" i="233"/>
  <c r="X13" i="233"/>
  <c r="W13" i="233"/>
  <c r="V13" i="233"/>
  <c r="U13" i="233"/>
  <c r="T13" i="233"/>
  <c r="S13" i="233"/>
  <c r="S164" i="233" s="1"/>
  <c r="R13" i="233"/>
  <c r="Q13" i="233"/>
  <c r="P13" i="233"/>
  <c r="O13" i="233"/>
  <c r="N13" i="233"/>
  <c r="M13" i="233"/>
  <c r="L13" i="233"/>
  <c r="K13" i="233"/>
  <c r="K162" i="233" s="1"/>
  <c r="J13" i="233"/>
  <c r="I13" i="233"/>
  <c r="H13" i="233"/>
  <c r="AL13" i="233" s="1"/>
  <c r="G13" i="233"/>
  <c r="AP11" i="233"/>
  <c r="AO11" i="233"/>
  <c r="AN11" i="233"/>
  <c r="I203" i="233" s="1"/>
  <c r="AK11" i="233"/>
  <c r="AK143" i="233" s="1"/>
  <c r="AJ11" i="233"/>
  <c r="AI11" i="233"/>
  <c r="AH11" i="233"/>
  <c r="AG11" i="233"/>
  <c r="AF11" i="233"/>
  <c r="AE11" i="233"/>
  <c r="AE173" i="233" s="1"/>
  <c r="AD11" i="233"/>
  <c r="AD173" i="233" s="1"/>
  <c r="AC11" i="233"/>
  <c r="AC173" i="233" s="1"/>
  <c r="AB11" i="233"/>
  <c r="AA11" i="233"/>
  <c r="Z11" i="233"/>
  <c r="Z158" i="233" s="1"/>
  <c r="Y11" i="233"/>
  <c r="Y162" i="233" s="1"/>
  <c r="X11" i="233"/>
  <c r="W11" i="233"/>
  <c r="W163" i="233" s="1"/>
  <c r="V11" i="233"/>
  <c r="V163" i="233" s="1"/>
  <c r="U11" i="233"/>
  <c r="U168" i="233" s="1"/>
  <c r="T11" i="233"/>
  <c r="S11" i="233"/>
  <c r="R11" i="233"/>
  <c r="Q11" i="233"/>
  <c r="Q155" i="233" s="1"/>
  <c r="P11" i="233"/>
  <c r="P174" i="233" s="1"/>
  <c r="O11" i="233"/>
  <c r="O151" i="233" s="1"/>
  <c r="N11" i="233"/>
  <c r="M11" i="233"/>
  <c r="M151" i="233" s="1"/>
  <c r="L11" i="233"/>
  <c r="K11" i="233"/>
  <c r="J11" i="233"/>
  <c r="I11" i="233"/>
  <c r="I163" i="233" s="1"/>
  <c r="H11" i="233"/>
  <c r="H170" i="233" s="1"/>
  <c r="G11" i="233"/>
  <c r="G165" i="233" s="1"/>
  <c r="H9" i="233"/>
  <c r="I9" i="233" s="1"/>
  <c r="J9" i="233" s="1"/>
  <c r="K9" i="233" s="1"/>
  <c r="L9" i="233" s="1"/>
  <c r="M9" i="233" s="1"/>
  <c r="N9" i="233" s="1"/>
  <c r="O9" i="233" s="1"/>
  <c r="P9" i="233" s="1"/>
  <c r="Q9" i="233" s="1"/>
  <c r="R9" i="233" s="1"/>
  <c r="S9" i="233" s="1"/>
  <c r="T9" i="233" s="1"/>
  <c r="U9" i="233" s="1"/>
  <c r="V9" i="233" s="1"/>
  <c r="W9" i="233" s="1"/>
  <c r="X9" i="233" s="1"/>
  <c r="Y9" i="233" s="1"/>
  <c r="Z9" i="233" s="1"/>
  <c r="AA9" i="233" s="1"/>
  <c r="AB9" i="233" s="1"/>
  <c r="AC9" i="233" s="1"/>
  <c r="AD9" i="233" s="1"/>
  <c r="AE9" i="233" s="1"/>
  <c r="AF9" i="233" s="1"/>
  <c r="AG9" i="233" s="1"/>
  <c r="AH9" i="233" s="1"/>
  <c r="AI9" i="233" s="1"/>
  <c r="AJ9" i="233" s="1"/>
  <c r="AK9" i="233" s="1"/>
  <c r="G9" i="233"/>
  <c r="AM6" i="233"/>
  <c r="AL6" i="233"/>
  <c r="C5" i="233"/>
  <c r="F9" i="198"/>
  <c r="K39" i="198"/>
  <c r="AQ91" i="233" l="1"/>
  <c r="AR91" i="233" s="1"/>
  <c r="AQ131" i="233"/>
  <c r="AR131" i="233" s="1"/>
  <c r="AM13" i="233"/>
  <c r="AQ13" i="233"/>
  <c r="AQ23" i="233"/>
  <c r="AR23" i="233" s="1"/>
  <c r="AM23" i="233"/>
  <c r="AM63" i="233"/>
  <c r="AQ63" i="233"/>
  <c r="AR63" i="233" s="1"/>
  <c r="AM89" i="233"/>
  <c r="AQ89" i="233"/>
  <c r="AQ101" i="233"/>
  <c r="AR101" i="233" s="1"/>
  <c r="AM101" i="233"/>
  <c r="AM127" i="233"/>
  <c r="AQ127" i="233"/>
  <c r="AR127" i="233" s="1"/>
  <c r="AQ139" i="233"/>
  <c r="AR139" i="233" s="1"/>
  <c r="AM139" i="233"/>
  <c r="AM31" i="233"/>
  <c r="AQ31" i="233"/>
  <c r="AR31" i="233" s="1"/>
  <c r="AQ43" i="233"/>
  <c r="AR43" i="233" s="1"/>
  <c r="AM43" i="233"/>
  <c r="AQ55" i="233"/>
  <c r="AR55" i="233" s="1"/>
  <c r="AM55" i="233"/>
  <c r="AQ71" i="233"/>
  <c r="AR71" i="233" s="1"/>
  <c r="AM71" i="233"/>
  <c r="AM79" i="233"/>
  <c r="AQ79" i="233"/>
  <c r="AR79" i="233" s="1"/>
  <c r="AQ119" i="233"/>
  <c r="AR119" i="233" s="1"/>
  <c r="AM119" i="233"/>
  <c r="AQ97" i="234"/>
  <c r="AR97" i="234" s="1"/>
  <c r="AM97" i="234"/>
  <c r="AM41" i="233"/>
  <c r="AQ41" i="233"/>
  <c r="AR41" i="233" s="1"/>
  <c r="AM97" i="233"/>
  <c r="AQ97" i="233"/>
  <c r="AR97" i="233" s="1"/>
  <c r="AQ25" i="233"/>
  <c r="AR25" i="233" s="1"/>
  <c r="AM25" i="233"/>
  <c r="AM51" i="233"/>
  <c r="AQ51" i="233"/>
  <c r="AR51" i="233" s="1"/>
  <c r="AM35" i="233"/>
  <c r="AQ35" i="233"/>
  <c r="AR35" i="233" s="1"/>
  <c r="AQ81" i="233"/>
  <c r="AR81" i="233" s="1"/>
  <c r="AM81" i="233"/>
  <c r="AQ103" i="233"/>
  <c r="AR103" i="233" s="1"/>
  <c r="AM103" i="233"/>
  <c r="AQ121" i="233"/>
  <c r="AM121" i="233"/>
  <c r="AQ33" i="233"/>
  <c r="AR33" i="233" s="1"/>
  <c r="AM33" i="233"/>
  <c r="AM69" i="233"/>
  <c r="AQ69" i="233"/>
  <c r="AR69" i="233" s="1"/>
  <c r="AQ83" i="233"/>
  <c r="AM83" i="233"/>
  <c r="AQ99" i="233"/>
  <c r="AR99" i="233" s="1"/>
  <c r="AM99" i="233"/>
  <c r="AM111" i="233"/>
  <c r="AQ111" i="233"/>
  <c r="AR111" i="233" s="1"/>
  <c r="AQ33" i="234"/>
  <c r="AR33" i="234" s="1"/>
  <c r="AM33" i="234"/>
  <c r="AQ53" i="233"/>
  <c r="AR53" i="233" s="1"/>
  <c r="AM53" i="233"/>
  <c r="AM59" i="233"/>
  <c r="AQ59" i="233"/>
  <c r="AR59" i="233" s="1"/>
  <c r="X175" i="233"/>
  <c r="X173" i="233"/>
  <c r="X164" i="233"/>
  <c r="X162" i="233"/>
  <c r="X158" i="233"/>
  <c r="X170" i="233"/>
  <c r="X172" i="233"/>
  <c r="X166" i="233"/>
  <c r="X165" i="233"/>
  <c r="X163" i="233"/>
  <c r="AL50" i="233"/>
  <c r="X151" i="233"/>
  <c r="AB156" i="233"/>
  <c r="U162" i="233"/>
  <c r="AG174" i="233"/>
  <c r="AG160" i="233"/>
  <c r="AG158" i="233"/>
  <c r="AG168" i="233"/>
  <c r="AG157" i="233"/>
  <c r="AG172" i="233"/>
  <c r="AB153" i="233"/>
  <c r="AL32" i="233"/>
  <c r="M158" i="233"/>
  <c r="AK161" i="233"/>
  <c r="U165" i="233"/>
  <c r="K201" i="233"/>
  <c r="I207" i="233"/>
  <c r="I166" i="234"/>
  <c r="I152" i="234"/>
  <c r="Y163" i="234"/>
  <c r="Y156" i="234"/>
  <c r="Y152" i="234"/>
  <c r="Y160" i="234"/>
  <c r="Y158" i="234"/>
  <c r="Y154" i="234"/>
  <c r="AK167" i="234"/>
  <c r="AK153" i="234"/>
  <c r="J172" i="233"/>
  <c r="J170" i="233"/>
  <c r="J174" i="233"/>
  <c r="J158" i="233"/>
  <c r="J153" i="233"/>
  <c r="J151" i="233"/>
  <c r="AH164" i="233"/>
  <c r="AH162" i="233"/>
  <c r="AH172" i="233"/>
  <c r="AH158" i="233"/>
  <c r="AH174" i="233"/>
  <c r="AH153" i="233"/>
  <c r="AH151" i="233"/>
  <c r="AM91" i="233"/>
  <c r="AC143" i="233"/>
  <c r="X153" i="233"/>
  <c r="AJ154" i="233"/>
  <c r="P158" i="233"/>
  <c r="AG162" i="233"/>
  <c r="H166" i="233"/>
  <c r="J168" i="233"/>
  <c r="AQ41" i="234"/>
  <c r="AR41" i="234" s="1"/>
  <c r="AM41" i="234"/>
  <c r="AM125" i="234"/>
  <c r="AQ125" i="234"/>
  <c r="AR125" i="234" s="1"/>
  <c r="K168" i="233"/>
  <c r="AL12" i="233"/>
  <c r="AL67" i="233"/>
  <c r="AL66" i="233"/>
  <c r="AQ95" i="233"/>
  <c r="AR95" i="233" s="1"/>
  <c r="AL98" i="233"/>
  <c r="AL105" i="233"/>
  <c r="AQ113" i="233"/>
  <c r="AR113" i="233" s="1"/>
  <c r="L151" i="233"/>
  <c r="AE153" i="233"/>
  <c r="N154" i="233"/>
  <c r="U155" i="233"/>
  <c r="AK157" i="233"/>
  <c r="Y158" i="233"/>
  <c r="I159" i="233"/>
  <c r="AK159" i="233"/>
  <c r="Y160" i="233"/>
  <c r="M161" i="233"/>
  <c r="AI162" i="233"/>
  <c r="U163" i="233"/>
  <c r="H164" i="233"/>
  <c r="AI164" i="233"/>
  <c r="W165" i="233"/>
  <c r="I166" i="233"/>
  <c r="AE167" i="233"/>
  <c r="T168" i="233"/>
  <c r="M169" i="233"/>
  <c r="G173" i="233"/>
  <c r="S215" i="233"/>
  <c r="V215" i="233" s="1"/>
  <c r="N172" i="234"/>
  <c r="N171" i="234"/>
  <c r="N173" i="234"/>
  <c r="N174" i="234"/>
  <c r="N168" i="234"/>
  <c r="N164" i="234"/>
  <c r="N166" i="234"/>
  <c r="N160" i="234"/>
  <c r="N158" i="234"/>
  <c r="N156" i="234"/>
  <c r="N154" i="234"/>
  <c r="N151" i="234"/>
  <c r="N163" i="234"/>
  <c r="N153" i="234"/>
  <c r="N152" i="234"/>
  <c r="V174" i="234"/>
  <c r="V172" i="234"/>
  <c r="V171" i="234"/>
  <c r="V170" i="234"/>
  <c r="V166" i="234"/>
  <c r="V162" i="234"/>
  <c r="V173" i="234"/>
  <c r="V164" i="234"/>
  <c r="V151" i="234"/>
  <c r="V143" i="234"/>
  <c r="AD173" i="234"/>
  <c r="AD171" i="234"/>
  <c r="AD174" i="234"/>
  <c r="AD170" i="234"/>
  <c r="AD164" i="234"/>
  <c r="AD151" i="234"/>
  <c r="AD168" i="234"/>
  <c r="AD163" i="234"/>
  <c r="AD160" i="234"/>
  <c r="AD158" i="234"/>
  <c r="AD156" i="234"/>
  <c r="AD154" i="234"/>
  <c r="AD162" i="234"/>
  <c r="AD172" i="234"/>
  <c r="AL11" i="234"/>
  <c r="AA163" i="234"/>
  <c r="AQ67" i="234"/>
  <c r="AR67" i="234" s="1"/>
  <c r="AM67" i="234"/>
  <c r="P172" i="233"/>
  <c r="P170" i="233"/>
  <c r="P168" i="233"/>
  <c r="P166" i="233"/>
  <c r="P164" i="233"/>
  <c r="P161" i="233"/>
  <c r="P162" i="233"/>
  <c r="P160" i="233"/>
  <c r="P153" i="233"/>
  <c r="P151" i="233"/>
  <c r="AF172" i="233"/>
  <c r="AF170" i="233"/>
  <c r="AF174" i="233"/>
  <c r="AF162" i="233"/>
  <c r="AF161" i="233"/>
  <c r="AF160" i="233"/>
  <c r="AF159" i="233"/>
  <c r="AF168" i="233"/>
  <c r="AF158" i="233"/>
  <c r="AF157" i="233"/>
  <c r="AL45" i="233"/>
  <c r="AL44" i="233"/>
  <c r="U143" i="233"/>
  <c r="AG152" i="233"/>
  <c r="X157" i="233"/>
  <c r="L160" i="233"/>
  <c r="AJ161" i="233"/>
  <c r="L165" i="233"/>
  <c r="U175" i="233"/>
  <c r="K221" i="233"/>
  <c r="AL133" i="233"/>
  <c r="J143" i="233"/>
  <c r="AD143" i="233"/>
  <c r="AG151" i="233"/>
  <c r="V152" i="233"/>
  <c r="M156" i="233"/>
  <c r="T169" i="233"/>
  <c r="AJ166" i="233"/>
  <c r="AL30" i="233"/>
  <c r="AL37" i="233"/>
  <c r="AL36" i="233"/>
  <c r="AL40" i="233"/>
  <c r="AL61" i="233"/>
  <c r="AL60" i="233"/>
  <c r="AL70" i="233"/>
  <c r="AL80" i="233"/>
  <c r="AL88" i="233"/>
  <c r="AL115" i="233"/>
  <c r="AL118" i="233"/>
  <c r="K143" i="233"/>
  <c r="W152" i="233"/>
  <c r="AD153" i="233"/>
  <c r="AF153" i="233"/>
  <c r="AC155" i="233"/>
  <c r="P156" i="233"/>
  <c r="L159" i="233"/>
  <c r="AH160" i="233"/>
  <c r="V161" i="233"/>
  <c r="I162" i="233"/>
  <c r="I164" i="233"/>
  <c r="AF165" i="233"/>
  <c r="J166" i="233"/>
  <c r="P169" i="233"/>
  <c r="T171" i="233"/>
  <c r="X174" i="233"/>
  <c r="AQ61" i="234"/>
  <c r="AR61" i="234" s="1"/>
  <c r="W166" i="234"/>
  <c r="H168" i="233"/>
  <c r="H172" i="233"/>
  <c r="H174" i="233"/>
  <c r="H162" i="233"/>
  <c r="H161" i="233"/>
  <c r="H160" i="233"/>
  <c r="H159" i="233"/>
  <c r="H169" i="233"/>
  <c r="H143" i="233"/>
  <c r="H158" i="233"/>
  <c r="H157" i="233"/>
  <c r="H175" i="233"/>
  <c r="H153" i="233"/>
  <c r="H151" i="233"/>
  <c r="H173" i="233"/>
  <c r="AL20" i="233"/>
  <c r="AL21" i="233"/>
  <c r="U153" i="233"/>
  <c r="L158" i="233"/>
  <c r="AJ163" i="233"/>
  <c r="AE168" i="233"/>
  <c r="Q172" i="233"/>
  <c r="Q170" i="233"/>
  <c r="Q174" i="233"/>
  <c r="Q175" i="233"/>
  <c r="Q168" i="233"/>
  <c r="Q166" i="233"/>
  <c r="Q164" i="233"/>
  <c r="Q143" i="233"/>
  <c r="Q173" i="233"/>
  <c r="Q162" i="233"/>
  <c r="Q160" i="233"/>
  <c r="Q159" i="233"/>
  <c r="Q153" i="233"/>
  <c r="Q151" i="233"/>
  <c r="Q158" i="233"/>
  <c r="Q171" i="233"/>
  <c r="Q157" i="233"/>
  <c r="T153" i="233"/>
  <c r="AL100" i="233"/>
  <c r="AE154" i="233"/>
  <c r="W154" i="233"/>
  <c r="O154" i="233"/>
  <c r="AK154" i="233"/>
  <c r="AB154" i="233"/>
  <c r="S154" i="233"/>
  <c r="J154" i="233"/>
  <c r="AG154" i="233"/>
  <c r="V154" i="233"/>
  <c r="L154" i="233"/>
  <c r="AF154" i="233"/>
  <c r="U154" i="233"/>
  <c r="K154" i="233"/>
  <c r="AD154" i="233"/>
  <c r="T154" i="233"/>
  <c r="I154" i="233"/>
  <c r="AC154" i="233"/>
  <c r="R154" i="233"/>
  <c r="H154" i="233"/>
  <c r="AA154" i="233"/>
  <c r="Q154" i="233"/>
  <c r="G154" i="233"/>
  <c r="AI154" i="233"/>
  <c r="AG159" i="233"/>
  <c r="AG171" i="233"/>
  <c r="AC172" i="234"/>
  <c r="AC165" i="234"/>
  <c r="Z172" i="233"/>
  <c r="Z170" i="233"/>
  <c r="Z143" i="233"/>
  <c r="Z174" i="233"/>
  <c r="Z166" i="233"/>
  <c r="Z164" i="233"/>
  <c r="Z153" i="233"/>
  <c r="Z151" i="233"/>
  <c r="Z160" i="233"/>
  <c r="Z168" i="233"/>
  <c r="Z162" i="233"/>
  <c r="AL57" i="233"/>
  <c r="AL56" i="233"/>
  <c r="AL73" i="233"/>
  <c r="AG143" i="233"/>
  <c r="M154" i="233"/>
  <c r="AG164" i="233"/>
  <c r="M168" i="233"/>
  <c r="M166" i="233"/>
  <c r="M164" i="233"/>
  <c r="M160" i="233"/>
  <c r="M170" i="233"/>
  <c r="M165" i="233"/>
  <c r="M163" i="233"/>
  <c r="M162" i="233"/>
  <c r="AC172" i="233"/>
  <c r="AC170" i="233"/>
  <c r="AC174" i="233"/>
  <c r="AC171" i="233"/>
  <c r="AC169" i="233"/>
  <c r="AC166" i="233"/>
  <c r="AC164" i="233"/>
  <c r="AC153" i="233"/>
  <c r="AC151" i="233"/>
  <c r="AC162" i="233"/>
  <c r="AC160" i="233"/>
  <c r="AC168" i="233"/>
  <c r="AC159" i="233"/>
  <c r="AC158" i="233"/>
  <c r="AK172" i="233"/>
  <c r="AK170" i="233"/>
  <c r="AK174" i="233"/>
  <c r="AK153" i="233"/>
  <c r="AK151" i="233"/>
  <c r="AK166" i="233"/>
  <c r="AK164" i="233"/>
  <c r="AK162" i="233"/>
  <c r="AK165" i="233"/>
  <c r="AK163" i="233"/>
  <c r="AK160" i="233"/>
  <c r="AL24" i="233"/>
  <c r="AL54" i="233"/>
  <c r="AL65" i="233"/>
  <c r="AL64" i="233"/>
  <c r="AR83" i="233"/>
  <c r="AL96" i="233"/>
  <c r="AL110" i="233"/>
  <c r="AL126" i="233"/>
  <c r="AL135" i="233"/>
  <c r="L143" i="233"/>
  <c r="X152" i="233"/>
  <c r="L153" i="233"/>
  <c r="AG153" i="233"/>
  <c r="X154" i="233"/>
  <c r="AJ155" i="233"/>
  <c r="AD155" i="233"/>
  <c r="Q156" i="233"/>
  <c r="M157" i="233"/>
  <c r="AA158" i="233"/>
  <c r="M159" i="233"/>
  <c r="W161" i="233"/>
  <c r="J162" i="233"/>
  <c r="J164" i="233"/>
  <c r="AC165" i="233"/>
  <c r="AG165" i="233"/>
  <c r="S166" i="233"/>
  <c r="AI167" i="233"/>
  <c r="AA167" i="233"/>
  <c r="S167" i="233"/>
  <c r="K167" i="233"/>
  <c r="AH167" i="233"/>
  <c r="Z167" i="233"/>
  <c r="R167" i="233"/>
  <c r="J167" i="233"/>
  <c r="AD167" i="233"/>
  <c r="T167" i="233"/>
  <c r="H167" i="233"/>
  <c r="AC167" i="233"/>
  <c r="P167" i="233"/>
  <c r="AB167" i="233"/>
  <c r="O167" i="233"/>
  <c r="Y167" i="233"/>
  <c r="N167" i="233"/>
  <c r="AK167" i="233"/>
  <c r="X167" i="233"/>
  <c r="M167" i="233"/>
  <c r="AJ167" i="233"/>
  <c r="W167" i="233"/>
  <c r="L167" i="233"/>
  <c r="AG167" i="233"/>
  <c r="X168" i="233"/>
  <c r="Q169" i="233"/>
  <c r="K170" i="233"/>
  <c r="H171" i="233"/>
  <c r="Y166" i="234"/>
  <c r="K220" i="233"/>
  <c r="I220" i="233"/>
  <c r="M220" i="233" s="1"/>
  <c r="P220" i="233" s="1"/>
  <c r="S218" i="233"/>
  <c r="V218" i="233" s="1"/>
  <c r="I216" i="233"/>
  <c r="S214" i="233"/>
  <c r="V214" i="233" s="1"/>
  <c r="I212" i="233"/>
  <c r="S210" i="233"/>
  <c r="V210" i="233" s="1"/>
  <c r="I208" i="233"/>
  <c r="S206" i="233"/>
  <c r="V206" i="233" s="1"/>
  <c r="I204" i="233"/>
  <c r="M204" i="233" s="1"/>
  <c r="P204" i="233" s="1"/>
  <c r="S202" i="233"/>
  <c r="V202" i="233" s="1"/>
  <c r="I200" i="233"/>
  <c r="S198" i="233"/>
  <c r="V198" i="233" s="1"/>
  <c r="K219" i="233"/>
  <c r="K215" i="233"/>
  <c r="K211" i="233"/>
  <c r="K207" i="233"/>
  <c r="K203" i="233"/>
  <c r="M203" i="233" s="1"/>
  <c r="P203" i="233" s="1"/>
  <c r="K199" i="233"/>
  <c r="I217" i="233"/>
  <c r="K214" i="233"/>
  <c r="S212" i="233"/>
  <c r="V212" i="233" s="1"/>
  <c r="S209" i="233"/>
  <c r="V209" i="233" s="1"/>
  <c r="I201" i="233"/>
  <c r="K198" i="233"/>
  <c r="K216" i="233"/>
  <c r="I215" i="233"/>
  <c r="I214" i="233"/>
  <c r="K213" i="233"/>
  <c r="S211" i="233"/>
  <c r="V211" i="233" s="1"/>
  <c r="K200" i="233"/>
  <c r="I199" i="233"/>
  <c r="I198" i="233"/>
  <c r="K197" i="233"/>
  <c r="I213" i="233"/>
  <c r="M213" i="233" s="1"/>
  <c r="P213" i="233" s="1"/>
  <c r="K210" i="233"/>
  <c r="S208" i="233"/>
  <c r="V208" i="233" s="1"/>
  <c r="S205" i="233"/>
  <c r="V205" i="233" s="1"/>
  <c r="I197" i="233"/>
  <c r="S221" i="233"/>
  <c r="V221" i="233" s="1"/>
  <c r="K212" i="233"/>
  <c r="I211" i="233"/>
  <c r="M211" i="233" s="1"/>
  <c r="P211" i="233" s="1"/>
  <c r="I210" i="233"/>
  <c r="K209" i="233"/>
  <c r="S207" i="233"/>
  <c r="V207" i="233" s="1"/>
  <c r="S217" i="233"/>
  <c r="V217" i="233" s="1"/>
  <c r="I209" i="233"/>
  <c r="K206" i="233"/>
  <c r="S204" i="233"/>
  <c r="V204" i="233" s="1"/>
  <c r="S201" i="233"/>
  <c r="V201" i="233" s="1"/>
  <c r="S216" i="233"/>
  <c r="V216" i="233" s="1"/>
  <c r="K205" i="233"/>
  <c r="K204" i="233"/>
  <c r="K208" i="233"/>
  <c r="I205" i="233"/>
  <c r="S219" i="233"/>
  <c r="V219" i="233" s="1"/>
  <c r="K218" i="233"/>
  <c r="K217" i="233"/>
  <c r="S213" i="233"/>
  <c r="V213" i="233" s="1"/>
  <c r="S199" i="233"/>
  <c r="V199" i="233" s="1"/>
  <c r="S220" i="233"/>
  <c r="V220" i="233" s="1"/>
  <c r="I218" i="233"/>
  <c r="I206" i="233"/>
  <c r="S200" i="233"/>
  <c r="V200" i="233" s="1"/>
  <c r="I219" i="233"/>
  <c r="M219" i="233" s="1"/>
  <c r="P219" i="233" s="1"/>
  <c r="M152" i="233"/>
  <c r="X159" i="233"/>
  <c r="H163" i="233"/>
  <c r="AF166" i="233"/>
  <c r="AG170" i="233"/>
  <c r="I172" i="233"/>
  <c r="I170" i="233"/>
  <c r="I174" i="233"/>
  <c r="I143" i="233"/>
  <c r="I158" i="233"/>
  <c r="I157" i="233"/>
  <c r="I175" i="233"/>
  <c r="I153" i="233"/>
  <c r="I151" i="233"/>
  <c r="I173" i="233"/>
  <c r="L157" i="233"/>
  <c r="AL15" i="233"/>
  <c r="AL14" i="233"/>
  <c r="AL49" i="233"/>
  <c r="AQ87" i="233"/>
  <c r="AR87" i="233" s="1"/>
  <c r="AM87" i="233"/>
  <c r="AL120" i="233"/>
  <c r="T160" i="233"/>
  <c r="AG166" i="233"/>
  <c r="Q165" i="234"/>
  <c r="Q161" i="234"/>
  <c r="U143" i="234"/>
  <c r="U159" i="234"/>
  <c r="U155" i="234"/>
  <c r="AM27" i="234"/>
  <c r="AQ27" i="234"/>
  <c r="AR27" i="234" s="1"/>
  <c r="AL105" i="234"/>
  <c r="AL104" i="234"/>
  <c r="AL27" i="233"/>
  <c r="AL26" i="233"/>
  <c r="AL38" i="233"/>
  <c r="AL39" i="233"/>
  <c r="AL109" i="233"/>
  <c r="AL108" i="233"/>
  <c r="AQ117" i="233"/>
  <c r="AR117" i="233" s="1"/>
  <c r="AL129" i="233"/>
  <c r="AQ137" i="233"/>
  <c r="AR137" i="233" s="1"/>
  <c r="AF151" i="233"/>
  <c r="AC157" i="233"/>
  <c r="L161" i="233"/>
  <c r="V165" i="233"/>
  <c r="U174" i="233"/>
  <c r="U160" i="233"/>
  <c r="U158" i="233"/>
  <c r="U173" i="233"/>
  <c r="U161" i="233"/>
  <c r="U159" i="233"/>
  <c r="U170" i="233"/>
  <c r="U157" i="233"/>
  <c r="AL10" i="233"/>
  <c r="N175" i="233"/>
  <c r="N173" i="233"/>
  <c r="N161" i="233"/>
  <c r="N159" i="233"/>
  <c r="V157" i="233"/>
  <c r="AD159" i="233"/>
  <c r="AD157" i="233"/>
  <c r="AL11" i="233"/>
  <c r="AJ143" i="233"/>
  <c r="AL34" i="233"/>
  <c r="AL47" i="233"/>
  <c r="AL46" i="233"/>
  <c r="AL58" i="233"/>
  <c r="AL68" i="233"/>
  <c r="AL85" i="233"/>
  <c r="AL93" i="233"/>
  <c r="AL92" i="233"/>
  <c r="AL102" i="233"/>
  <c r="AL123" i="233"/>
  <c r="AL122" i="233"/>
  <c r="S143" i="233"/>
  <c r="U151" i="233"/>
  <c r="M153" i="233"/>
  <c r="Y154" i="233"/>
  <c r="G155" i="233"/>
  <c r="AE155" i="233"/>
  <c r="Z156" i="233"/>
  <c r="N157" i="233"/>
  <c r="AJ158" i="233"/>
  <c r="V159" i="233"/>
  <c r="I160" i="233"/>
  <c r="AJ160" i="233"/>
  <c r="X161" i="233"/>
  <c r="AF163" i="233"/>
  <c r="AJ165" i="233"/>
  <c r="T166" i="233"/>
  <c r="G167" i="233"/>
  <c r="AH168" i="233"/>
  <c r="AD169" i="233"/>
  <c r="L170" i="233"/>
  <c r="M171" i="233"/>
  <c r="I202" i="233"/>
  <c r="M202" i="233" s="1"/>
  <c r="P202" i="233" s="1"/>
  <c r="S203" i="233"/>
  <c r="V203" i="233" s="1"/>
  <c r="AM51" i="234"/>
  <c r="AQ51" i="234"/>
  <c r="AR51" i="234" s="1"/>
  <c r="AL141" i="233"/>
  <c r="AL140" i="233"/>
  <c r="AD161" i="233"/>
  <c r="U164" i="233"/>
  <c r="AM29" i="234"/>
  <c r="AQ29" i="234"/>
  <c r="AR29" i="234" s="1"/>
  <c r="Y168" i="233"/>
  <c r="Y166" i="233"/>
  <c r="Y170" i="233"/>
  <c r="Y156" i="233"/>
  <c r="Y172" i="233"/>
  <c r="Y161" i="233"/>
  <c r="Y159" i="233"/>
  <c r="Y174" i="233"/>
  <c r="Y164" i="233"/>
  <c r="Y153" i="233"/>
  <c r="Y151" i="233"/>
  <c r="AJ157" i="233"/>
  <c r="Y157" i="233"/>
  <c r="I161" i="233"/>
  <c r="AF164" i="233"/>
  <c r="I168" i="233"/>
  <c r="AL73" i="234"/>
  <c r="AL72" i="234"/>
  <c r="R168" i="233"/>
  <c r="R172" i="233"/>
  <c r="R174" i="233"/>
  <c r="R166" i="233"/>
  <c r="R164" i="233"/>
  <c r="R143" i="233"/>
  <c r="R162" i="233"/>
  <c r="R160" i="233"/>
  <c r="R153" i="233"/>
  <c r="R151" i="233"/>
  <c r="R170" i="233"/>
  <c r="R158" i="233"/>
  <c r="AL18" i="233"/>
  <c r="AL19" i="233"/>
  <c r="AL42" i="233"/>
  <c r="AD151" i="233"/>
  <c r="X160" i="233"/>
  <c r="AH166" i="233"/>
  <c r="AK173" i="233"/>
  <c r="G171" i="233"/>
  <c r="G159" i="233"/>
  <c r="G169" i="233"/>
  <c r="G157" i="233"/>
  <c r="G153" i="233"/>
  <c r="G151" i="233"/>
  <c r="G175" i="233"/>
  <c r="O159" i="233"/>
  <c r="W157" i="233"/>
  <c r="W171" i="233"/>
  <c r="W169" i="233"/>
  <c r="AE159" i="233"/>
  <c r="AE157" i="233"/>
  <c r="AE175" i="233"/>
  <c r="AR13" i="233"/>
  <c r="AL17" i="233"/>
  <c r="AL16" i="233"/>
  <c r="AL22" i="233"/>
  <c r="AL52" i="233"/>
  <c r="AL75" i="233"/>
  <c r="AL74" i="233"/>
  <c r="AL107" i="233"/>
  <c r="AL130" i="233"/>
  <c r="AM131" i="233"/>
  <c r="T143" i="233"/>
  <c r="W151" i="233"/>
  <c r="AH152" i="233"/>
  <c r="Z152" i="233"/>
  <c r="R152" i="233"/>
  <c r="J152" i="233"/>
  <c r="AD152" i="233"/>
  <c r="U152" i="233"/>
  <c r="L152" i="233"/>
  <c r="AC152" i="233"/>
  <c r="T152" i="233"/>
  <c r="K152" i="233"/>
  <c r="AK152" i="233"/>
  <c r="AB152" i="233"/>
  <c r="S152" i="233"/>
  <c r="I152" i="233"/>
  <c r="AJ152" i="233"/>
  <c r="AA152" i="233"/>
  <c r="Q152" i="233"/>
  <c r="H152" i="233"/>
  <c r="AI152" i="233"/>
  <c r="Y152" i="233"/>
  <c r="P152" i="233"/>
  <c r="G152" i="233"/>
  <c r="AF152" i="233"/>
  <c r="O153" i="233"/>
  <c r="Z154" i="233"/>
  <c r="H155" i="233"/>
  <c r="AA156" i="233"/>
  <c r="O157" i="233"/>
  <c r="AK158" i="233"/>
  <c r="W159" i="233"/>
  <c r="J160" i="233"/>
  <c r="AG161" i="233"/>
  <c r="T162" i="233"/>
  <c r="AD163" i="233"/>
  <c r="AG163" i="233"/>
  <c r="I165" i="233"/>
  <c r="U166" i="233"/>
  <c r="I167" i="233"/>
  <c r="AJ168" i="233"/>
  <c r="AF169" i="233"/>
  <c r="P171" i="233"/>
  <c r="M172" i="233"/>
  <c r="AK175" i="233"/>
  <c r="S197" i="233"/>
  <c r="V197" i="233" s="1"/>
  <c r="K202" i="233"/>
  <c r="I221" i="233"/>
  <c r="AL25" i="234"/>
  <c r="AL24" i="234"/>
  <c r="AL37" i="234"/>
  <c r="AL36" i="234"/>
  <c r="AE166" i="234"/>
  <c r="S172" i="233"/>
  <c r="S170" i="233"/>
  <c r="S174" i="233"/>
  <c r="AI168" i="233"/>
  <c r="AI166" i="233"/>
  <c r="AL29" i="233"/>
  <c r="AL28" i="233"/>
  <c r="AL106" i="233"/>
  <c r="AL116" i="233"/>
  <c r="AF143" i="233"/>
  <c r="K164" i="233"/>
  <c r="AJ164" i="233"/>
  <c r="K166" i="233"/>
  <c r="AI170" i="233"/>
  <c r="G172" i="234"/>
  <c r="G170" i="234"/>
  <c r="G171" i="234"/>
  <c r="G162" i="234"/>
  <c r="G154" i="234"/>
  <c r="G160" i="234"/>
  <c r="G167" i="234"/>
  <c r="G158" i="234"/>
  <c r="G163" i="234"/>
  <c r="G156" i="234"/>
  <c r="O170" i="234"/>
  <c r="O162" i="234"/>
  <c r="O160" i="234"/>
  <c r="O158" i="234"/>
  <c r="O156" i="234"/>
  <c r="O163" i="234"/>
  <c r="O167" i="234"/>
  <c r="O159" i="234"/>
  <c r="O169" i="234"/>
  <c r="O165" i="234"/>
  <c r="O157" i="234"/>
  <c r="O155" i="234"/>
  <c r="W172" i="234"/>
  <c r="W171" i="234"/>
  <c r="W173" i="234"/>
  <c r="W162" i="234"/>
  <c r="W174" i="234"/>
  <c r="W164" i="234"/>
  <c r="W158" i="234"/>
  <c r="W156" i="234"/>
  <c r="W161" i="234"/>
  <c r="W152" i="234"/>
  <c r="W168" i="234"/>
  <c r="W160" i="234"/>
  <c r="AE173" i="234"/>
  <c r="AE171" i="234"/>
  <c r="AE174" i="234"/>
  <c r="AE172" i="234"/>
  <c r="AE170" i="234"/>
  <c r="AE164" i="234"/>
  <c r="AE160" i="234"/>
  <c r="AE158" i="234"/>
  <c r="AE156" i="234"/>
  <c r="AE162" i="234"/>
  <c r="AE157" i="234"/>
  <c r="AE155" i="234"/>
  <c r="AE143" i="234"/>
  <c r="AE159" i="234"/>
  <c r="AE165" i="234"/>
  <c r="AM131" i="234"/>
  <c r="AQ131" i="234"/>
  <c r="AR131" i="234" s="1"/>
  <c r="K174" i="233"/>
  <c r="K160" i="233"/>
  <c r="K158" i="233"/>
  <c r="AA172" i="233"/>
  <c r="AA170" i="233"/>
  <c r="AA174" i="233"/>
  <c r="AL136" i="233"/>
  <c r="M143" i="233"/>
  <c r="V143" i="233"/>
  <c r="L155" i="233"/>
  <c r="V155" i="233"/>
  <c r="AF155" i="233"/>
  <c r="AE156" i="233"/>
  <c r="W156" i="233"/>
  <c r="O156" i="233"/>
  <c r="G156" i="233"/>
  <c r="AD156" i="233"/>
  <c r="V156" i="233"/>
  <c r="N156" i="233"/>
  <c r="AF156" i="233"/>
  <c r="T156" i="233"/>
  <c r="J156" i="233"/>
  <c r="R156" i="233"/>
  <c r="AC156" i="233"/>
  <c r="AB158" i="233"/>
  <c r="L164" i="233"/>
  <c r="L162" i="233"/>
  <c r="T172" i="233"/>
  <c r="T170" i="233"/>
  <c r="T174" i="233"/>
  <c r="AB168" i="233"/>
  <c r="AB172" i="233"/>
  <c r="AB174" i="233"/>
  <c r="AJ175" i="233"/>
  <c r="AJ173" i="233"/>
  <c r="AJ172" i="233"/>
  <c r="AJ170" i="233"/>
  <c r="AL77" i="233"/>
  <c r="AL76" i="233"/>
  <c r="AL86" i="233"/>
  <c r="AL94" i="233"/>
  <c r="AL114" i="233"/>
  <c r="AR121" i="233"/>
  <c r="N143" i="233"/>
  <c r="X143" i="233"/>
  <c r="AI151" i="233"/>
  <c r="AI153" i="233"/>
  <c r="M155" i="233"/>
  <c r="W155" i="233"/>
  <c r="AG155" i="233"/>
  <c r="H156" i="233"/>
  <c r="S156" i="233"/>
  <c r="AG156" i="233"/>
  <c r="T157" i="233"/>
  <c r="AE158" i="233"/>
  <c r="AA160" i="233"/>
  <c r="O161" i="233"/>
  <c r="AB161" i="233"/>
  <c r="AA162" i="233"/>
  <c r="N163" i="233"/>
  <c r="Y163" i="233"/>
  <c r="N165" i="233"/>
  <c r="Y165" i="233"/>
  <c r="L166" i="233"/>
  <c r="L168" i="233"/>
  <c r="AA168" i="233"/>
  <c r="AI169" i="233"/>
  <c r="AA169" i="233"/>
  <c r="S169" i="233"/>
  <c r="K169" i="233"/>
  <c r="AH169" i="233"/>
  <c r="Z169" i="233"/>
  <c r="R169" i="233"/>
  <c r="J169" i="233"/>
  <c r="AK169" i="233"/>
  <c r="Y169" i="233"/>
  <c r="O169" i="233"/>
  <c r="AJ169" i="233"/>
  <c r="X169" i="233"/>
  <c r="N169" i="233"/>
  <c r="AE169" i="233"/>
  <c r="U169" i="233"/>
  <c r="I169" i="233"/>
  <c r="V169" i="233"/>
  <c r="H171" i="234"/>
  <c r="H151" i="234"/>
  <c r="H163" i="234"/>
  <c r="P160" i="234"/>
  <c r="P158" i="234"/>
  <c r="P156" i="234"/>
  <c r="P163" i="234"/>
  <c r="P171" i="234"/>
  <c r="P154" i="234"/>
  <c r="P151" i="234"/>
  <c r="P159" i="234"/>
  <c r="P165" i="234"/>
  <c r="P157" i="234"/>
  <c r="P161" i="234"/>
  <c r="P155" i="234"/>
  <c r="P167" i="234"/>
  <c r="X159" i="234"/>
  <c r="X157" i="234"/>
  <c r="X155" i="234"/>
  <c r="X156" i="234"/>
  <c r="X152" i="234"/>
  <c r="X160" i="234"/>
  <c r="X158" i="234"/>
  <c r="AF171" i="234"/>
  <c r="AF160" i="234"/>
  <c r="AF158" i="234"/>
  <c r="AF156" i="234"/>
  <c r="AF154" i="234"/>
  <c r="AF157" i="234"/>
  <c r="AF155" i="234"/>
  <c r="AF159" i="234"/>
  <c r="I221" i="234"/>
  <c r="M221" i="234" s="1"/>
  <c r="P221" i="234" s="1"/>
  <c r="S219" i="234"/>
  <c r="V219" i="234" s="1"/>
  <c r="I217" i="234"/>
  <c r="S215" i="234"/>
  <c r="V215" i="234" s="1"/>
  <c r="I213" i="234"/>
  <c r="S211" i="234"/>
  <c r="V211" i="234" s="1"/>
  <c r="I209" i="234"/>
  <c r="M209" i="234" s="1"/>
  <c r="P209" i="234" s="1"/>
  <c r="S207" i="234"/>
  <c r="V207" i="234" s="1"/>
  <c r="I205" i="234"/>
  <c r="M205" i="234" s="1"/>
  <c r="P205" i="234" s="1"/>
  <c r="S203" i="234"/>
  <c r="V203" i="234" s="1"/>
  <c r="I201" i="234"/>
  <c r="S199" i="234"/>
  <c r="V199" i="234" s="1"/>
  <c r="K220" i="234"/>
  <c r="K216" i="234"/>
  <c r="K212" i="234"/>
  <c r="K208" i="234"/>
  <c r="K204" i="234"/>
  <c r="K200" i="234"/>
  <c r="I220" i="234"/>
  <c r="S218" i="234"/>
  <c r="V218" i="234" s="1"/>
  <c r="I216" i="234"/>
  <c r="S214" i="234"/>
  <c r="V214" i="234" s="1"/>
  <c r="I212" i="234"/>
  <c r="M212" i="234" s="1"/>
  <c r="P212" i="234" s="1"/>
  <c r="S210" i="234"/>
  <c r="V210" i="234" s="1"/>
  <c r="I208" i="234"/>
  <c r="M208" i="234" s="1"/>
  <c r="P208" i="234" s="1"/>
  <c r="S206" i="234"/>
  <c r="V206" i="234" s="1"/>
  <c r="I204" i="234"/>
  <c r="S221" i="234"/>
  <c r="V221" i="234" s="1"/>
  <c r="I219" i="234"/>
  <c r="M219" i="234" s="1"/>
  <c r="P219" i="234" s="1"/>
  <c r="S217" i="234"/>
  <c r="V217" i="234" s="1"/>
  <c r="I215" i="234"/>
  <c r="M215" i="234" s="1"/>
  <c r="P215" i="234" s="1"/>
  <c r="S213" i="234"/>
  <c r="V213" i="234" s="1"/>
  <c r="I211" i="234"/>
  <c r="S209" i="234"/>
  <c r="V209" i="234" s="1"/>
  <c r="I207" i="234"/>
  <c r="S205" i="234"/>
  <c r="V205" i="234" s="1"/>
  <c r="I203" i="234"/>
  <c r="M203" i="234" s="1"/>
  <c r="P203" i="234" s="1"/>
  <c r="I199" i="234"/>
  <c r="M199" i="234" s="1"/>
  <c r="P199" i="234" s="1"/>
  <c r="S220" i="234"/>
  <c r="V220" i="234" s="1"/>
  <c r="I218" i="234"/>
  <c r="S216" i="234"/>
  <c r="V216" i="234" s="1"/>
  <c r="I214" i="234"/>
  <c r="S212" i="234"/>
  <c r="V212" i="234" s="1"/>
  <c r="I210" i="234"/>
  <c r="S208" i="234"/>
  <c r="V208" i="234" s="1"/>
  <c r="I206" i="234"/>
  <c r="M206" i="234" s="1"/>
  <c r="P206" i="234" s="1"/>
  <c r="S204" i="234"/>
  <c r="V204" i="234" s="1"/>
  <c r="I202" i="234"/>
  <c r="S200" i="234"/>
  <c r="V200" i="234" s="1"/>
  <c r="K221" i="234"/>
  <c r="K219" i="234"/>
  <c r="K210" i="234"/>
  <c r="K205" i="234"/>
  <c r="I200" i="234"/>
  <c r="M200" i="234" s="1"/>
  <c r="P200" i="234" s="1"/>
  <c r="I198" i="234"/>
  <c r="M198" i="234" s="1"/>
  <c r="P198" i="234" s="1"/>
  <c r="K215" i="234"/>
  <c r="K206" i="234"/>
  <c r="K197" i="234"/>
  <c r="K211" i="234"/>
  <c r="K202" i="234"/>
  <c r="I197" i="234"/>
  <c r="M197" i="234" s="1"/>
  <c r="P197" i="234" s="1"/>
  <c r="K207" i="234"/>
  <c r="K203" i="234"/>
  <c r="S198" i="234"/>
  <c r="V198" i="234" s="1"/>
  <c r="K198" i="234"/>
  <c r="K218" i="234"/>
  <c r="K199" i="234"/>
  <c r="K213" i="234"/>
  <c r="K214" i="234"/>
  <c r="K217" i="234"/>
  <c r="K209" i="234"/>
  <c r="S197" i="234"/>
  <c r="V197" i="234" s="1"/>
  <c r="AB172" i="234"/>
  <c r="AL31" i="234"/>
  <c r="AL30" i="234"/>
  <c r="AQ69" i="234"/>
  <c r="AR69" i="234" s="1"/>
  <c r="AM69" i="234"/>
  <c r="AD153" i="234"/>
  <c r="AL84" i="233"/>
  <c r="AL104" i="233"/>
  <c r="AL112" i="233"/>
  <c r="AL125" i="233"/>
  <c r="AL124" i="233"/>
  <c r="AL134" i="233"/>
  <c r="AE143" i="233"/>
  <c r="W143" i="233"/>
  <c r="O143" i="233"/>
  <c r="G143" i="233"/>
  <c r="P143" i="233"/>
  <c r="Y143" i="233"/>
  <c r="AH143" i="233"/>
  <c r="AA151" i="233"/>
  <c r="AJ151" i="233"/>
  <c r="AA153" i="233"/>
  <c r="AJ153" i="233"/>
  <c r="N155" i="233"/>
  <c r="X155" i="233"/>
  <c r="AH155" i="233"/>
  <c r="I156" i="233"/>
  <c r="U156" i="233"/>
  <c r="AH156" i="233"/>
  <c r="S158" i="233"/>
  <c r="AB160" i="233"/>
  <c r="AB162" i="233"/>
  <c r="O163" i="233"/>
  <c r="AB163" i="233"/>
  <c r="AA164" i="233"/>
  <c r="O165" i="233"/>
  <c r="AB165" i="233"/>
  <c r="AA166" i="233"/>
  <c r="AL17" i="234"/>
  <c r="AM45" i="234"/>
  <c r="AQ45" i="234"/>
  <c r="AR45" i="234" s="1"/>
  <c r="AL77" i="234"/>
  <c r="AL76" i="234"/>
  <c r="AL119" i="234"/>
  <c r="AL118" i="234"/>
  <c r="AQ133" i="234"/>
  <c r="AR133" i="234" s="1"/>
  <c r="AM133" i="234"/>
  <c r="AR89" i="233"/>
  <c r="AL132" i="233"/>
  <c r="AI143" i="233"/>
  <c r="S151" i="233"/>
  <c r="AB151" i="233"/>
  <c r="S153" i="233"/>
  <c r="O155" i="233"/>
  <c r="Y155" i="233"/>
  <c r="K156" i="233"/>
  <c r="X156" i="233"/>
  <c r="AI156" i="233"/>
  <c r="T158" i="233"/>
  <c r="T159" i="233"/>
  <c r="AE160" i="233"/>
  <c r="AI161" i="233"/>
  <c r="AA161" i="233"/>
  <c r="S161" i="233"/>
  <c r="K161" i="233"/>
  <c r="AH161" i="233"/>
  <c r="Z161" i="233"/>
  <c r="R161" i="233"/>
  <c r="J161" i="233"/>
  <c r="AC161" i="233"/>
  <c r="Q161" i="233"/>
  <c r="G161" i="233"/>
  <c r="T161" i="233"/>
  <c r="AE161" i="233"/>
  <c r="AE162" i="233"/>
  <c r="P163" i="233"/>
  <c r="AB164" i="233"/>
  <c r="P165" i="233"/>
  <c r="AB166" i="233"/>
  <c r="AB169" i="233"/>
  <c r="AI171" i="233"/>
  <c r="AA171" i="233"/>
  <c r="S171" i="233"/>
  <c r="K171" i="233"/>
  <c r="AH171" i="233"/>
  <c r="Z171" i="233"/>
  <c r="R171" i="233"/>
  <c r="J171" i="233"/>
  <c r="AK171" i="233"/>
  <c r="Y171" i="233"/>
  <c r="O171" i="233"/>
  <c r="AJ171" i="233"/>
  <c r="X171" i="233"/>
  <c r="N171" i="233"/>
  <c r="AF171" i="233"/>
  <c r="V171" i="233"/>
  <c r="L171" i="233"/>
  <c r="AE171" i="233"/>
  <c r="U171" i="233"/>
  <c r="I171" i="233"/>
  <c r="AB171" i="233"/>
  <c r="T173" i="233"/>
  <c r="AI174" i="233"/>
  <c r="K151" i="233"/>
  <c r="T151" i="233"/>
  <c r="K153" i="233"/>
  <c r="AI155" i="233"/>
  <c r="AA155" i="233"/>
  <c r="S155" i="233"/>
  <c r="K155" i="233"/>
  <c r="AK155" i="233"/>
  <c r="AB155" i="233"/>
  <c r="R155" i="233"/>
  <c r="I155" i="233"/>
  <c r="P155" i="233"/>
  <c r="Z155" i="233"/>
  <c r="L156" i="233"/>
  <c r="AJ156" i="233"/>
  <c r="AI158" i="233"/>
  <c r="S160" i="233"/>
  <c r="S162" i="233"/>
  <c r="AI163" i="233"/>
  <c r="AA163" i="233"/>
  <c r="S163" i="233"/>
  <c r="K163" i="233"/>
  <c r="AH163" i="233"/>
  <c r="Z163" i="233"/>
  <c r="R163" i="233"/>
  <c r="J163" i="233"/>
  <c r="AC163" i="233"/>
  <c r="Q163" i="233"/>
  <c r="G163" i="233"/>
  <c r="T163" i="233"/>
  <c r="AE163" i="233"/>
  <c r="AE164" i="233"/>
  <c r="AI165" i="233"/>
  <c r="AA165" i="233"/>
  <c r="S165" i="233"/>
  <c r="K165" i="233"/>
  <c r="AH165" i="233"/>
  <c r="Z165" i="233"/>
  <c r="R165" i="233"/>
  <c r="J165" i="233"/>
  <c r="AD165" i="233"/>
  <c r="T165" i="233"/>
  <c r="H165" i="233"/>
  <c r="AL165" i="233" s="1"/>
  <c r="AN165" i="233" s="1"/>
  <c r="Q165" i="233"/>
  <c r="AE165" i="233"/>
  <c r="AE166" i="233"/>
  <c r="S168" i="233"/>
  <c r="L169" i="233"/>
  <c r="K172" i="233"/>
  <c r="AI172" i="233"/>
  <c r="L174" i="233"/>
  <c r="AJ174" i="233"/>
  <c r="T175" i="233"/>
  <c r="K162" i="234"/>
  <c r="AI165" i="234"/>
  <c r="AQ19" i="234"/>
  <c r="AM19" i="234"/>
  <c r="AL35" i="234"/>
  <c r="AL34" i="234"/>
  <c r="AL40" i="234"/>
  <c r="N151" i="233"/>
  <c r="V151" i="233"/>
  <c r="N153" i="233"/>
  <c r="V153" i="233"/>
  <c r="AI157" i="233"/>
  <c r="AA157" i="233"/>
  <c r="S157" i="233"/>
  <c r="K157" i="233"/>
  <c r="AH157" i="233"/>
  <c r="Z157" i="233"/>
  <c r="R157" i="233"/>
  <c r="J157" i="233"/>
  <c r="P157" i="233"/>
  <c r="AB157" i="233"/>
  <c r="AI159" i="233"/>
  <c r="AA159" i="233"/>
  <c r="S159" i="233"/>
  <c r="K159" i="233"/>
  <c r="AH159" i="233"/>
  <c r="Z159" i="233"/>
  <c r="R159" i="233"/>
  <c r="J159" i="233"/>
  <c r="P159" i="233"/>
  <c r="AB159" i="233"/>
  <c r="L173" i="233"/>
  <c r="V173" i="233"/>
  <c r="AF173" i="233"/>
  <c r="AE174" i="233"/>
  <c r="L175" i="233"/>
  <c r="V175" i="233"/>
  <c r="AF175" i="233"/>
  <c r="I164" i="234"/>
  <c r="Q167" i="234"/>
  <c r="AG166" i="234"/>
  <c r="L143" i="234"/>
  <c r="AL15" i="234"/>
  <c r="AL18" i="234"/>
  <c r="AL57" i="234"/>
  <c r="AL68" i="234"/>
  <c r="AL85" i="234"/>
  <c r="AL84" i="234"/>
  <c r="AQ115" i="234"/>
  <c r="AR115" i="234" s="1"/>
  <c r="AM115" i="234"/>
  <c r="AG156" i="234"/>
  <c r="AE170" i="233"/>
  <c r="AE172" i="233"/>
  <c r="M173" i="233"/>
  <c r="W173" i="233"/>
  <c r="AG173" i="233"/>
  <c r="M175" i="233"/>
  <c r="W175" i="233"/>
  <c r="AG175" i="233"/>
  <c r="J174" i="234"/>
  <c r="J172" i="234"/>
  <c r="J171" i="234"/>
  <c r="J173" i="234"/>
  <c r="J170" i="234"/>
  <c r="J168" i="234"/>
  <c r="J164" i="234"/>
  <c r="J166" i="234"/>
  <c r="J154" i="234"/>
  <c r="R173" i="234"/>
  <c r="R170" i="234"/>
  <c r="R171" i="234"/>
  <c r="R172" i="234"/>
  <c r="R154" i="234"/>
  <c r="R162" i="234"/>
  <c r="Z172" i="234"/>
  <c r="Z170" i="234"/>
  <c r="Z162" i="234"/>
  <c r="Z171" i="234"/>
  <c r="Z167" i="234"/>
  <c r="Z161" i="234"/>
  <c r="Z163" i="234"/>
  <c r="Z153" i="234"/>
  <c r="Z154" i="234"/>
  <c r="AH171" i="234"/>
  <c r="AH170" i="234"/>
  <c r="AH168" i="234"/>
  <c r="AH166" i="234"/>
  <c r="AH163" i="234"/>
  <c r="AH162" i="234"/>
  <c r="AH152" i="234"/>
  <c r="AH155" i="234"/>
  <c r="AH161" i="234"/>
  <c r="AH159" i="234"/>
  <c r="AL47" i="234"/>
  <c r="AL46" i="234"/>
  <c r="AM81" i="234"/>
  <c r="AQ81" i="234"/>
  <c r="AR81" i="234" s="1"/>
  <c r="AQ87" i="234"/>
  <c r="AR87" i="234" s="1"/>
  <c r="AM87" i="234"/>
  <c r="K172" i="234"/>
  <c r="K171" i="234"/>
  <c r="K173" i="234"/>
  <c r="K168" i="234"/>
  <c r="K166" i="234"/>
  <c r="K158" i="234"/>
  <c r="K143" i="234"/>
  <c r="K174" i="234"/>
  <c r="K170" i="234"/>
  <c r="S168" i="234"/>
  <c r="S166" i="234"/>
  <c r="S174" i="234"/>
  <c r="S171" i="234"/>
  <c r="S172" i="234"/>
  <c r="S173" i="234"/>
  <c r="S151" i="234"/>
  <c r="S170" i="234"/>
  <c r="S164" i="234"/>
  <c r="AA172" i="234"/>
  <c r="AA173" i="234"/>
  <c r="AA171" i="234"/>
  <c r="AA153" i="234"/>
  <c r="AI172" i="234"/>
  <c r="AI171" i="234"/>
  <c r="AI168" i="234"/>
  <c r="AI166" i="234"/>
  <c r="AI163" i="234"/>
  <c r="AI169" i="234"/>
  <c r="AI161" i="234"/>
  <c r="AI143" i="234"/>
  <c r="AL23" i="234"/>
  <c r="AL22" i="234"/>
  <c r="AL59" i="234"/>
  <c r="AL58" i="234"/>
  <c r="AQ65" i="234"/>
  <c r="AR65" i="234" s="1"/>
  <c r="AM65" i="234"/>
  <c r="AL99" i="234"/>
  <c r="AL98" i="234"/>
  <c r="AL135" i="234"/>
  <c r="AL134" i="234"/>
  <c r="J152" i="234"/>
  <c r="K156" i="234"/>
  <c r="AH164" i="234"/>
  <c r="O173" i="233"/>
  <c r="Y173" i="233"/>
  <c r="O175" i="233"/>
  <c r="Y175" i="233"/>
  <c r="AL13" i="234"/>
  <c r="AL12" i="234"/>
  <c r="AL16" i="234"/>
  <c r="AL28" i="234"/>
  <c r="AL39" i="234"/>
  <c r="AL38" i="234"/>
  <c r="AL43" i="234"/>
  <c r="AL42" i="234"/>
  <c r="AL89" i="234"/>
  <c r="AL88" i="234"/>
  <c r="AL129" i="234"/>
  <c r="Z151" i="234"/>
  <c r="AI164" i="234"/>
  <c r="AI173" i="233"/>
  <c r="AA173" i="233"/>
  <c r="S173" i="233"/>
  <c r="K173" i="233"/>
  <c r="AH173" i="233"/>
  <c r="Z173" i="233"/>
  <c r="R173" i="233"/>
  <c r="J173" i="233"/>
  <c r="P173" i="233"/>
  <c r="AB173" i="233"/>
  <c r="AI175" i="233"/>
  <c r="AA175" i="233"/>
  <c r="S175" i="233"/>
  <c r="K175" i="233"/>
  <c r="AH175" i="233"/>
  <c r="Z175" i="233"/>
  <c r="R175" i="233"/>
  <c r="J175" i="233"/>
  <c r="P175" i="233"/>
  <c r="AB175" i="233"/>
  <c r="AK151" i="234"/>
  <c r="AR19" i="234"/>
  <c r="AL49" i="234"/>
  <c r="AL95" i="234"/>
  <c r="AQ117" i="234"/>
  <c r="AR117" i="234" s="1"/>
  <c r="AM117" i="234"/>
  <c r="AA151" i="234"/>
  <c r="AK163" i="234"/>
  <c r="AJ175" i="234"/>
  <c r="AB175" i="234"/>
  <c r="T175" i="234"/>
  <c r="L175" i="234"/>
  <c r="AD175" i="234"/>
  <c r="U175" i="234"/>
  <c r="K175" i="234"/>
  <c r="AC175" i="234"/>
  <c r="S175" i="234"/>
  <c r="AK175" i="234"/>
  <c r="AA175" i="234"/>
  <c r="R175" i="234"/>
  <c r="I175" i="234"/>
  <c r="AI175" i="234"/>
  <c r="Z175" i="234"/>
  <c r="Q175" i="234"/>
  <c r="H175" i="234"/>
  <c r="AH175" i="234"/>
  <c r="Y175" i="234"/>
  <c r="P175" i="234"/>
  <c r="G175" i="234"/>
  <c r="X175" i="234"/>
  <c r="W175" i="234"/>
  <c r="V175" i="234"/>
  <c r="O175" i="234"/>
  <c r="N175" i="234"/>
  <c r="AG175" i="234"/>
  <c r="AF175" i="234"/>
  <c r="AE175" i="234"/>
  <c r="M175" i="234"/>
  <c r="N158" i="233"/>
  <c r="V158" i="233"/>
  <c r="AD158" i="233"/>
  <c r="N160" i="233"/>
  <c r="V160" i="233"/>
  <c r="AD160" i="233"/>
  <c r="N162" i="233"/>
  <c r="V162" i="233"/>
  <c r="AD162" i="233"/>
  <c r="N164" i="233"/>
  <c r="V164" i="233"/>
  <c r="AD164" i="233"/>
  <c r="N166" i="233"/>
  <c r="V166" i="233"/>
  <c r="AD166" i="233"/>
  <c r="N168" i="233"/>
  <c r="V168" i="233"/>
  <c r="AD168" i="233"/>
  <c r="N170" i="233"/>
  <c r="V170" i="233"/>
  <c r="AD170" i="233"/>
  <c r="N172" i="233"/>
  <c r="V172" i="233"/>
  <c r="AD172" i="233"/>
  <c r="N174" i="233"/>
  <c r="V174" i="233"/>
  <c r="AD174" i="233"/>
  <c r="L170" i="234"/>
  <c r="L168" i="234"/>
  <c r="L172" i="234"/>
  <c r="L164" i="234"/>
  <c r="L159" i="234"/>
  <c r="L157" i="234"/>
  <c r="L155" i="234"/>
  <c r="T174" i="234"/>
  <c r="T172" i="234"/>
  <c r="T166" i="234"/>
  <c r="T162" i="234"/>
  <c r="AB170" i="234"/>
  <c r="AB174" i="234"/>
  <c r="AB151" i="234"/>
  <c r="AJ170" i="234"/>
  <c r="AJ162" i="234"/>
  <c r="AJ172" i="234"/>
  <c r="AL14" i="234"/>
  <c r="AL26" i="234"/>
  <c r="AL55" i="234"/>
  <c r="AL54" i="234"/>
  <c r="AL66" i="234"/>
  <c r="AL93" i="234"/>
  <c r="AL92" i="234"/>
  <c r="AL113" i="234"/>
  <c r="AL116" i="234"/>
  <c r="AL141" i="234"/>
  <c r="AL140" i="234"/>
  <c r="L153" i="234"/>
  <c r="L156" i="234"/>
  <c r="AG158" i="234"/>
  <c r="L162" i="234"/>
  <c r="AJ169" i="234"/>
  <c r="AB169" i="234"/>
  <c r="T169" i="234"/>
  <c r="L169" i="234"/>
  <c r="AF169" i="234"/>
  <c r="W169" i="234"/>
  <c r="N169" i="234"/>
  <c r="AH169" i="234"/>
  <c r="X169" i="234"/>
  <c r="M169" i="234"/>
  <c r="AG169" i="234"/>
  <c r="V169" i="234"/>
  <c r="K169" i="234"/>
  <c r="AE169" i="234"/>
  <c r="U169" i="234"/>
  <c r="J169" i="234"/>
  <c r="AD169" i="234"/>
  <c r="S169" i="234"/>
  <c r="I169" i="234"/>
  <c r="AC169" i="234"/>
  <c r="R169" i="234"/>
  <c r="H169" i="234"/>
  <c r="AA169" i="234"/>
  <c r="Z169" i="234"/>
  <c r="Y169" i="234"/>
  <c r="Q169" i="234"/>
  <c r="P169" i="234"/>
  <c r="G158" i="233"/>
  <c r="O158" i="233"/>
  <c r="W158" i="233"/>
  <c r="G160" i="233"/>
  <c r="O160" i="233"/>
  <c r="W160" i="233"/>
  <c r="G162" i="233"/>
  <c r="O162" i="233"/>
  <c r="W162" i="233"/>
  <c r="G164" i="233"/>
  <c r="O164" i="233"/>
  <c r="W164" i="233"/>
  <c r="G166" i="233"/>
  <c r="O166" i="233"/>
  <c r="W166" i="233"/>
  <c r="G168" i="233"/>
  <c r="O168" i="233"/>
  <c r="W168" i="233"/>
  <c r="G170" i="233"/>
  <c r="AL170" i="233" s="1"/>
  <c r="AN170" i="233" s="1"/>
  <c r="O170" i="233"/>
  <c r="W170" i="233"/>
  <c r="G172" i="233"/>
  <c r="O172" i="233"/>
  <c r="W172" i="233"/>
  <c r="G174" i="233"/>
  <c r="O174" i="233"/>
  <c r="W174" i="233"/>
  <c r="M173" i="234"/>
  <c r="M172" i="234"/>
  <c r="M164" i="234"/>
  <c r="M161" i="234"/>
  <c r="M166" i="234"/>
  <c r="U174" i="234"/>
  <c r="U172" i="234"/>
  <c r="U171" i="234"/>
  <c r="U162" i="234"/>
  <c r="U170" i="234"/>
  <c r="AC174" i="234"/>
  <c r="AC168" i="234"/>
  <c r="AC166" i="234"/>
  <c r="AC173" i="234"/>
  <c r="AC171" i="234"/>
  <c r="AC170" i="234"/>
  <c r="AK171" i="234"/>
  <c r="AK174" i="234"/>
  <c r="AK172" i="234"/>
  <c r="AK173" i="234"/>
  <c r="AL21" i="234"/>
  <c r="AL20" i="234"/>
  <c r="AL44" i="234"/>
  <c r="AL60" i="234"/>
  <c r="AL83" i="234"/>
  <c r="AL82" i="234"/>
  <c r="AL86" i="234"/>
  <c r="AL101" i="234"/>
  <c r="AL109" i="234"/>
  <c r="AL108" i="234"/>
  <c r="AK143" i="234"/>
  <c r="L151" i="234"/>
  <c r="M153" i="234"/>
  <c r="M162" i="234"/>
  <c r="AJ164" i="234"/>
  <c r="AK165" i="234"/>
  <c r="G169" i="234"/>
  <c r="AL169" i="234" s="1"/>
  <c r="AN169" i="234" s="1"/>
  <c r="AL53" i="234"/>
  <c r="AL52" i="234"/>
  <c r="AL56" i="234"/>
  <c r="AL79" i="234"/>
  <c r="AL94" i="234"/>
  <c r="AL121" i="234"/>
  <c r="AL120" i="234"/>
  <c r="AL127" i="234"/>
  <c r="AL126" i="234"/>
  <c r="M151" i="234"/>
  <c r="U157" i="234"/>
  <c r="AC162" i="234"/>
  <c r="AJ166" i="234"/>
  <c r="AA167" i="234"/>
  <c r="L174" i="234"/>
  <c r="AL63" i="234"/>
  <c r="AL62" i="234"/>
  <c r="AL71" i="234"/>
  <c r="AL103" i="234"/>
  <c r="AL102" i="234"/>
  <c r="AL111" i="234"/>
  <c r="AL137" i="234"/>
  <c r="AL136" i="234"/>
  <c r="L158" i="234"/>
  <c r="AG160" i="234"/>
  <c r="U164" i="234"/>
  <c r="T168" i="234"/>
  <c r="T170" i="234"/>
  <c r="U173" i="234"/>
  <c r="M174" i="234"/>
  <c r="AL107" i="234"/>
  <c r="AL106" i="234"/>
  <c r="AL139" i="234"/>
  <c r="AL138" i="234"/>
  <c r="M143" i="234"/>
  <c r="AD152" i="234"/>
  <c r="U168" i="234"/>
  <c r="AK169" i="234"/>
  <c r="AL75" i="234"/>
  <c r="AL74" i="234"/>
  <c r="AL112" i="234"/>
  <c r="N143" i="234"/>
  <c r="Y143" i="234"/>
  <c r="AJ143" i="234"/>
  <c r="O152" i="234"/>
  <c r="Z152" i="234"/>
  <c r="R153" i="234"/>
  <c r="AC153" i="234"/>
  <c r="AG155" i="234"/>
  <c r="Y155" i="234"/>
  <c r="Q155" i="234"/>
  <c r="I155" i="234"/>
  <c r="AC155" i="234"/>
  <c r="T155" i="234"/>
  <c r="K155" i="234"/>
  <c r="AK155" i="234"/>
  <c r="AB155" i="234"/>
  <c r="S155" i="234"/>
  <c r="J155" i="234"/>
  <c r="AJ155" i="234"/>
  <c r="AA155" i="234"/>
  <c r="R155" i="234"/>
  <c r="H155" i="234"/>
  <c r="V155" i="234"/>
  <c r="AI155" i="234"/>
  <c r="AG157" i="234"/>
  <c r="Y157" i="234"/>
  <c r="Q157" i="234"/>
  <c r="I157" i="234"/>
  <c r="AC157" i="234"/>
  <c r="T157" i="234"/>
  <c r="K157" i="234"/>
  <c r="AK157" i="234"/>
  <c r="AB157" i="234"/>
  <c r="S157" i="234"/>
  <c r="J157" i="234"/>
  <c r="AJ157" i="234"/>
  <c r="AA157" i="234"/>
  <c r="R157" i="234"/>
  <c r="H157" i="234"/>
  <c r="V157" i="234"/>
  <c r="AI157" i="234"/>
  <c r="AG159" i="234"/>
  <c r="Y159" i="234"/>
  <c r="Q159" i="234"/>
  <c r="I159" i="234"/>
  <c r="AC159" i="234"/>
  <c r="T159" i="234"/>
  <c r="K159" i="234"/>
  <c r="AK159" i="234"/>
  <c r="AB159" i="234"/>
  <c r="S159" i="234"/>
  <c r="J159" i="234"/>
  <c r="AJ159" i="234"/>
  <c r="AA159" i="234"/>
  <c r="R159" i="234"/>
  <c r="H159" i="234"/>
  <c r="V159" i="234"/>
  <c r="AI159" i="234"/>
  <c r="AJ161" i="234"/>
  <c r="AB161" i="234"/>
  <c r="T161" i="234"/>
  <c r="L161" i="234"/>
  <c r="AK161" i="234"/>
  <c r="AA161" i="234"/>
  <c r="R161" i="234"/>
  <c r="I161" i="234"/>
  <c r="AF161" i="234"/>
  <c r="V161" i="234"/>
  <c r="K161" i="234"/>
  <c r="AE161" i="234"/>
  <c r="U161" i="234"/>
  <c r="J161" i="234"/>
  <c r="AD161" i="234"/>
  <c r="S161" i="234"/>
  <c r="H161" i="234"/>
  <c r="X161" i="234"/>
  <c r="AG162" i="234"/>
  <c r="R165" i="234"/>
  <c r="I168" i="234"/>
  <c r="I172" i="234"/>
  <c r="I171" i="234"/>
  <c r="Q172" i="234"/>
  <c r="Y171" i="234"/>
  <c r="Y168" i="234"/>
  <c r="AG172" i="234"/>
  <c r="AG174" i="234"/>
  <c r="AL110" i="234"/>
  <c r="AL123" i="234"/>
  <c r="AL122" i="234"/>
  <c r="AL130" i="234"/>
  <c r="O143" i="234"/>
  <c r="AA143" i="234"/>
  <c r="AG151" i="234"/>
  <c r="Y151" i="234"/>
  <c r="Q151" i="234"/>
  <c r="I151" i="234"/>
  <c r="AF151" i="234"/>
  <c r="X151" i="234"/>
  <c r="AE151" i="234"/>
  <c r="W151" i="234"/>
  <c r="O151" i="234"/>
  <c r="G151" i="234"/>
  <c r="R151" i="234"/>
  <c r="AC151" i="234"/>
  <c r="P152" i="234"/>
  <c r="S153" i="234"/>
  <c r="AK154" i="234"/>
  <c r="AC154" i="234"/>
  <c r="U154" i="234"/>
  <c r="M154" i="234"/>
  <c r="AJ154" i="234"/>
  <c r="AB154" i="234"/>
  <c r="T154" i="234"/>
  <c r="L154" i="234"/>
  <c r="AI154" i="234"/>
  <c r="AA154" i="234"/>
  <c r="S154" i="234"/>
  <c r="K154" i="234"/>
  <c r="Q154" i="234"/>
  <c r="AE154" i="234"/>
  <c r="G155" i="234"/>
  <c r="W155" i="234"/>
  <c r="G157" i="234"/>
  <c r="W157" i="234"/>
  <c r="G159" i="234"/>
  <c r="W159" i="234"/>
  <c r="G161" i="234"/>
  <c r="AL161" i="234" s="1"/>
  <c r="AN161" i="234" s="1"/>
  <c r="Y161" i="234"/>
  <c r="Y164" i="234"/>
  <c r="AJ165" i="234"/>
  <c r="AB165" i="234"/>
  <c r="T165" i="234"/>
  <c r="L165" i="234"/>
  <c r="AD165" i="234"/>
  <c r="U165" i="234"/>
  <c r="K165" i="234"/>
  <c r="AH165" i="234"/>
  <c r="X165" i="234"/>
  <c r="N165" i="234"/>
  <c r="AG165" i="234"/>
  <c r="W165" i="234"/>
  <c r="M165" i="234"/>
  <c r="AF165" i="234"/>
  <c r="V165" i="234"/>
  <c r="J165" i="234"/>
  <c r="S165" i="234"/>
  <c r="Y167" i="234"/>
  <c r="AJ168" i="234"/>
  <c r="AG168" i="234"/>
  <c r="Q171" i="234"/>
  <c r="AH143" i="234"/>
  <c r="Z143" i="234"/>
  <c r="R143" i="234"/>
  <c r="J143" i="234"/>
  <c r="AF143" i="234"/>
  <c r="X143" i="234"/>
  <c r="P143" i="234"/>
  <c r="H143" i="234"/>
  <c r="Q143" i="234"/>
  <c r="AB143" i="234"/>
  <c r="AK152" i="234"/>
  <c r="AC152" i="234"/>
  <c r="U152" i="234"/>
  <c r="M152" i="234"/>
  <c r="AJ152" i="234"/>
  <c r="AB152" i="234"/>
  <c r="T152" i="234"/>
  <c r="L152" i="234"/>
  <c r="AI152" i="234"/>
  <c r="AA152" i="234"/>
  <c r="S152" i="234"/>
  <c r="K152" i="234"/>
  <c r="Q152" i="234"/>
  <c r="AE152" i="234"/>
  <c r="AG153" i="234"/>
  <c r="Y153" i="234"/>
  <c r="Q153" i="234"/>
  <c r="I153" i="234"/>
  <c r="AF153" i="234"/>
  <c r="X153" i="234"/>
  <c r="P153" i="234"/>
  <c r="H153" i="234"/>
  <c r="AE153" i="234"/>
  <c r="W153" i="234"/>
  <c r="O153" i="234"/>
  <c r="G153" i="234"/>
  <c r="T153" i="234"/>
  <c r="AH153" i="234"/>
  <c r="AI162" i="234"/>
  <c r="Q163" i="234"/>
  <c r="G165" i="234"/>
  <c r="Y165" i="234"/>
  <c r="AI170" i="234"/>
  <c r="AL48" i="234"/>
  <c r="AL70" i="234"/>
  <c r="AL78" i="234"/>
  <c r="AL91" i="234"/>
  <c r="AL90" i="234"/>
  <c r="AL100" i="234"/>
  <c r="AL128" i="234"/>
  <c r="G143" i="234"/>
  <c r="S143" i="234"/>
  <c r="AC143" i="234"/>
  <c r="J151" i="234"/>
  <c r="T151" i="234"/>
  <c r="AH151" i="234"/>
  <c r="G152" i="234"/>
  <c r="R152" i="234"/>
  <c r="AF152" i="234"/>
  <c r="J153" i="234"/>
  <c r="U153" i="234"/>
  <c r="AI153" i="234"/>
  <c r="H154" i="234"/>
  <c r="V154" i="234"/>
  <c r="AG154" i="234"/>
  <c r="M155" i="234"/>
  <c r="Z155" i="234"/>
  <c r="T156" i="234"/>
  <c r="M157" i="234"/>
  <c r="Z157" i="234"/>
  <c r="T158" i="234"/>
  <c r="M159" i="234"/>
  <c r="Z159" i="234"/>
  <c r="T160" i="234"/>
  <c r="N161" i="234"/>
  <c r="AC161" i="234"/>
  <c r="R163" i="234"/>
  <c r="H165" i="234"/>
  <c r="Z165" i="234"/>
  <c r="I170" i="234"/>
  <c r="I173" i="234"/>
  <c r="I143" i="234"/>
  <c r="T143" i="234"/>
  <c r="AD143" i="234"/>
  <c r="K151" i="234"/>
  <c r="U151" i="234"/>
  <c r="AI151" i="234"/>
  <c r="H152" i="234"/>
  <c r="V152" i="234"/>
  <c r="AG152" i="234"/>
  <c r="K153" i="234"/>
  <c r="V153" i="234"/>
  <c r="AJ153" i="234"/>
  <c r="I154" i="234"/>
  <c r="W154" i="234"/>
  <c r="AH154" i="234"/>
  <c r="N155" i="234"/>
  <c r="AD155" i="234"/>
  <c r="AK156" i="234"/>
  <c r="AC156" i="234"/>
  <c r="U156" i="234"/>
  <c r="M156" i="234"/>
  <c r="AB156" i="234"/>
  <c r="S156" i="234"/>
  <c r="J156" i="234"/>
  <c r="AJ156" i="234"/>
  <c r="AA156" i="234"/>
  <c r="R156" i="234"/>
  <c r="I156" i="234"/>
  <c r="AI156" i="234"/>
  <c r="Z156" i="234"/>
  <c r="Q156" i="234"/>
  <c r="H156" i="234"/>
  <c r="V156" i="234"/>
  <c r="AH156" i="234"/>
  <c r="N157" i="234"/>
  <c r="AD157" i="234"/>
  <c r="AK158" i="234"/>
  <c r="AC158" i="234"/>
  <c r="U158" i="234"/>
  <c r="M158" i="234"/>
  <c r="AB158" i="234"/>
  <c r="S158" i="234"/>
  <c r="J158" i="234"/>
  <c r="AJ158" i="234"/>
  <c r="AA158" i="234"/>
  <c r="R158" i="234"/>
  <c r="I158" i="234"/>
  <c r="AI158" i="234"/>
  <c r="Z158" i="234"/>
  <c r="Q158" i="234"/>
  <c r="H158" i="234"/>
  <c r="V158" i="234"/>
  <c r="AH158" i="234"/>
  <c r="N159" i="234"/>
  <c r="AD159" i="234"/>
  <c r="AK160" i="234"/>
  <c r="AC160" i="234"/>
  <c r="U160" i="234"/>
  <c r="M160" i="234"/>
  <c r="AB160" i="234"/>
  <c r="S160" i="234"/>
  <c r="J160" i="234"/>
  <c r="AJ160" i="234"/>
  <c r="AA160" i="234"/>
  <c r="R160" i="234"/>
  <c r="I160" i="234"/>
  <c r="AI160" i="234"/>
  <c r="Z160" i="234"/>
  <c r="Q160" i="234"/>
  <c r="H160" i="234"/>
  <c r="V160" i="234"/>
  <c r="AH160" i="234"/>
  <c r="O161" i="234"/>
  <c r="AG161" i="234"/>
  <c r="I162" i="234"/>
  <c r="AJ163" i="234"/>
  <c r="AB163" i="234"/>
  <c r="T163" i="234"/>
  <c r="L163" i="234"/>
  <c r="AC163" i="234"/>
  <c r="S163" i="234"/>
  <c r="J163" i="234"/>
  <c r="AG163" i="234"/>
  <c r="W163" i="234"/>
  <c r="M163" i="234"/>
  <c r="AF163" i="234"/>
  <c r="V163" i="234"/>
  <c r="K163" i="234"/>
  <c r="AE163" i="234"/>
  <c r="U163" i="234"/>
  <c r="I163" i="234"/>
  <c r="X163" i="234"/>
  <c r="AG164" i="234"/>
  <c r="I165" i="234"/>
  <c r="AA165" i="234"/>
  <c r="AJ167" i="234"/>
  <c r="AB167" i="234"/>
  <c r="T167" i="234"/>
  <c r="L167" i="234"/>
  <c r="AE167" i="234"/>
  <c r="V167" i="234"/>
  <c r="M167" i="234"/>
  <c r="AH167" i="234"/>
  <c r="X167" i="234"/>
  <c r="N167" i="234"/>
  <c r="AG167" i="234"/>
  <c r="W167" i="234"/>
  <c r="K167" i="234"/>
  <c r="AF167" i="234"/>
  <c r="U167" i="234"/>
  <c r="J167" i="234"/>
  <c r="AD167" i="234"/>
  <c r="S167" i="234"/>
  <c r="I167" i="234"/>
  <c r="AC167" i="234"/>
  <c r="R167" i="234"/>
  <c r="H167" i="234"/>
  <c r="AI167" i="234"/>
  <c r="N162" i="234"/>
  <c r="Y162" i="234"/>
  <c r="O164" i="234"/>
  <c r="Z164" i="234"/>
  <c r="O166" i="234"/>
  <c r="Z166" i="234"/>
  <c r="O168" i="234"/>
  <c r="Z168" i="234"/>
  <c r="M170" i="234"/>
  <c r="Y170" i="234"/>
  <c r="AF164" i="234"/>
  <c r="X164" i="234"/>
  <c r="P164" i="234"/>
  <c r="H164" i="234"/>
  <c r="AC164" i="234"/>
  <c r="T164" i="234"/>
  <c r="K164" i="234"/>
  <c r="Q164" i="234"/>
  <c r="AA164" i="234"/>
  <c r="AK164" i="234"/>
  <c r="AF166" i="234"/>
  <c r="X166" i="234"/>
  <c r="P166" i="234"/>
  <c r="H166" i="234"/>
  <c r="AD166" i="234"/>
  <c r="U166" i="234"/>
  <c r="L166" i="234"/>
  <c r="Q166" i="234"/>
  <c r="AA166" i="234"/>
  <c r="AK166" i="234"/>
  <c r="AF168" i="234"/>
  <c r="X168" i="234"/>
  <c r="P168" i="234"/>
  <c r="H168" i="234"/>
  <c r="AE168" i="234"/>
  <c r="V168" i="234"/>
  <c r="M168" i="234"/>
  <c r="Q168" i="234"/>
  <c r="AA168" i="234"/>
  <c r="AK168" i="234"/>
  <c r="AF162" i="234"/>
  <c r="X162" i="234"/>
  <c r="P162" i="234"/>
  <c r="H162" i="234"/>
  <c r="AK162" i="234"/>
  <c r="AB162" i="234"/>
  <c r="S162" i="234"/>
  <c r="J162" i="234"/>
  <c r="Q162" i="234"/>
  <c r="AA162" i="234"/>
  <c r="G164" i="234"/>
  <c r="R164" i="234"/>
  <c r="AB164" i="234"/>
  <c r="G166" i="234"/>
  <c r="R166" i="234"/>
  <c r="AB166" i="234"/>
  <c r="G168" i="234"/>
  <c r="AL168" i="234" s="1"/>
  <c r="AN168" i="234" s="1"/>
  <c r="R168" i="234"/>
  <c r="AB168" i="234"/>
  <c r="AF170" i="234"/>
  <c r="X170" i="234"/>
  <c r="P170" i="234"/>
  <c r="H170" i="234"/>
  <c r="AG170" i="234"/>
  <c r="W170" i="234"/>
  <c r="N170" i="234"/>
  <c r="Q170" i="234"/>
  <c r="AA170" i="234"/>
  <c r="AK170" i="234"/>
  <c r="AJ173" i="234"/>
  <c r="AB173" i="234"/>
  <c r="T173" i="234"/>
  <c r="L173" i="234"/>
  <c r="O173" i="234"/>
  <c r="X173" i="234"/>
  <c r="AG173" i="234"/>
  <c r="AF174" i="234"/>
  <c r="X174" i="234"/>
  <c r="P174" i="234"/>
  <c r="H174" i="234"/>
  <c r="O174" i="234"/>
  <c r="Y174" i="234"/>
  <c r="AH174" i="234"/>
  <c r="AJ171" i="234"/>
  <c r="AB171" i="234"/>
  <c r="T171" i="234"/>
  <c r="L171" i="234"/>
  <c r="O171" i="234"/>
  <c r="X171" i="234"/>
  <c r="AG171" i="234"/>
  <c r="AF172" i="234"/>
  <c r="X172" i="234"/>
  <c r="P172" i="234"/>
  <c r="H172" i="234"/>
  <c r="O172" i="234"/>
  <c r="Y172" i="234"/>
  <c r="AH172" i="234"/>
  <c r="G173" i="234"/>
  <c r="P173" i="234"/>
  <c r="Y173" i="234"/>
  <c r="AH173" i="234"/>
  <c r="G174" i="234"/>
  <c r="Q174" i="234"/>
  <c r="Z174" i="234"/>
  <c r="AI174" i="234"/>
  <c r="H173" i="234"/>
  <c r="Q173" i="234"/>
  <c r="Z173" i="234"/>
  <c r="AI173" i="234"/>
  <c r="I174" i="234"/>
  <c r="R174" i="234"/>
  <c r="AA174" i="234"/>
  <c r="AJ174" i="234"/>
  <c r="M36" i="221"/>
  <c r="M37" i="221" s="1"/>
  <c r="F36" i="221"/>
  <c r="F37" i="221" s="1"/>
  <c r="U37" i="221" s="1"/>
  <c r="M29" i="221"/>
  <c r="F29" i="221"/>
  <c r="U29" i="221" s="1"/>
  <c r="M28" i="221"/>
  <c r="F28" i="221"/>
  <c r="M54" i="217"/>
  <c r="P55" i="217" s="1"/>
  <c r="M53" i="217"/>
  <c r="E51" i="217"/>
  <c r="P50" i="217"/>
  <c r="M50" i="217"/>
  <c r="E50" i="217"/>
  <c r="E49" i="217"/>
  <c r="P48" i="217"/>
  <c r="M48" i="217"/>
  <c r="E48" i="217"/>
  <c r="E47" i="217"/>
  <c r="P46" i="217"/>
  <c r="P53" i="217" s="1"/>
  <c r="P54" i="217" s="1"/>
  <c r="M46" i="217"/>
  <c r="E46" i="217"/>
  <c r="P45" i="217"/>
  <c r="M45" i="217"/>
  <c r="E37" i="217"/>
  <c r="P36" i="217"/>
  <c r="M36" i="217"/>
  <c r="E36" i="217"/>
  <c r="E35" i="217"/>
  <c r="P34" i="217"/>
  <c r="M34" i="217"/>
  <c r="E34" i="217"/>
  <c r="E33" i="217"/>
  <c r="P32" i="217"/>
  <c r="M32" i="217"/>
  <c r="E32" i="217"/>
  <c r="E31" i="217"/>
  <c r="P30" i="217"/>
  <c r="M30" i="217"/>
  <c r="E30" i="217"/>
  <c r="E29" i="217"/>
  <c r="P28" i="217"/>
  <c r="M28" i="217"/>
  <c r="E28" i="217"/>
  <c r="E27" i="217"/>
  <c r="P26" i="217"/>
  <c r="M26" i="217"/>
  <c r="E26" i="217"/>
  <c r="E25" i="217"/>
  <c r="P24" i="217"/>
  <c r="M24" i="217"/>
  <c r="E24" i="217"/>
  <c r="E23" i="217"/>
  <c r="P22" i="217"/>
  <c r="M22" i="217"/>
  <c r="E22" i="217"/>
  <c r="E21" i="217"/>
  <c r="P20" i="217"/>
  <c r="M20" i="217"/>
  <c r="E20" i="217"/>
  <c r="E19" i="217"/>
  <c r="P18" i="217"/>
  <c r="M18" i="217"/>
  <c r="E18" i="217"/>
  <c r="E17" i="217"/>
  <c r="P16" i="217"/>
  <c r="P39" i="217" s="1"/>
  <c r="P40" i="217" s="1"/>
  <c r="M16" i="217"/>
  <c r="M39" i="217" s="1"/>
  <c r="M40" i="217" s="1"/>
  <c r="P41" i="217" s="1"/>
  <c r="E16" i="217"/>
  <c r="P15" i="217"/>
  <c r="M15" i="217"/>
  <c r="J55" i="217" s="1"/>
  <c r="M208" i="233" l="1"/>
  <c r="P208" i="233" s="1"/>
  <c r="M205" i="233"/>
  <c r="P205" i="233" s="1"/>
  <c r="M209" i="233"/>
  <c r="P209" i="233" s="1"/>
  <c r="M210" i="233"/>
  <c r="P210" i="233" s="1"/>
  <c r="M199" i="233"/>
  <c r="P199" i="233" s="1"/>
  <c r="M201" i="233"/>
  <c r="P201" i="233" s="1"/>
  <c r="M214" i="233"/>
  <c r="P214" i="233" s="1"/>
  <c r="AM135" i="234"/>
  <c r="AQ135" i="234"/>
  <c r="AR135" i="234" s="1"/>
  <c r="AL163" i="234"/>
  <c r="AN163" i="234" s="1"/>
  <c r="AM133" i="233"/>
  <c r="AQ133" i="233"/>
  <c r="AR133" i="233" s="1"/>
  <c r="AQ43" i="234"/>
  <c r="AR43" i="234" s="1"/>
  <c r="AM43" i="234"/>
  <c r="AM75" i="233"/>
  <c r="AQ75" i="233"/>
  <c r="AR75" i="233" s="1"/>
  <c r="AL158" i="233"/>
  <c r="AN158" i="233" s="1"/>
  <c r="AM35" i="234"/>
  <c r="AQ35" i="234"/>
  <c r="AR35" i="234" s="1"/>
  <c r="AL169" i="233"/>
  <c r="AN169" i="233" s="1"/>
  <c r="AL166" i="234"/>
  <c r="AN166" i="234" s="1"/>
  <c r="AM19" i="233"/>
  <c r="AQ19" i="233"/>
  <c r="AR19" i="233" s="1"/>
  <c r="AQ61" i="233"/>
  <c r="AR61" i="233" s="1"/>
  <c r="AM61" i="233"/>
  <c r="AL157" i="234"/>
  <c r="AN157" i="234" s="1"/>
  <c r="AM79" i="234"/>
  <c r="AQ79" i="234"/>
  <c r="AR79" i="234" s="1"/>
  <c r="AL162" i="233"/>
  <c r="AN162" i="233" s="1"/>
  <c r="AM125" i="233"/>
  <c r="AQ125" i="233"/>
  <c r="AR125" i="233" s="1"/>
  <c r="AQ31" i="234"/>
  <c r="AR31" i="234" s="1"/>
  <c r="AM31" i="234"/>
  <c r="M221" i="233"/>
  <c r="P221" i="233" s="1"/>
  <c r="AL152" i="233"/>
  <c r="AN152" i="233" s="1"/>
  <c r="M218" i="233"/>
  <c r="P218" i="233" s="1"/>
  <c r="AQ11" i="234"/>
  <c r="S201" i="234" s="1"/>
  <c r="V201" i="234" s="1"/>
  <c r="AM11" i="234"/>
  <c r="AL153" i="234"/>
  <c r="AN153" i="234" s="1"/>
  <c r="AL161" i="233"/>
  <c r="AN161" i="233" s="1"/>
  <c r="M214" i="234"/>
  <c r="P214" i="234" s="1"/>
  <c r="M207" i="234"/>
  <c r="P207" i="234" s="1"/>
  <c r="AL162" i="234"/>
  <c r="AN162" i="234" s="1"/>
  <c r="AM17" i="233"/>
  <c r="AQ17" i="233"/>
  <c r="AR17" i="233" s="1"/>
  <c r="AL155" i="233"/>
  <c r="AN155" i="233" s="1"/>
  <c r="AQ49" i="233"/>
  <c r="AR49" i="233" s="1"/>
  <c r="AM49" i="233"/>
  <c r="AM115" i="233"/>
  <c r="AQ115" i="233"/>
  <c r="AR115" i="233" s="1"/>
  <c r="AL173" i="233"/>
  <c r="AN173" i="233" s="1"/>
  <c r="AL152" i="234"/>
  <c r="AN152" i="234" s="1"/>
  <c r="AL172" i="234"/>
  <c r="AN172" i="234" s="1"/>
  <c r="AL153" i="233"/>
  <c r="AN153" i="233" s="1"/>
  <c r="AM141" i="233"/>
  <c r="AQ141" i="233"/>
  <c r="AR141" i="233" s="1"/>
  <c r="AQ109" i="233"/>
  <c r="AR109" i="233" s="1"/>
  <c r="AM109" i="233"/>
  <c r="AM15" i="233"/>
  <c r="AQ15" i="233"/>
  <c r="AR15" i="233" s="1"/>
  <c r="AQ135" i="233"/>
  <c r="AR135" i="233" s="1"/>
  <c r="AM135" i="233"/>
  <c r="AL151" i="234"/>
  <c r="AN151" i="234" s="1"/>
  <c r="AM121" i="234"/>
  <c r="AQ121" i="234"/>
  <c r="AR121" i="234" s="1"/>
  <c r="AL164" i="233"/>
  <c r="AN164" i="233" s="1"/>
  <c r="AQ95" i="234"/>
  <c r="AR95" i="234" s="1"/>
  <c r="AM95" i="234"/>
  <c r="AQ57" i="234"/>
  <c r="AR57" i="234" s="1"/>
  <c r="AM57" i="234"/>
  <c r="AM29" i="233"/>
  <c r="AQ29" i="233"/>
  <c r="AR29" i="233" s="1"/>
  <c r="AQ37" i="234"/>
  <c r="AR37" i="234" s="1"/>
  <c r="AM37" i="234"/>
  <c r="AQ39" i="233"/>
  <c r="AR39" i="233" s="1"/>
  <c r="AM39" i="233"/>
  <c r="M198" i="233"/>
  <c r="P198" i="233" s="1"/>
  <c r="AM91" i="234"/>
  <c r="AQ91" i="234"/>
  <c r="AR91" i="234" s="1"/>
  <c r="AL159" i="234"/>
  <c r="AN159" i="234" s="1"/>
  <c r="AQ75" i="234"/>
  <c r="AR75" i="234" s="1"/>
  <c r="AM75" i="234"/>
  <c r="AL174" i="233"/>
  <c r="AN174" i="233" s="1"/>
  <c r="AM49" i="234"/>
  <c r="AQ49" i="234"/>
  <c r="AR49" i="234" s="1"/>
  <c r="AQ99" i="234"/>
  <c r="AR99" i="234" s="1"/>
  <c r="AM99" i="234"/>
  <c r="AM23" i="234"/>
  <c r="AQ23" i="234"/>
  <c r="AR23" i="234" s="1"/>
  <c r="AQ119" i="234"/>
  <c r="AR119" i="234" s="1"/>
  <c r="AM119" i="234"/>
  <c r="AM73" i="234"/>
  <c r="AQ73" i="234"/>
  <c r="AR73" i="234" s="1"/>
  <c r="AM105" i="233"/>
  <c r="AQ105" i="233"/>
  <c r="AR105" i="233" s="1"/>
  <c r="AQ107" i="234"/>
  <c r="AR107" i="234" s="1"/>
  <c r="AM107" i="234"/>
  <c r="AM21" i="234"/>
  <c r="AQ21" i="234"/>
  <c r="AR21" i="234" s="1"/>
  <c r="AL168" i="233"/>
  <c r="AN168" i="233" s="1"/>
  <c r="AQ15" i="234"/>
  <c r="S202" i="234" s="1"/>
  <c r="V202" i="234" s="1"/>
  <c r="AM15" i="234"/>
  <c r="M210" i="234"/>
  <c r="P210" i="234" s="1"/>
  <c r="AL160" i="234"/>
  <c r="AN160" i="234" s="1"/>
  <c r="AM25" i="234"/>
  <c r="AQ25" i="234"/>
  <c r="AR25" i="234" s="1"/>
  <c r="AL159" i="233"/>
  <c r="AN159" i="233" s="1"/>
  <c r="AQ123" i="233"/>
  <c r="AR123" i="233" s="1"/>
  <c r="AM123" i="233"/>
  <c r="AM47" i="233"/>
  <c r="AQ47" i="233"/>
  <c r="AR47" i="233" s="1"/>
  <c r="M206" i="233"/>
  <c r="P206" i="233" s="1"/>
  <c r="AL154" i="233"/>
  <c r="AN154" i="233" s="1"/>
  <c r="AQ101" i="234"/>
  <c r="AR101" i="234" s="1"/>
  <c r="AM101" i="234"/>
  <c r="AM141" i="234"/>
  <c r="AQ141" i="234"/>
  <c r="AR141" i="234" s="1"/>
  <c r="AM55" i="234"/>
  <c r="AQ55" i="234"/>
  <c r="AR55" i="234" s="1"/>
  <c r="AQ129" i="234"/>
  <c r="AR129" i="234" s="1"/>
  <c r="AM129" i="234"/>
  <c r="AM77" i="234"/>
  <c r="AQ77" i="234"/>
  <c r="AR77" i="234" s="1"/>
  <c r="M216" i="234"/>
  <c r="P216" i="234" s="1"/>
  <c r="M213" i="234"/>
  <c r="P213" i="234" s="1"/>
  <c r="AL156" i="233"/>
  <c r="AN156" i="233" s="1"/>
  <c r="AL154" i="234"/>
  <c r="AN154" i="234" s="1"/>
  <c r="AL171" i="233"/>
  <c r="AN171" i="233" s="1"/>
  <c r="AQ129" i="233"/>
  <c r="AR129" i="233" s="1"/>
  <c r="AM129" i="233"/>
  <c r="AM27" i="233"/>
  <c r="AQ27" i="233"/>
  <c r="AR27" i="233" s="1"/>
  <c r="M212" i="233"/>
  <c r="P212" i="233" s="1"/>
  <c r="AM71" i="234"/>
  <c r="AQ71" i="234"/>
  <c r="AR71" i="234" s="1"/>
  <c r="AL172" i="233"/>
  <c r="AN172" i="233" s="1"/>
  <c r="AL164" i="234"/>
  <c r="AN164" i="234" s="1"/>
  <c r="AL143" i="234"/>
  <c r="AL155" i="234"/>
  <c r="AN155" i="234" s="1"/>
  <c r="AL166" i="233"/>
  <c r="AN166" i="233" s="1"/>
  <c r="AM113" i="234"/>
  <c r="AQ113" i="234"/>
  <c r="AR113" i="234" s="1"/>
  <c r="AQ89" i="234"/>
  <c r="AR89" i="234" s="1"/>
  <c r="AM89" i="234"/>
  <c r="AQ85" i="234"/>
  <c r="AR85" i="234" s="1"/>
  <c r="AM85" i="234"/>
  <c r="AL143" i="233"/>
  <c r="M204" i="234"/>
  <c r="P204" i="234" s="1"/>
  <c r="M220" i="234"/>
  <c r="P220" i="234" s="1"/>
  <c r="M201" i="234"/>
  <c r="P201" i="234" s="1"/>
  <c r="M217" i="234"/>
  <c r="P217" i="234" s="1"/>
  <c r="AM77" i="233"/>
  <c r="AQ77" i="233"/>
  <c r="AR77" i="233" s="1"/>
  <c r="AL171" i="234"/>
  <c r="AN171" i="234" s="1"/>
  <c r="AM107" i="233"/>
  <c r="AQ107" i="233"/>
  <c r="AR107" i="233" s="1"/>
  <c r="AL175" i="233"/>
  <c r="AN175" i="233" s="1"/>
  <c r="AM93" i="233"/>
  <c r="AQ93" i="233"/>
  <c r="AR93" i="233" s="1"/>
  <c r="AQ11" i="233"/>
  <c r="AR11" i="233" s="1"/>
  <c r="AM11" i="233"/>
  <c r="M217" i="233"/>
  <c r="P217" i="233" s="1"/>
  <c r="M200" i="233"/>
  <c r="P200" i="233" s="1"/>
  <c r="M216" i="233"/>
  <c r="P216" i="233" s="1"/>
  <c r="AQ65" i="233"/>
  <c r="AR65" i="233" s="1"/>
  <c r="AM65" i="233"/>
  <c r="AM67" i="233"/>
  <c r="AQ67" i="233"/>
  <c r="AR67" i="233" s="1"/>
  <c r="M207" i="233"/>
  <c r="P207" i="233" s="1"/>
  <c r="AL165" i="234"/>
  <c r="AN165" i="234" s="1"/>
  <c r="AQ139" i="234"/>
  <c r="AR139" i="234" s="1"/>
  <c r="AM139" i="234"/>
  <c r="AM111" i="234"/>
  <c r="AQ111" i="234"/>
  <c r="AR111" i="234" s="1"/>
  <c r="AM93" i="234"/>
  <c r="AQ93" i="234"/>
  <c r="AR93" i="234" s="1"/>
  <c r="AL158" i="234"/>
  <c r="AN158" i="234" s="1"/>
  <c r="AL157" i="233"/>
  <c r="AN157" i="233" s="1"/>
  <c r="AL167" i="233"/>
  <c r="AN167" i="233" s="1"/>
  <c r="AM57" i="233"/>
  <c r="AQ57" i="233"/>
  <c r="AR57" i="233" s="1"/>
  <c r="AQ21" i="233"/>
  <c r="AR21" i="233" s="1"/>
  <c r="AM21" i="233"/>
  <c r="AM103" i="234"/>
  <c r="AQ103" i="234"/>
  <c r="AR103" i="234" s="1"/>
  <c r="AL167" i="234"/>
  <c r="AN167" i="234" s="1"/>
  <c r="AL174" i="234"/>
  <c r="AN174" i="234" s="1"/>
  <c r="AM109" i="234"/>
  <c r="AQ109" i="234"/>
  <c r="AR109" i="234" s="1"/>
  <c r="AM39" i="234"/>
  <c r="AQ39" i="234"/>
  <c r="AR39" i="234" s="1"/>
  <c r="M197" i="233"/>
  <c r="P197" i="233" s="1"/>
  <c r="AM45" i="233"/>
  <c r="AQ45" i="233"/>
  <c r="AR45" i="233" s="1"/>
  <c r="AL173" i="234"/>
  <c r="AN173" i="234" s="1"/>
  <c r="AQ123" i="234"/>
  <c r="AR123" i="234" s="1"/>
  <c r="AM123" i="234"/>
  <c r="AM137" i="234"/>
  <c r="AQ137" i="234"/>
  <c r="AR137" i="234" s="1"/>
  <c r="AM63" i="234"/>
  <c r="AQ63" i="234"/>
  <c r="AR63" i="234" s="1"/>
  <c r="AQ127" i="234"/>
  <c r="AR127" i="234" s="1"/>
  <c r="AM127" i="234"/>
  <c r="AM53" i="234"/>
  <c r="AQ53" i="234"/>
  <c r="AR53" i="234" s="1"/>
  <c r="AQ83" i="234"/>
  <c r="AR83" i="234" s="1"/>
  <c r="AM83" i="234"/>
  <c r="AL160" i="233"/>
  <c r="AN160" i="233" s="1"/>
  <c r="AL175" i="234"/>
  <c r="AN175" i="234" s="1"/>
  <c r="AM13" i="234"/>
  <c r="AQ13" i="234"/>
  <c r="AM59" i="234"/>
  <c r="AQ59" i="234"/>
  <c r="AR59" i="234" s="1"/>
  <c r="AQ47" i="234"/>
  <c r="AR47" i="234" s="1"/>
  <c r="AM47" i="234"/>
  <c r="AL163" i="233"/>
  <c r="AN163" i="233" s="1"/>
  <c r="AQ17" i="234"/>
  <c r="AR17" i="234" s="1"/>
  <c r="K201" i="234" s="1"/>
  <c r="AM17" i="234"/>
  <c r="M202" i="234"/>
  <c r="P202" i="234" s="1"/>
  <c r="M218" i="234"/>
  <c r="P218" i="234" s="1"/>
  <c r="M211" i="234"/>
  <c r="P211" i="234" s="1"/>
  <c r="AL156" i="234"/>
  <c r="AN156" i="234" s="1"/>
  <c r="AL170" i="234"/>
  <c r="AN170" i="234" s="1"/>
  <c r="AL151" i="233"/>
  <c r="AN151" i="233" s="1"/>
  <c r="AM85" i="233"/>
  <c r="AQ85" i="233"/>
  <c r="AR85" i="233" s="1"/>
  <c r="AQ105" i="234"/>
  <c r="AR105" i="234" s="1"/>
  <c r="AM105" i="234"/>
  <c r="M215" i="233"/>
  <c r="P215" i="233" s="1"/>
  <c r="AQ73" i="233"/>
  <c r="AR73" i="233" s="1"/>
  <c r="AM73" i="233"/>
  <c r="AQ37" i="233"/>
  <c r="AR37" i="233" s="1"/>
  <c r="AM37" i="233"/>
  <c r="J41" i="217"/>
  <c r="U21" i="212"/>
  <c r="T21" i="212"/>
  <c r="U24" i="211"/>
  <c r="T24" i="211"/>
  <c r="AL4" i="173"/>
  <c r="X4" i="173"/>
  <c r="AN176" i="234" l="1"/>
  <c r="G148" i="234" s="1"/>
  <c r="Y148" i="234" s="1"/>
  <c r="AM148" i="234" s="1"/>
  <c r="AN176" i="233"/>
  <c r="G148" i="233" s="1"/>
  <c r="Y148" i="233" s="1"/>
  <c r="AM148" i="233" s="1"/>
  <c r="G46" i="198"/>
  <c r="N11" i="198"/>
  <c r="O11" i="198" s="1"/>
  <c r="J29" i="196"/>
  <c r="R19" i="196"/>
  <c r="R21" i="196"/>
  <c r="Q19" i="196"/>
  <c r="Q21" i="196"/>
  <c r="P19" i="196"/>
  <c r="P21" i="196"/>
  <c r="O19" i="196"/>
  <c r="O21" i="196"/>
  <c r="N19" i="196"/>
  <c r="N21" i="196"/>
  <c r="M19" i="196"/>
  <c r="M21" i="196"/>
  <c r="L19" i="196"/>
  <c r="L21" i="196"/>
  <c r="K19" i="196"/>
  <c r="K21" i="196"/>
  <c r="J19" i="196"/>
  <c r="J21" i="196"/>
  <c r="I19" i="196"/>
  <c r="I21" i="196"/>
  <c r="H19" i="196"/>
  <c r="H21" i="196"/>
  <c r="G19" i="196"/>
  <c r="G21" i="196"/>
  <c r="P7" i="196"/>
  <c r="W74" i="195"/>
  <c r="W73" i="195"/>
  <c r="W72" i="195"/>
  <c r="W71" i="195"/>
  <c r="W70" i="195"/>
  <c r="W69" i="195"/>
  <c r="W68" i="195"/>
  <c r="W67" i="195"/>
  <c r="W66" i="195"/>
  <c r="W65" i="195"/>
  <c r="W64" i="195"/>
  <c r="W63" i="195"/>
  <c r="W62" i="195"/>
  <c r="W61" i="195"/>
  <c r="W60" i="195"/>
  <c r="W59" i="195"/>
  <c r="Q56" i="195"/>
  <c r="U39" i="195"/>
  <c r="AA41" i="195"/>
  <c r="U38" i="195"/>
  <c r="AA40" i="195"/>
  <c r="U37" i="195"/>
  <c r="AA39" i="195"/>
  <c r="U36" i="195"/>
  <c r="AA38" i="195"/>
  <c r="U35" i="195"/>
  <c r="AA37" i="195"/>
  <c r="Q34" i="195"/>
  <c r="U34" i="195"/>
  <c r="AJ20" i="195"/>
  <c r="AI18" i="195"/>
  <c r="AJ18" i="195"/>
  <c r="AI16" i="195"/>
  <c r="L34" i="195"/>
  <c r="L35" i="195"/>
  <c r="L36" i="195"/>
  <c r="L37" i="195"/>
  <c r="L38" i="195"/>
  <c r="L39" i="195"/>
  <c r="L40" i="195"/>
  <c r="L41" i="195"/>
  <c r="AJ2" i="195"/>
  <c r="AJ8" i="195"/>
  <c r="AI20" i="195"/>
  <c r="H20" i="195"/>
  <c r="W58" i="195"/>
  <c r="L56" i="195"/>
  <c r="L57" i="195"/>
  <c r="L58" i="195"/>
  <c r="L59" i="195"/>
  <c r="L60" i="195"/>
  <c r="L61" i="195"/>
  <c r="L62" i="195"/>
  <c r="L63" i="195"/>
  <c r="L64" i="195"/>
  <c r="L65" i="195"/>
  <c r="L66" i="195"/>
  <c r="L67" i="195"/>
  <c r="L68" i="195"/>
  <c r="L69" i="195"/>
  <c r="L70" i="195"/>
  <c r="L71" i="195"/>
  <c r="L72" i="195"/>
  <c r="L73" i="195"/>
  <c r="L74" i="195"/>
  <c r="S22" i="196"/>
  <c r="S23" i="196"/>
  <c r="S21" i="196"/>
  <c r="H19" i="195"/>
  <c r="AA36" i="195"/>
  <c r="J35" i="173"/>
  <c r="W59" i="179"/>
  <c r="AD61" i="179"/>
  <c r="W32" i="179"/>
  <c r="AD32" i="179"/>
  <c r="W22" i="179"/>
  <c r="AD24" i="179"/>
  <c r="L12" i="179"/>
  <c r="W51" i="179"/>
  <c r="AB51" i="179"/>
  <c r="AD59" i="179"/>
  <c r="AD34" i="179"/>
  <c r="Q117" i="179"/>
  <c r="Q118" i="179"/>
  <c r="S127" i="179"/>
  <c r="Q111" i="179"/>
  <c r="Q112" i="179"/>
  <c r="S125" i="179"/>
  <c r="K105" i="179"/>
  <c r="K125" i="179"/>
  <c r="J28" i="173"/>
  <c r="F27" i="173"/>
  <c r="J25" i="173"/>
  <c r="F21" i="173"/>
  <c r="J18" i="173"/>
  <c r="J20" i="173"/>
  <c r="F24" i="173"/>
  <c r="J22" i="173"/>
  <c r="F17" i="173"/>
  <c r="J15" i="173"/>
  <c r="AI8" i="173"/>
  <c r="AE8" i="173"/>
  <c r="AB8" i="173"/>
  <c r="Y8" i="173"/>
  <c r="Y7" i="173"/>
  <c r="H51" i="179"/>
  <c r="M51" i="179"/>
  <c r="AD22" i="179"/>
  <c r="G30" i="198" l="1"/>
  <c r="G31" i="198"/>
  <c r="G45" i="1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C4" authorId="0" shapeId="0" xr:uid="{8B2DFBAD-44CA-4D36-8D76-FDF585B36DFA}">
      <text>
        <r>
          <rPr>
            <b/>
            <sz val="9"/>
            <color indexed="81"/>
            <rFont val="MS P ゴシック"/>
            <family val="3"/>
            <charset val="128"/>
          </rPr>
          <t>当該月の月始め日を入力してください。（例：4/1と入力すると2019/4/1と表記され、月の日数も計算されます。）</t>
        </r>
        <r>
          <rPr>
            <sz val="9"/>
            <color indexed="81"/>
            <rFont val="MS P ゴシック"/>
            <family val="3"/>
            <charset val="128"/>
          </rPr>
          <t xml:space="preserve">
</t>
        </r>
      </text>
    </comment>
    <comment ref="E4" authorId="0" shapeId="0" xr:uid="{53819AEC-0C1A-4E8C-89A6-FD2CB80FECCB}">
      <text>
        <r>
          <rPr>
            <b/>
            <sz val="9"/>
            <color indexed="81"/>
            <rFont val="MS P ゴシック"/>
            <family val="3"/>
            <charset val="128"/>
          </rPr>
          <t>施設が設定した勤務形態、時間数が表示されます。</t>
        </r>
      </text>
    </comment>
    <comment ref="G9" authorId="0" shapeId="0" xr:uid="{B0DA7F7D-FD22-45C2-A2DD-3D183242A2FB}">
      <text>
        <r>
          <rPr>
            <b/>
            <sz val="9"/>
            <color indexed="81"/>
            <rFont val="MS P ゴシック"/>
            <family val="3"/>
            <charset val="128"/>
          </rPr>
          <t>月初め日を入力すると曜日が自動で表示されます。</t>
        </r>
        <r>
          <rPr>
            <sz val="9"/>
            <color indexed="81"/>
            <rFont val="MS P ゴシック"/>
            <family val="3"/>
            <charset val="128"/>
          </rPr>
          <t xml:space="preserve">
</t>
        </r>
      </text>
    </comment>
    <comment ref="Q10" authorId="0" shapeId="0" xr:uid="{97516731-20F3-4FC4-8AFE-3B714258E224}">
      <text>
        <r>
          <rPr>
            <b/>
            <sz val="9"/>
            <color indexed="81"/>
            <rFont val="MS P ゴシック"/>
            <family val="3"/>
            <charset val="128"/>
          </rPr>
          <t>施設が設定した勤務形態を選択入力すると、下段に設定した時間数が表示されます。</t>
        </r>
      </text>
    </comment>
    <comment ref="AL10" authorId="0" shapeId="0" xr:uid="{43E45DB8-1ABB-4E8A-B424-BF219855CD9D}">
      <text>
        <r>
          <rPr>
            <b/>
            <sz val="9"/>
            <color indexed="81"/>
            <rFont val="MS P ゴシック"/>
            <family val="3"/>
            <charset val="128"/>
          </rPr>
          <t>月の日数分の時間数の合計が表示されます。</t>
        </r>
        <r>
          <rPr>
            <sz val="9"/>
            <color indexed="81"/>
            <rFont val="MS P ゴシック"/>
            <family val="3"/>
            <charset val="128"/>
          </rPr>
          <t xml:space="preserve">
</t>
        </r>
      </text>
    </comment>
    <comment ref="AL11" authorId="0" shapeId="0" xr:uid="{0CCC4B1D-BD2E-4DEC-91F5-24E2088D912C}">
      <text>
        <r>
          <rPr>
            <b/>
            <sz val="9"/>
            <color indexed="81"/>
            <rFont val="MS P ゴシック"/>
            <family val="3"/>
            <charset val="128"/>
          </rPr>
          <t>４週の時間数の合計が表示されます。</t>
        </r>
      </text>
    </comment>
    <comment ref="AP11" authorId="0" shapeId="0" xr:uid="{A9109468-73B6-4911-B789-679352210E14}">
      <text>
        <r>
          <rPr>
            <b/>
            <sz val="9"/>
            <color indexed="81"/>
            <rFont val="MS P ゴシック"/>
            <family val="3"/>
            <charset val="128"/>
          </rPr>
          <t>常勤Ａ又はＢの場合は、「1.0」と表示されます。</t>
        </r>
      </text>
    </comment>
    <comment ref="AQ11" authorId="0" shapeId="0" xr:uid="{17ED2F12-7B92-4BBF-BE09-52E299F84194}">
      <text>
        <r>
          <rPr>
            <b/>
            <sz val="9"/>
            <color indexed="81"/>
            <rFont val="MS P ゴシック"/>
            <family val="3"/>
            <charset val="128"/>
          </rPr>
          <t>常勤・非常勤に関わらず、勤務時間数（実労働時間数）が表示されます。</t>
        </r>
      </text>
    </comment>
    <comment ref="AR11" authorId="0" shapeId="0" xr:uid="{8966A0F9-5459-462D-9201-E964CB4B8138}">
      <text>
        <r>
          <rPr>
            <b/>
            <sz val="9"/>
            <color indexed="81"/>
            <rFont val="MS P ゴシック"/>
            <family val="3"/>
            <charset val="128"/>
          </rPr>
          <t>非常勤Ｃ又はＤの場合は、合計時間数が表示されます。</t>
        </r>
        <r>
          <rPr>
            <sz val="9"/>
            <color indexed="81"/>
            <rFont val="MS P ゴシック"/>
            <family val="3"/>
            <charset val="128"/>
          </rPr>
          <t xml:space="preserve">
</t>
        </r>
      </text>
    </comment>
    <comment ref="D12" authorId="0" shapeId="0" xr:uid="{32CC68F6-A831-4ED9-AEEE-6FA3D488D7B5}">
      <text>
        <r>
          <rPr>
            <b/>
            <sz val="9"/>
            <color indexed="81"/>
            <rFont val="MS P ゴシック"/>
            <family val="3"/>
            <charset val="128"/>
          </rPr>
          <t>このセルのタブをクリックすると、勤務形態ＡＢＣＤが表示されるので選択入力してください。</t>
        </r>
      </text>
    </comment>
    <comment ref="C14" authorId="0" shapeId="0" xr:uid="{993EFA05-C44B-4619-9646-10B36EA7854C}">
      <text>
        <r>
          <rPr>
            <b/>
            <sz val="9"/>
            <color indexed="81"/>
            <rFont val="MS P ゴシック"/>
            <family val="3"/>
            <charset val="128"/>
          </rPr>
          <t xml:space="preserve">このセルのタブをクリックすると、施設で設定した職種が表示されるので選択入力してください。
</t>
        </r>
      </text>
    </comment>
    <comment ref="B76" authorId="0" shapeId="0" xr:uid="{2271984C-2945-43D3-8A11-0BF09AF25ABA}">
      <text>
        <r>
          <rPr>
            <b/>
            <sz val="9"/>
            <color indexed="81"/>
            <rFont val="MS P ゴシック"/>
            <family val="3"/>
            <charset val="128"/>
          </rPr>
          <t>34）～64）行までは非表示にしています。</t>
        </r>
      </text>
    </comment>
    <comment ref="B140" authorId="0" shapeId="0" xr:uid="{4700AFE7-16B0-4097-8CA7-AD2BF56AC25B}">
      <text>
        <r>
          <rPr>
            <b/>
            <sz val="9"/>
            <color indexed="81"/>
            <rFont val="MS P ゴシック"/>
            <family val="3"/>
            <charset val="128"/>
          </rPr>
          <t>65）以上作成する場合は、139行目と140行目の間に行の挿入をして、必要な行数を確保してください。</t>
        </r>
      </text>
    </comment>
    <comment ref="G142" authorId="0" shapeId="0" xr:uid="{5AC76B8D-D5B6-4B07-BCA3-90FBD0C92B05}">
      <text>
        <r>
          <rPr>
            <b/>
            <sz val="9"/>
            <color indexed="81"/>
            <rFont val="MS P ゴシック"/>
            <family val="3"/>
            <charset val="128"/>
          </rPr>
          <t>夜勤人員数（実人数）の計算範囲が10行目から142行目までとしているため、この行を削除しないでください。</t>
        </r>
      </text>
    </comment>
    <comment ref="AJ148" authorId="0" shapeId="0" xr:uid="{9B4E22E6-CF64-490F-97AE-8A6148865B62}">
      <text>
        <r>
          <rPr>
            <b/>
            <sz val="9"/>
            <color indexed="81"/>
            <rFont val="MS P ゴシック"/>
            <family val="3"/>
            <charset val="128"/>
          </rPr>
          <t>夜勤配置加算算定の場合に数値を入力してください。</t>
        </r>
      </text>
    </comment>
    <comment ref="AM148" authorId="0" shapeId="0" xr:uid="{2CF5C16A-C77D-4898-B2F2-2DBBB35381C0}">
      <text>
        <r>
          <rPr>
            <b/>
            <sz val="9"/>
            <color indexed="81"/>
            <rFont val="MS P ゴシック"/>
            <family val="3"/>
            <charset val="128"/>
          </rPr>
          <t>１日平均夜勤職員数が、必要な夜勤職員数を上回っていれば”OK”と表示されます。</t>
        </r>
      </text>
    </comment>
    <comment ref="G151" authorId="0" shapeId="0" xr:uid="{A2D1F60E-99F5-4893-9FE7-85E23F0A6A6F}">
      <text>
        <r>
          <rPr>
            <b/>
            <sz val="9"/>
            <color indexed="81"/>
            <rFont val="MS P ゴシック"/>
            <family val="3"/>
            <charset val="128"/>
          </rPr>
          <t>勤務形態一覧から左記勤務形態の回数が集計されます。各列・各行も同じ。</t>
        </r>
      </text>
    </comment>
    <comment ref="AM151" authorId="0" shapeId="0" xr:uid="{1FFD947D-05C3-4A30-B614-9E06B423ABF9}">
      <text>
        <r>
          <rPr>
            <b/>
            <sz val="9"/>
            <color indexed="81"/>
            <rFont val="MS P ゴシック"/>
            <family val="3"/>
            <charset val="128"/>
          </rPr>
          <t>勤務形態ごとの１月間の勤務時間が集計されます。</t>
        </r>
      </text>
    </comment>
    <comment ref="C192" authorId="0" shapeId="0" xr:uid="{0785B878-40DA-42D4-B37E-7C38E2D05511}">
      <text>
        <r>
          <rPr>
            <b/>
            <sz val="9"/>
            <color indexed="81"/>
            <rFont val="MS P ゴシック"/>
            <family val="3"/>
            <charset val="128"/>
          </rPr>
          <t>法人（施設）が定める常勤の従業者が勤務すべき時間数を入力してください。</t>
        </r>
      </text>
    </comment>
    <comment ref="Z192" authorId="0" shapeId="0" xr:uid="{7DBF76C3-8382-463E-B782-77E088BFF2E7}">
      <text>
        <r>
          <rPr>
            <b/>
            <sz val="9"/>
            <color indexed="81"/>
            <rFont val="MS P ゴシック"/>
            <family val="3"/>
            <charset val="128"/>
          </rPr>
          <t>午後10時から翌日午前5時までを含む連続する16時間で施設で定めた夜勤時間帯を入力してください。</t>
        </r>
      </text>
    </comment>
    <comment ref="E196" authorId="0" shapeId="0" xr:uid="{00D5DA4B-248D-4141-82C5-FEC00C5F11C2}">
      <text>
        <r>
          <rPr>
            <b/>
            <sz val="9"/>
            <color indexed="81"/>
            <rFont val="MS P ゴシック"/>
            <family val="3"/>
            <charset val="128"/>
          </rPr>
          <t>施設が設定した職種を入力してください。
この欄に入力すると勤務形態一覧で選択入力できます。</t>
        </r>
      </text>
    </comment>
    <comment ref="I196" authorId="0" shapeId="0" xr:uid="{15B3986F-86F2-4FFC-875C-9A775328EF38}">
      <text>
        <r>
          <rPr>
            <b/>
            <sz val="9"/>
            <color indexed="81"/>
            <rFont val="MS P ゴシック"/>
            <family val="3"/>
            <charset val="128"/>
          </rPr>
          <t>勤務形態一覧の①ＡＢの合計数値が表示されます。</t>
        </r>
      </text>
    </comment>
    <comment ref="K196" authorId="0" shapeId="0" xr:uid="{D8DAA919-78E9-4247-8F5A-DAA027BD75B5}">
      <text>
        <r>
          <rPr>
            <b/>
            <sz val="9"/>
            <color indexed="81"/>
            <rFont val="MS P ゴシック"/>
            <family val="3"/>
            <charset val="128"/>
          </rPr>
          <t>勤務形態一覧の③ＣＤの合計数値が表示されます。</t>
        </r>
        <r>
          <rPr>
            <sz val="9"/>
            <color indexed="81"/>
            <rFont val="MS P ゴシック"/>
            <family val="3"/>
            <charset val="128"/>
          </rPr>
          <t xml:space="preserve">
</t>
        </r>
      </text>
    </comment>
    <comment ref="M196" authorId="0" shapeId="0" xr:uid="{D8B538DA-95D6-4397-B978-D3D6990B6192}">
      <text>
        <r>
          <rPr>
            <b/>
            <sz val="9"/>
            <color indexed="81"/>
            <rFont val="MS P ゴシック"/>
            <family val="3"/>
            <charset val="128"/>
          </rPr>
          <t>①ＡＢと③ＣＤの常勤換算数が表示されます。</t>
        </r>
      </text>
    </comment>
    <comment ref="S196" authorId="0" shapeId="0" xr:uid="{3BE7C489-6D29-4301-84CB-00CF736ED981}">
      <text>
        <r>
          <rPr>
            <b/>
            <sz val="9"/>
            <color indexed="81"/>
            <rFont val="MS P ゴシック"/>
            <family val="3"/>
            <charset val="128"/>
          </rPr>
          <t>②換算（参考）は、全職種の実労働時間数の合計を表示しています。
この数値をもって人員基準が満たされているか判断するためのものではなく、例えば、人員基準は満たされているが、職員が「人員不足を感じる」といった場合などに確認するための目安です。</t>
        </r>
      </text>
    </comment>
    <comment ref="AC197" authorId="0" shapeId="0" xr:uid="{04906D06-9374-47F9-A19F-0B5DC3E96BF5}">
      <text>
        <r>
          <rPr>
            <b/>
            <sz val="9"/>
            <color indexed="81"/>
            <rFont val="MS P ゴシック"/>
            <family val="3"/>
            <charset val="128"/>
          </rPr>
          <t>施設が設定した勤務形態を入力してください。
この欄に入力すると勤務形態一覧で選択入力できます。
※太い枠の夜勤と明けについては、勤務形態一覧の最終行に「看護職員・介護職員の夜勤人員数（実人数）」の集計を行えるよう設定しています。</t>
        </r>
      </text>
    </comment>
    <comment ref="AN197" authorId="0" shapeId="0" xr:uid="{46C7B098-9C4C-44DF-88DC-55D5DA1A1D50}">
      <text>
        <r>
          <rPr>
            <b/>
            <sz val="9"/>
            <color indexed="81"/>
            <rFont val="MS P ゴシック"/>
            <family val="3"/>
            <charset val="128"/>
          </rPr>
          <t>この欄は、勤務形態一覧の上段に表示するための情報ですので、削除・入力等行わないでください。</t>
        </r>
        <r>
          <rPr>
            <sz val="9"/>
            <color indexed="81"/>
            <rFont val="MS P ゴシック"/>
            <family val="3"/>
            <charset val="128"/>
          </rPr>
          <t xml:space="preserve">
</t>
        </r>
      </text>
    </comment>
    <comment ref="AP197" authorId="0" shapeId="0" xr:uid="{3117066B-3A09-4701-915F-7B0890C20E2D}">
      <text>
        <r>
          <rPr>
            <b/>
            <sz val="9"/>
            <color indexed="81"/>
            <rFont val="MS P ゴシック"/>
            <family val="3"/>
            <charset val="128"/>
          </rPr>
          <t>左記の勤務時間帯から夜勤時間帯の時間数を入力してください。便宜上２列で入力できるようにしています。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L9" authorId="0" shapeId="0" xr:uid="{00000000-0006-0000-0900-000001000000}">
      <text>
        <r>
          <rPr>
            <sz val="9"/>
            <color indexed="81"/>
            <rFont val="HGPｺﾞｼｯｸM"/>
            <family val="3"/>
            <charset val="128"/>
          </rPr>
          <t>当該年を入力（例：2024
）</t>
        </r>
      </text>
    </comment>
  </commentList>
</comments>
</file>

<file path=xl/sharedStrings.xml><?xml version="1.0" encoding="utf-8"?>
<sst xmlns="http://schemas.openxmlformats.org/spreadsheetml/2006/main" count="16069" uniqueCount="2517">
  <si>
    <t>（指定を受けている場合）</t>
    <rPh sb="1" eb="3">
      <t>シテイ</t>
    </rPh>
    <rPh sb="4" eb="5">
      <t>ウ</t>
    </rPh>
    <rPh sb="9" eb="11">
      <t>バアイ</t>
    </rPh>
    <phoneticPr fontId="3"/>
  </si>
  <si>
    <t>施設等の区分</t>
  </si>
  <si>
    <t>訪問介護</t>
  </si>
  <si>
    <t>訪問入浴介護</t>
  </si>
  <si>
    <t>通所介護</t>
  </si>
  <si>
    <t>福祉用具貸与</t>
  </si>
  <si>
    <t>短期入所生活介護</t>
  </si>
  <si>
    <t>フリガナ</t>
  </si>
  <si>
    <t>主たる事務所の所在地</t>
  </si>
  <si>
    <t>電話番号</t>
  </si>
  <si>
    <t>FAX番号</t>
  </si>
  <si>
    <t>法人所轄庁</t>
  </si>
  <si>
    <t>代表者の職・氏名</t>
  </si>
  <si>
    <t>職名</t>
  </si>
  <si>
    <t>氏名</t>
  </si>
  <si>
    <t>代表者の住所</t>
  </si>
  <si>
    <t>主たる事業所の所在地以外の場所で一部実施する場合の出張所等の所在地</t>
  </si>
  <si>
    <t>管理者の氏名</t>
  </si>
  <si>
    <t>管理者の住所</t>
  </si>
  <si>
    <t>実施事業</t>
  </si>
  <si>
    <t>異動等の区分</t>
  </si>
  <si>
    <t>介護保険事業所番号</t>
  </si>
  <si>
    <t>特記事項</t>
  </si>
  <si>
    <t>関係書類</t>
  </si>
  <si>
    <t>別添のとおり</t>
  </si>
  <si>
    <t>　　　3　「法人所轄庁」欄、申請者が認可法人である場合に、その主務官庁の名称を記載してください。</t>
  </si>
  <si>
    <t>　　　4　「実施事業」欄は、該当する欄に「〇」を記入してください。</t>
  </si>
  <si>
    <t>　　　6　「異動項目」欄には、(別紙1)「介護給付費算定に係る体制等状況一覧表」に掲げる項目を記載してください。</t>
  </si>
  <si>
    <t>平成</t>
    <rPh sb="0" eb="2">
      <t>ヘイセイ</t>
    </rPh>
    <phoneticPr fontId="3"/>
  </si>
  <si>
    <t>日</t>
    <rPh sb="0" eb="1">
      <t>ヒ</t>
    </rPh>
    <phoneticPr fontId="3"/>
  </si>
  <si>
    <t>月</t>
    <rPh sb="0" eb="1">
      <t>ツキ</t>
    </rPh>
    <phoneticPr fontId="3"/>
  </si>
  <si>
    <t>年月日</t>
    <rPh sb="0" eb="3">
      <t>ネンガッピ</t>
    </rPh>
    <phoneticPr fontId="3"/>
  </si>
  <si>
    <t>(※変更の場合)</t>
    <rPh sb="2" eb="4">
      <t>ヘンコウ</t>
    </rPh>
    <rPh sb="5" eb="7">
      <t>バアイ</t>
    </rPh>
    <phoneticPr fontId="3"/>
  </si>
  <si>
    <t>変　更　後</t>
    <rPh sb="4" eb="5">
      <t>ゴ</t>
    </rPh>
    <phoneticPr fontId="3"/>
  </si>
  <si>
    <t>年</t>
    <rPh sb="0" eb="1">
      <t>ネン</t>
    </rPh>
    <phoneticPr fontId="3"/>
  </si>
  <si>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</si>
  <si>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</si>
  <si>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</si>
  <si>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</si>
  <si>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</si>
  <si>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3"/>
  </si>
  <si>
    <t>介護給付費算定に係る体制等に関する進達書＜基準該当事業者用＞</t>
    <rPh sb="17" eb="19">
      <t>シンタツ</t>
    </rPh>
    <rPh sb="21" eb="23">
      <t>キジュン</t>
    </rPh>
    <rPh sb="23" eb="25">
      <t>ガイトウ</t>
    </rPh>
    <rPh sb="25" eb="28">
      <t>ジギョウシャ</t>
    </rPh>
    <phoneticPr fontId="3"/>
  </si>
  <si>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3"/>
  </si>
  <si>
    <t>届出を行う事業所の状況</t>
    <rPh sb="9" eb="11">
      <t>ジョウキョウ</t>
    </rPh>
    <phoneticPr fontId="3"/>
  </si>
  <si>
    <t>居宅介護支援</t>
    <rPh sb="0" eb="2">
      <t>キョタク</t>
    </rPh>
    <rPh sb="2" eb="4">
      <t>カイゴ</t>
    </rPh>
    <rPh sb="4" eb="6">
      <t>シエン</t>
    </rPh>
    <phoneticPr fontId="3"/>
  </si>
  <si>
    <t>登録年</t>
    <rPh sb="0" eb="2">
      <t>トウロク</t>
    </rPh>
    <rPh sb="2" eb="3">
      <t>ネン</t>
    </rPh>
    <phoneticPr fontId="3"/>
  </si>
  <si>
    <t>月日</t>
    <rPh sb="0" eb="2">
      <t>ガッピ</t>
    </rPh>
    <phoneticPr fontId="3"/>
  </si>
  <si>
    <t>基準該当事業所番号</t>
    <rPh sb="0" eb="2">
      <t>キジュン</t>
    </rPh>
    <rPh sb="2" eb="4">
      <t>ガイトウ</t>
    </rPh>
    <rPh sb="4" eb="7">
      <t>ジギョウショ</t>
    </rPh>
    <rPh sb="7" eb="9">
      <t>バンゴウ</t>
    </rPh>
    <phoneticPr fontId="3"/>
  </si>
  <si>
    <t>登録を受けている市町村</t>
    <rPh sb="0" eb="2">
      <t>トウロク</t>
    </rPh>
    <rPh sb="3" eb="4">
      <t>ウ</t>
    </rPh>
    <rPh sb="8" eb="11">
      <t>シチョウソン</t>
    </rPh>
    <phoneticPr fontId="3"/>
  </si>
  <si>
    <t>既に指定等を受けている事業</t>
    <rPh sb="0" eb="1">
      <t>スデ</t>
    </rPh>
    <rPh sb="2" eb="4">
      <t>シテイ</t>
    </rPh>
    <rPh sb="4" eb="5">
      <t>トウ</t>
    </rPh>
    <rPh sb="6" eb="7">
      <t>ウ</t>
    </rPh>
    <rPh sb="11" eb="13">
      <t>ジギョウ</t>
    </rPh>
    <phoneticPr fontId="3"/>
  </si>
  <si>
    <t>市町村が定める率</t>
    <rPh sb="0" eb="3">
      <t>シチョウソン</t>
    </rPh>
    <rPh sb="4" eb="5">
      <t>サダ</t>
    </rPh>
    <rPh sb="7" eb="8">
      <t>リツ</t>
    </rPh>
    <phoneticPr fontId="3"/>
  </si>
  <si>
    <t>(市町村記載)</t>
    <rPh sb="1" eb="4">
      <t>シチョウソン</t>
    </rPh>
    <rPh sb="4" eb="6">
      <t>キサイ</t>
    </rPh>
    <phoneticPr fontId="3"/>
  </si>
  <si>
    <t>備考1　「受付番号」欄には記載しないでください。</t>
    <rPh sb="7" eb="9">
      <t>バンゴウ</t>
    </rPh>
    <phoneticPr fontId="3"/>
  </si>
  <si>
    <t>法人である場合その種別</t>
    <rPh sb="5" eb="7">
      <t>バアイ</t>
    </rPh>
    <phoneticPr fontId="3"/>
  </si>
  <si>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3"/>
  </si>
  <si>
    <t>異動（予定）</t>
    <phoneticPr fontId="3"/>
  </si>
  <si>
    <t>異動項目</t>
    <phoneticPr fontId="3"/>
  </si>
  <si>
    <t xml:space="preserve"> 1新規　2変更　3終了</t>
    <phoneticPr fontId="3"/>
  </si>
  <si>
    <t>　　4　「実施事業」欄は、該当する欄に「〇」を記入してください。</t>
    <phoneticPr fontId="3"/>
  </si>
  <si>
    <t>　　6　「異動項目」欄には、(別紙1，1－2)「介護給付費算定に係る体制等状況一覧表」に掲げる項目を記載してください。</t>
    <phoneticPr fontId="3"/>
  </si>
  <si>
    <t>％</t>
    <phoneticPr fontId="3"/>
  </si>
  <si>
    <t>　　8　「特記事項」欄には、異動の状況について具体的に記載してください。</t>
    <phoneticPr fontId="3"/>
  </si>
  <si>
    <t>異動区分</t>
    <rPh sb="0" eb="2">
      <t>イドウ</t>
    </rPh>
    <rPh sb="2" eb="4">
      <t>クブン</t>
    </rPh>
    <phoneticPr fontId="3"/>
  </si>
  <si>
    <t>施設種別</t>
    <rPh sb="0" eb="2">
      <t>シセツ</t>
    </rPh>
    <rPh sb="2" eb="4">
      <t>シュベツ</t>
    </rPh>
    <phoneticPr fontId="3"/>
  </si>
  <si>
    <t>職　種</t>
    <rPh sb="0" eb="1">
      <t>ショク</t>
    </rPh>
    <rPh sb="2" eb="3">
      <t>タネ</t>
    </rPh>
    <phoneticPr fontId="3"/>
  </si>
  <si>
    <t>氏　名</t>
    <rPh sb="0" eb="1">
      <t>シ</t>
    </rPh>
    <rPh sb="2" eb="3">
      <t>メイ</t>
    </rPh>
    <phoneticPr fontId="3"/>
  </si>
  <si>
    <t>管 理 栄 養 士</t>
    <rPh sb="0" eb="1">
      <t>カン</t>
    </rPh>
    <rPh sb="2" eb="3">
      <t>リ</t>
    </rPh>
    <rPh sb="4" eb="5">
      <t>エイ</t>
    </rPh>
    <rPh sb="6" eb="7">
      <t>オサム</t>
    </rPh>
    <rPh sb="8" eb="9">
      <t>シ</t>
    </rPh>
    <phoneticPr fontId="3"/>
  </si>
  <si>
    <t>介護支援専門員</t>
    <rPh sb="0" eb="2">
      <t>カイゴ</t>
    </rPh>
    <rPh sb="2" eb="4">
      <t>シエン</t>
    </rPh>
    <rPh sb="4" eb="7">
      <t>センモンイン</t>
    </rPh>
    <phoneticPr fontId="3"/>
  </si>
  <si>
    <t>看　護　師</t>
    <rPh sb="0" eb="1">
      <t>ミ</t>
    </rPh>
    <rPh sb="2" eb="3">
      <t>ユズル</t>
    </rPh>
    <rPh sb="4" eb="5">
      <t>シ</t>
    </rPh>
    <phoneticPr fontId="3"/>
  </si>
  <si>
    <t>医　　　師</t>
    <rPh sb="0" eb="1">
      <t>イ</t>
    </rPh>
    <rPh sb="4" eb="5">
      <t>シ</t>
    </rPh>
    <phoneticPr fontId="3"/>
  </si>
  <si>
    <t>市町村長名</t>
    <rPh sb="0" eb="3">
      <t>シチョウソン</t>
    </rPh>
    <rPh sb="3" eb="4">
      <t>チョウ</t>
    </rPh>
    <rPh sb="4" eb="5">
      <t>メイ</t>
    </rPh>
    <phoneticPr fontId="3"/>
  </si>
  <si>
    <t>介護予防訪問介護</t>
    <rPh sb="0" eb="2">
      <t>カイゴ</t>
    </rPh>
    <rPh sb="2" eb="4">
      <t>ヨボウ</t>
    </rPh>
    <phoneticPr fontId="3"/>
  </si>
  <si>
    <t>介護予防訪問入浴介護</t>
    <rPh sb="0" eb="2">
      <t>カイゴ</t>
    </rPh>
    <rPh sb="2" eb="4">
      <t>ヨボウ</t>
    </rPh>
    <phoneticPr fontId="3"/>
  </si>
  <si>
    <t>介護予防通所介護</t>
    <rPh sb="0" eb="2">
      <t>カイゴ</t>
    </rPh>
    <rPh sb="2" eb="4">
      <t>ヨボウ</t>
    </rPh>
    <phoneticPr fontId="3"/>
  </si>
  <si>
    <t>介護予防短期入所生活介護</t>
    <rPh sb="0" eb="2">
      <t>カイゴ</t>
    </rPh>
    <rPh sb="2" eb="4">
      <t>ヨボウ</t>
    </rPh>
    <phoneticPr fontId="3"/>
  </si>
  <si>
    <t>介護予防福祉用具貸与</t>
    <rPh sb="0" eb="2">
      <t>カイゴ</t>
    </rPh>
    <rPh sb="2" eb="4">
      <t>ヨボウ</t>
    </rPh>
    <phoneticPr fontId="3"/>
  </si>
  <si>
    <t>介護予防支援</t>
    <rPh sb="0" eb="2">
      <t>カイゴ</t>
    </rPh>
    <rPh sb="2" eb="4">
      <t>ヨボウ</t>
    </rPh>
    <rPh sb="4" eb="6">
      <t>シエン</t>
    </rPh>
    <phoneticPr fontId="3"/>
  </si>
  <si>
    <t>受付番号</t>
    <phoneticPr fontId="3"/>
  </si>
  <si>
    <t>　　知事　　殿</t>
    <phoneticPr fontId="3"/>
  </si>
  <si>
    <t>届　出　者</t>
    <phoneticPr fontId="3"/>
  </si>
  <si>
    <t>名　　称</t>
    <phoneticPr fontId="3"/>
  </si>
  <si>
    <t>　(郵便番号　　―　　　)</t>
    <phoneticPr fontId="3"/>
  </si>
  <si>
    <t>　　　　　県　　　　郡市</t>
    <phoneticPr fontId="3"/>
  </si>
  <si>
    <t>　(ビルの名称等)</t>
    <phoneticPr fontId="3"/>
  </si>
  <si>
    <t>連 絡 先</t>
    <phoneticPr fontId="3"/>
  </si>
  <si>
    <t>事業所の状況</t>
    <phoneticPr fontId="3"/>
  </si>
  <si>
    <t>同一所在地において行う　　　　　　　　　　　　　　　事業等の種類</t>
    <phoneticPr fontId="3"/>
  </si>
  <si>
    <t>変　更　前</t>
    <phoneticPr fontId="3"/>
  </si>
  <si>
    <t>　　5　「異動等の区分」欄には、今回届出を行う事業所について該当する数字に「〇」を記入してください。</t>
    <phoneticPr fontId="3"/>
  </si>
  <si>
    <t>人</t>
    <rPh sb="0" eb="1">
      <t>ニン</t>
    </rPh>
    <phoneticPr fontId="3"/>
  </si>
  <si>
    <t>職員の欠員による減算の状況</t>
  </si>
  <si>
    <t>ユニットケア体制</t>
    <rPh sb="6" eb="8">
      <t>タイセイ</t>
    </rPh>
    <phoneticPr fontId="3"/>
  </si>
  <si>
    <t>事業所名</t>
    <rPh sb="0" eb="3">
      <t>ジギョウショ</t>
    </rPh>
    <rPh sb="3" eb="4">
      <t>メイ</t>
    </rPh>
    <phoneticPr fontId="3"/>
  </si>
  <si>
    <t>2　異 動 区 分</t>
    <rPh sb="2" eb="3">
      <t>イ</t>
    </rPh>
    <rPh sb="4" eb="5">
      <t>ドウ</t>
    </rPh>
    <rPh sb="6" eb="7">
      <t>ク</t>
    </rPh>
    <rPh sb="8" eb="9">
      <t>ブン</t>
    </rPh>
    <phoneticPr fontId="3"/>
  </si>
  <si>
    <t>有・無</t>
    <rPh sb="0" eb="1">
      <t>ウ</t>
    </rPh>
    <rPh sb="2" eb="3">
      <t>ム</t>
    </rPh>
    <phoneticPr fontId="3"/>
  </si>
  <si>
    <t>１５％以上</t>
    <rPh sb="3" eb="5">
      <t>イジョウ</t>
    </rPh>
    <phoneticPr fontId="3"/>
  </si>
  <si>
    <t>　　　適宜欄を補正して、全ての出張所等の状況について記載してください。</t>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</si>
  <si>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</si>
  <si>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</si>
  <si>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9　「主たる事業所の所在地以外の場所で一部実施する場合の出張所等の所在地」について、複数の出張所等を有する場合は、</t>
    <phoneticPr fontId="3"/>
  </si>
  <si>
    <t>主たる事業所の所在地</t>
    <rPh sb="3" eb="6">
      <t>ジギョウショ</t>
    </rPh>
    <phoneticPr fontId="3"/>
  </si>
  <si>
    <t>　　3　「法人所轄庁」欄は、申請者が認可法人である場合に、その主務官庁の名称を記載してください。</t>
    <phoneticPr fontId="3"/>
  </si>
  <si>
    <t>歯科医師</t>
    <rPh sb="0" eb="2">
      <t>シカ</t>
    </rPh>
    <rPh sb="2" eb="4">
      <t>イシ</t>
    </rPh>
    <phoneticPr fontId="3"/>
  </si>
  <si>
    <t>（別紙●）</t>
    <rPh sb="1" eb="3">
      <t>ベッシ</t>
    </rPh>
    <phoneticPr fontId="3"/>
  </si>
  <si>
    <t>②</t>
    <phoneticPr fontId="3"/>
  </si>
  <si>
    <t>褥瘡マネジメントの状況</t>
    <rPh sb="0" eb="2">
      <t>ジョクソウ</t>
    </rPh>
    <rPh sb="9" eb="11">
      <t>ジョウキョウ</t>
    </rPh>
    <phoneticPr fontId="3"/>
  </si>
  <si>
    <t>褥瘡マネジメントに関わる者</t>
    <rPh sb="0" eb="2">
      <t>ジョクソウ</t>
    </rPh>
    <rPh sb="9" eb="10">
      <t>カカ</t>
    </rPh>
    <rPh sb="12" eb="13">
      <t>モノ</t>
    </rPh>
    <phoneticPr fontId="3"/>
  </si>
  <si>
    <t>①</t>
    <phoneticPr fontId="3"/>
  </si>
  <si>
    <t>夜間勤務条件基準</t>
    <rPh sb="0" eb="2">
      <t>ヤカン</t>
    </rPh>
    <rPh sb="2" eb="4">
      <t>キンム</t>
    </rPh>
    <rPh sb="4" eb="6">
      <t>ジョウケン</t>
    </rPh>
    <rPh sb="6" eb="8">
      <t>キジュン</t>
    </rPh>
    <phoneticPr fontId="3"/>
  </si>
  <si>
    <t>夜勤職員配置加算</t>
    <rPh sb="0" eb="2">
      <t>ヤキン</t>
    </rPh>
    <rPh sb="2" eb="4">
      <t>ショクイン</t>
    </rPh>
    <rPh sb="4" eb="6">
      <t>ハイチ</t>
    </rPh>
    <rPh sb="6" eb="7">
      <t>カ</t>
    </rPh>
    <rPh sb="7" eb="8">
      <t>サン</t>
    </rPh>
    <phoneticPr fontId="3"/>
  </si>
  <si>
    <t>身体拘束廃止取組の有無</t>
    <rPh sb="0" eb="2">
      <t>シンタイ</t>
    </rPh>
    <rPh sb="2" eb="4">
      <t>コウソク</t>
    </rPh>
    <rPh sb="4" eb="6">
      <t>ハイシ</t>
    </rPh>
    <rPh sb="6" eb="8">
      <t>トリクミ</t>
    </rPh>
    <rPh sb="9" eb="11">
      <t>ウム</t>
    </rPh>
    <phoneticPr fontId="3"/>
  </si>
  <si>
    <t>療養食加算</t>
    <rPh sb="0" eb="2">
      <t>リョウヨウ</t>
    </rPh>
    <rPh sb="2" eb="3">
      <t>ショク</t>
    </rPh>
    <rPh sb="3" eb="4">
      <t>カ</t>
    </rPh>
    <rPh sb="4" eb="5">
      <t>サン</t>
    </rPh>
    <phoneticPr fontId="3"/>
  </si>
  <si>
    <t>褥瘡マネジメント加算</t>
    <rPh sb="0" eb="2">
      <t>ジョクソウ</t>
    </rPh>
    <rPh sb="8" eb="10">
      <t>カサン</t>
    </rPh>
    <phoneticPr fontId="3"/>
  </si>
  <si>
    <t>サービス提供体制強化加算</t>
    <rPh sb="4" eb="6">
      <t>テイキョウ</t>
    </rPh>
    <rPh sb="6" eb="8">
      <t>タイセイ</t>
    </rPh>
    <rPh sb="8" eb="10">
      <t>キョウカ</t>
    </rPh>
    <rPh sb="10" eb="11">
      <t>カ</t>
    </rPh>
    <rPh sb="11" eb="12">
      <t>サン</t>
    </rPh>
    <phoneticPr fontId="3"/>
  </si>
  <si>
    <t>施設コード</t>
    <rPh sb="0" eb="2">
      <t>シセツ</t>
    </rPh>
    <phoneticPr fontId="3"/>
  </si>
  <si>
    <t>日</t>
  </si>
  <si>
    <t>送迎体制</t>
    <rPh sb="0" eb="2">
      <t>ソウゲイ</t>
    </rPh>
    <rPh sb="2" eb="4">
      <t>タイセイ</t>
    </rPh>
    <phoneticPr fontId="3"/>
  </si>
  <si>
    <t>褥瘡マネジメントに関する届出書</t>
    <phoneticPr fontId="3"/>
  </si>
  <si>
    <t>加算等の種類</t>
    <rPh sb="0" eb="2">
      <t>カサン</t>
    </rPh>
    <rPh sb="2" eb="3">
      <t>トウ</t>
    </rPh>
    <rPh sb="4" eb="6">
      <t>シュルイ</t>
    </rPh>
    <phoneticPr fontId="3"/>
  </si>
  <si>
    <t>別紙</t>
    <phoneticPr fontId="3"/>
  </si>
  <si>
    <t>番号</t>
    <rPh sb="0" eb="2">
      <t>バンゴウ</t>
    </rPh>
    <phoneticPr fontId="3"/>
  </si>
  <si>
    <t>□</t>
  </si>
  <si>
    <t>□</t>
    <phoneticPr fontId="3"/>
  </si>
  <si>
    <t>■</t>
    <phoneticPr fontId="3"/>
  </si>
  <si>
    <t>介護給付費算定に係る体制等状況一覧表</t>
    <phoneticPr fontId="3"/>
  </si>
  <si>
    <t>介護支援専門員</t>
  </si>
  <si>
    <t>５月</t>
    <rPh sb="1" eb="2">
      <t>ガツ</t>
    </rPh>
    <phoneticPr fontId="3"/>
  </si>
  <si>
    <t>６月</t>
    <rPh sb="1" eb="2">
      <t>ガツ</t>
    </rPh>
    <phoneticPr fontId="3"/>
  </si>
  <si>
    <t>７月</t>
    <rPh sb="1" eb="2">
      <t>ガツ</t>
    </rPh>
    <phoneticPr fontId="3"/>
  </si>
  <si>
    <t>８月</t>
    <rPh sb="1" eb="2">
      <t>ガツ</t>
    </rPh>
    <phoneticPr fontId="3"/>
  </si>
  <si>
    <t>９月</t>
    <rPh sb="1" eb="2">
      <t>ガツ</t>
    </rPh>
    <phoneticPr fontId="3"/>
  </si>
  <si>
    <t>１月</t>
    <rPh sb="1" eb="2">
      <t>ガツ</t>
    </rPh>
    <phoneticPr fontId="3"/>
  </si>
  <si>
    <t>２月</t>
    <rPh sb="1" eb="2">
      <t>ガツ</t>
    </rPh>
    <phoneticPr fontId="3"/>
  </si>
  <si>
    <t>３月</t>
    <rPh sb="1" eb="2">
      <t>ガツ</t>
    </rPh>
    <phoneticPr fontId="3"/>
  </si>
  <si>
    <t>　</t>
    <phoneticPr fontId="3"/>
  </si>
  <si>
    <t>　</t>
    <phoneticPr fontId="3"/>
  </si>
  <si>
    <t>各種加算における必要な添付書類一覧（介護職員処遇改善加算は除く）</t>
    <rPh sb="0" eb="2">
      <t>カクシュ</t>
    </rPh>
    <rPh sb="29" eb="30">
      <t>ノゾ</t>
    </rPh>
    <phoneticPr fontId="3"/>
  </si>
  <si>
    <t>●</t>
  </si>
  <si>
    <t>◎</t>
  </si>
  <si>
    <t>備考欄（その他の書類など）</t>
    <rPh sb="0" eb="2">
      <t>ビコウ</t>
    </rPh>
    <rPh sb="2" eb="3">
      <t>ラン</t>
    </rPh>
    <rPh sb="6" eb="7">
      <t>タ</t>
    </rPh>
    <rPh sb="8" eb="10">
      <t>ショルイ</t>
    </rPh>
    <phoneticPr fontId="3"/>
  </si>
  <si>
    <t>夜勤職員配置加算</t>
    <rPh sb="0" eb="2">
      <t>ヤキン</t>
    </rPh>
    <rPh sb="2" eb="4">
      <t>ショクイン</t>
    </rPh>
    <rPh sb="4" eb="6">
      <t>ハイチ</t>
    </rPh>
    <rPh sb="6" eb="8">
      <t>カサン</t>
    </rPh>
    <phoneticPr fontId="3"/>
  </si>
  <si>
    <t>認知症ケア加算</t>
    <rPh sb="0" eb="3">
      <t>ニンチショウ</t>
    </rPh>
    <rPh sb="5" eb="7">
      <t>カサン</t>
    </rPh>
    <phoneticPr fontId="3"/>
  </si>
  <si>
    <t>若年性認知症入所者受入加算</t>
    <rPh sb="0" eb="3">
      <t>ジャクネンセイ</t>
    </rPh>
    <rPh sb="3" eb="5">
      <t>ニンチ</t>
    </rPh>
    <rPh sb="5" eb="6">
      <t>ショウ</t>
    </rPh>
    <rPh sb="6" eb="9">
      <t>ニュウショシャ</t>
    </rPh>
    <rPh sb="9" eb="11">
      <t>ウケイ</t>
    </rPh>
    <rPh sb="11" eb="13">
      <t>カサン</t>
    </rPh>
    <phoneticPr fontId="3"/>
  </si>
  <si>
    <t>在宅復帰・在宅療養支援機能加算</t>
    <rPh sb="0" eb="2">
      <t>ザイタク</t>
    </rPh>
    <rPh sb="2" eb="4">
      <t>フッキ</t>
    </rPh>
    <rPh sb="5" eb="7">
      <t>ザイタク</t>
    </rPh>
    <rPh sb="7" eb="9">
      <t>リョウヨウ</t>
    </rPh>
    <rPh sb="9" eb="11">
      <t>シエン</t>
    </rPh>
    <rPh sb="11" eb="13">
      <t>キノウ</t>
    </rPh>
    <rPh sb="13" eb="15">
      <t>カサン</t>
    </rPh>
    <phoneticPr fontId="3"/>
  </si>
  <si>
    <t>ターミナルケア体制</t>
    <rPh sb="7" eb="9">
      <t>タイセイ</t>
    </rPh>
    <phoneticPr fontId="3"/>
  </si>
  <si>
    <t>療養食加算</t>
    <rPh sb="0" eb="2">
      <t>リョウヨウ</t>
    </rPh>
    <rPh sb="2" eb="3">
      <t>ショク</t>
    </rPh>
    <rPh sb="3" eb="5">
      <t>カサン</t>
    </rPh>
    <phoneticPr fontId="3"/>
  </si>
  <si>
    <t>認知症専門ケア加算</t>
    <rPh sb="0" eb="2">
      <t>ニンチ</t>
    </rPh>
    <rPh sb="2" eb="3">
      <t>ショウ</t>
    </rPh>
    <rPh sb="3" eb="5">
      <t>センモン</t>
    </rPh>
    <rPh sb="7" eb="8">
      <t>カ</t>
    </rPh>
    <rPh sb="8" eb="9">
      <t>サン</t>
    </rPh>
    <phoneticPr fontId="3"/>
  </si>
  <si>
    <t>療養体制維持特別加算Ⅰ</t>
    <rPh sb="0" eb="2">
      <t>リョウヨウ</t>
    </rPh>
    <rPh sb="2" eb="4">
      <t>タイセイ</t>
    </rPh>
    <rPh sb="4" eb="6">
      <t>イジ</t>
    </rPh>
    <rPh sb="6" eb="7">
      <t>トク</t>
    </rPh>
    <rPh sb="7" eb="8">
      <t>ベツ</t>
    </rPh>
    <rPh sb="8" eb="9">
      <t>カ</t>
    </rPh>
    <rPh sb="9" eb="10">
      <t>サン</t>
    </rPh>
    <phoneticPr fontId="3"/>
  </si>
  <si>
    <t>療養体制維持特別加算Ⅱ</t>
    <rPh sb="0" eb="2">
      <t>リョウヨウ</t>
    </rPh>
    <rPh sb="2" eb="4">
      <t>タイセイ</t>
    </rPh>
    <rPh sb="4" eb="6">
      <t>イジ</t>
    </rPh>
    <rPh sb="6" eb="7">
      <t>トク</t>
    </rPh>
    <rPh sb="7" eb="8">
      <t>ベツ</t>
    </rPh>
    <rPh sb="8" eb="9">
      <t>カ</t>
    </rPh>
    <rPh sb="9" eb="10">
      <t>サン</t>
    </rPh>
    <phoneticPr fontId="3"/>
  </si>
  <si>
    <t>老健01</t>
    <rPh sb="0" eb="2">
      <t>ロウケン</t>
    </rPh>
    <phoneticPr fontId="3"/>
  </si>
  <si>
    <t>老健02</t>
    <rPh sb="0" eb="2">
      <t>ロウケン</t>
    </rPh>
    <phoneticPr fontId="3"/>
  </si>
  <si>
    <t>老健03</t>
    <rPh sb="0" eb="2">
      <t>ロウケン</t>
    </rPh>
    <phoneticPr fontId="3"/>
  </si>
  <si>
    <t>老健04</t>
    <rPh sb="0" eb="2">
      <t>ロウケン</t>
    </rPh>
    <phoneticPr fontId="3"/>
  </si>
  <si>
    <t>老健05</t>
    <rPh sb="0" eb="2">
      <t>ロウケン</t>
    </rPh>
    <phoneticPr fontId="3"/>
  </si>
  <si>
    <t>老健06</t>
    <rPh sb="0" eb="2">
      <t>ロウケン</t>
    </rPh>
    <phoneticPr fontId="3"/>
  </si>
  <si>
    <t>老健07</t>
    <rPh sb="0" eb="2">
      <t>ロウケン</t>
    </rPh>
    <phoneticPr fontId="3"/>
  </si>
  <si>
    <t>老健08</t>
    <rPh sb="0" eb="2">
      <t>ロウケン</t>
    </rPh>
    <phoneticPr fontId="3"/>
  </si>
  <si>
    <t>老健09</t>
    <rPh sb="0" eb="2">
      <t>ロウケン</t>
    </rPh>
    <phoneticPr fontId="3"/>
  </si>
  <si>
    <t>老健10</t>
    <rPh sb="0" eb="2">
      <t>ロウケン</t>
    </rPh>
    <phoneticPr fontId="3"/>
  </si>
  <si>
    <t>老健11</t>
    <rPh sb="0" eb="2">
      <t>ロウケン</t>
    </rPh>
    <phoneticPr fontId="3"/>
  </si>
  <si>
    <t>老健12</t>
    <rPh sb="0" eb="2">
      <t>ロウケン</t>
    </rPh>
    <phoneticPr fontId="3"/>
  </si>
  <si>
    <t>老健13</t>
    <rPh sb="0" eb="2">
      <t>ロウケン</t>
    </rPh>
    <phoneticPr fontId="3"/>
  </si>
  <si>
    <t>老健14</t>
    <rPh sb="0" eb="2">
      <t>ロウケン</t>
    </rPh>
    <phoneticPr fontId="3"/>
  </si>
  <si>
    <t>（Ⅰ）のみ</t>
    <phoneticPr fontId="3"/>
  </si>
  <si>
    <t>共通</t>
    <rPh sb="0" eb="2">
      <t>キョウツウ</t>
    </rPh>
    <phoneticPr fontId="3"/>
  </si>
  <si>
    <t>老健15</t>
    <rPh sb="0" eb="2">
      <t>ロウケン</t>
    </rPh>
    <phoneticPr fontId="3"/>
  </si>
  <si>
    <t>老健16</t>
    <rPh sb="0" eb="2">
      <t>ロウケン</t>
    </rPh>
    <phoneticPr fontId="3"/>
  </si>
  <si>
    <t>老健17</t>
    <rPh sb="0" eb="2">
      <t>ロウケン</t>
    </rPh>
    <phoneticPr fontId="3"/>
  </si>
  <si>
    <t>老健18</t>
    <rPh sb="0" eb="2">
      <t>ロウケン</t>
    </rPh>
    <phoneticPr fontId="3"/>
  </si>
  <si>
    <t>（Ⅰ）のみ</t>
    <phoneticPr fontId="3"/>
  </si>
  <si>
    <t>時間延長サービス体制</t>
    <rPh sb="0" eb="2">
      <t>ジカン</t>
    </rPh>
    <rPh sb="2" eb="4">
      <t>エンチョウ</t>
    </rPh>
    <rPh sb="8" eb="10">
      <t>タイセイ</t>
    </rPh>
    <phoneticPr fontId="3"/>
  </si>
  <si>
    <t>リハビリテーション提供体制加算</t>
    <rPh sb="9" eb="11">
      <t>テイキョウ</t>
    </rPh>
    <rPh sb="11" eb="13">
      <t>タイセイ</t>
    </rPh>
    <rPh sb="13" eb="15">
      <t>カサン</t>
    </rPh>
    <phoneticPr fontId="3"/>
  </si>
  <si>
    <t>リハビリテーションマネジメント加算</t>
    <rPh sb="15" eb="17">
      <t>カサン</t>
    </rPh>
    <phoneticPr fontId="3"/>
  </si>
  <si>
    <t>認知症短期集中リハビリテーション実施加算</t>
    <rPh sb="0" eb="2">
      <t>ニンチ</t>
    </rPh>
    <rPh sb="2" eb="3">
      <t>ショウ</t>
    </rPh>
    <rPh sb="3" eb="5">
      <t>タンキ</t>
    </rPh>
    <rPh sb="5" eb="7">
      <t>シュウチュウ</t>
    </rPh>
    <rPh sb="16" eb="18">
      <t>ジッシ</t>
    </rPh>
    <rPh sb="18" eb="20">
      <t>カサン</t>
    </rPh>
    <phoneticPr fontId="3"/>
  </si>
  <si>
    <t>生活行為向上リハビリテーション実施加算</t>
    <rPh sb="0" eb="2">
      <t>セイカツ</t>
    </rPh>
    <rPh sb="2" eb="4">
      <t>コウイ</t>
    </rPh>
    <rPh sb="4" eb="6">
      <t>コウジョウ</t>
    </rPh>
    <rPh sb="15" eb="17">
      <t>ジッシ</t>
    </rPh>
    <rPh sb="17" eb="19">
      <t>カサン</t>
    </rPh>
    <phoneticPr fontId="3"/>
  </si>
  <si>
    <t>若年性認知症利用者受入加算</t>
    <rPh sb="0" eb="3">
      <t>ジャクネンセイ</t>
    </rPh>
    <rPh sb="3" eb="5">
      <t>ニンチ</t>
    </rPh>
    <rPh sb="5" eb="6">
      <t>ショウ</t>
    </rPh>
    <rPh sb="6" eb="9">
      <t>リヨウシャ</t>
    </rPh>
    <rPh sb="9" eb="11">
      <t>ウケイ</t>
    </rPh>
    <rPh sb="11" eb="13">
      <t>カサン</t>
    </rPh>
    <phoneticPr fontId="3"/>
  </si>
  <si>
    <t>中重度者ケア体制加算</t>
    <rPh sb="0" eb="1">
      <t>チュウ</t>
    </rPh>
    <rPh sb="1" eb="3">
      <t>ジュウド</t>
    </rPh>
    <rPh sb="3" eb="4">
      <t>シャ</t>
    </rPh>
    <rPh sb="6" eb="8">
      <t>タイセイ</t>
    </rPh>
    <rPh sb="8" eb="10">
      <t>カサン</t>
    </rPh>
    <phoneticPr fontId="3"/>
  </si>
  <si>
    <t>2. 介護老人保健施設</t>
  </si>
  <si>
    <t>通リハ01</t>
    <rPh sb="0" eb="1">
      <t>ツウ</t>
    </rPh>
    <phoneticPr fontId="3"/>
  </si>
  <si>
    <t>予通リ01</t>
    <rPh sb="0" eb="1">
      <t>ヨ</t>
    </rPh>
    <rPh sb="1" eb="2">
      <t>ツウ</t>
    </rPh>
    <phoneticPr fontId="3"/>
  </si>
  <si>
    <t>予通リ02</t>
    <rPh sb="0" eb="1">
      <t>ヨ</t>
    </rPh>
    <rPh sb="1" eb="2">
      <t>ツウ</t>
    </rPh>
    <phoneticPr fontId="3"/>
  </si>
  <si>
    <t>予通リ03</t>
    <rPh sb="0" eb="1">
      <t>ヨ</t>
    </rPh>
    <rPh sb="1" eb="2">
      <t>ツウ</t>
    </rPh>
    <phoneticPr fontId="3"/>
  </si>
  <si>
    <t>予通リ04</t>
    <rPh sb="0" eb="1">
      <t>ヨ</t>
    </rPh>
    <rPh sb="1" eb="2">
      <t>ツウ</t>
    </rPh>
    <phoneticPr fontId="3"/>
  </si>
  <si>
    <t>予通リ05</t>
    <rPh sb="0" eb="1">
      <t>ヨ</t>
    </rPh>
    <rPh sb="1" eb="2">
      <t>ツウ</t>
    </rPh>
    <phoneticPr fontId="3"/>
  </si>
  <si>
    <t>予通リ06</t>
    <rPh sb="0" eb="1">
      <t>ヨ</t>
    </rPh>
    <rPh sb="1" eb="2">
      <t>ツウ</t>
    </rPh>
    <phoneticPr fontId="3"/>
  </si>
  <si>
    <t>予通リ07</t>
    <rPh sb="0" eb="1">
      <t>ヨ</t>
    </rPh>
    <rPh sb="1" eb="2">
      <t>ツウ</t>
    </rPh>
    <phoneticPr fontId="3"/>
  </si>
  <si>
    <t>予通リ08</t>
    <rPh sb="0" eb="1">
      <t>ヨ</t>
    </rPh>
    <rPh sb="1" eb="2">
      <t>ツウ</t>
    </rPh>
    <phoneticPr fontId="3"/>
  </si>
  <si>
    <t>予通リ09</t>
    <rPh sb="0" eb="1">
      <t>ヨ</t>
    </rPh>
    <rPh sb="1" eb="2">
      <t>ツウ</t>
    </rPh>
    <phoneticPr fontId="3"/>
  </si>
  <si>
    <t>予通リ10</t>
    <rPh sb="0" eb="1">
      <t>ヨ</t>
    </rPh>
    <rPh sb="1" eb="2">
      <t>ツウ</t>
    </rPh>
    <phoneticPr fontId="3"/>
  </si>
  <si>
    <t>（Ⅰ）のみ</t>
    <phoneticPr fontId="3"/>
  </si>
  <si>
    <t>●</t>
    <phoneticPr fontId="3"/>
  </si>
  <si>
    <t>◎</t>
    <phoneticPr fontId="3"/>
  </si>
  <si>
    <t>老健19</t>
    <rPh sb="0" eb="2">
      <t>ロウケン</t>
    </rPh>
    <phoneticPr fontId="3"/>
  </si>
  <si>
    <t>人員配置区分（基本型）</t>
    <rPh sb="0" eb="2">
      <t>ジンイン</t>
    </rPh>
    <rPh sb="2" eb="4">
      <t>ハイチ</t>
    </rPh>
    <rPh sb="4" eb="6">
      <t>クブン</t>
    </rPh>
    <rPh sb="7" eb="9">
      <t>キホン</t>
    </rPh>
    <rPh sb="9" eb="10">
      <t>ガタ</t>
    </rPh>
    <phoneticPr fontId="3"/>
  </si>
  <si>
    <t>人員配置区分（その他）</t>
    <rPh sb="0" eb="2">
      <t>ジンイン</t>
    </rPh>
    <rPh sb="2" eb="4">
      <t>ハイチ</t>
    </rPh>
    <rPh sb="4" eb="6">
      <t>クブン</t>
    </rPh>
    <rPh sb="9" eb="10">
      <t>タ</t>
    </rPh>
    <phoneticPr fontId="3"/>
  </si>
  <si>
    <t>人員配置区分（在宅強化型）</t>
    <rPh sb="0" eb="2">
      <t>ジンイン</t>
    </rPh>
    <rPh sb="2" eb="4">
      <t>ハイチ</t>
    </rPh>
    <rPh sb="4" eb="6">
      <t>クブン</t>
    </rPh>
    <rPh sb="7" eb="9">
      <t>ザイタク</t>
    </rPh>
    <rPh sb="9" eb="11">
      <t>キョウカ</t>
    </rPh>
    <rPh sb="11" eb="12">
      <t>ガタ</t>
    </rPh>
    <phoneticPr fontId="3"/>
  </si>
  <si>
    <t>1　事 業 所 名</t>
    <phoneticPr fontId="3"/>
  </si>
  <si>
    <t>　1　新規　2　変更　3　終了</t>
    <phoneticPr fontId="3"/>
  </si>
  <si>
    <t>→</t>
    <phoneticPr fontId="3"/>
  </si>
  <si>
    <t>１　事  業  所  名</t>
    <phoneticPr fontId="3"/>
  </si>
  <si>
    <t>２　異  動  区  分</t>
    <rPh sb="2" eb="3">
      <t>イ</t>
    </rPh>
    <rPh sb="5" eb="6">
      <t>ドウ</t>
    </rPh>
    <rPh sb="8" eb="9">
      <t>ク</t>
    </rPh>
    <rPh sb="11" eb="12">
      <t>ブン</t>
    </rPh>
    <phoneticPr fontId="3"/>
  </si>
  <si>
    <t>３　人員配置区分</t>
    <rPh sb="2" eb="4">
      <t>ジンイン</t>
    </rPh>
    <rPh sb="4" eb="6">
      <t>ハイチ</t>
    </rPh>
    <rPh sb="6" eb="8">
      <t>クブン</t>
    </rPh>
    <phoneticPr fontId="3"/>
  </si>
  <si>
    <t>４　届  出  項  目</t>
    <rPh sb="2" eb="3">
      <t>トドケ</t>
    </rPh>
    <rPh sb="5" eb="6">
      <t>デ</t>
    </rPh>
    <rPh sb="8" eb="9">
      <t>コウ</t>
    </rPh>
    <rPh sb="11" eb="12">
      <t>モク</t>
    </rPh>
    <phoneticPr fontId="3"/>
  </si>
  <si>
    <t>５　在宅復帰・在宅療養支援に関する状況</t>
    <phoneticPr fontId="3"/>
  </si>
  <si>
    <t>在宅復帰・在宅療養支援等指標</t>
    <phoneticPr fontId="3"/>
  </si>
  <si>
    <t xml:space="preserve"> A　在宅復帰率</t>
    <rPh sb="3" eb="5">
      <t>ザイタク</t>
    </rPh>
    <rPh sb="5" eb="7">
      <t>フッキ</t>
    </rPh>
    <rPh sb="7" eb="8">
      <t>リツ</t>
    </rPh>
    <phoneticPr fontId="3"/>
  </si>
  <si>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3"/>
  </si>
  <si>
    <t>④</t>
    <phoneticPr fontId="3"/>
  </si>
  <si>
    <t>５０％超</t>
    <rPh sb="3" eb="4">
      <t>チョウ</t>
    </rPh>
    <phoneticPr fontId="3"/>
  </si>
  <si>
    <t>前６月間における退所者の延数
（注３,４）</t>
    <rPh sb="0" eb="1">
      <t>ゼン</t>
    </rPh>
    <rPh sb="2" eb="3">
      <t>ガツ</t>
    </rPh>
    <rPh sb="3" eb="4">
      <t>カン</t>
    </rPh>
    <rPh sb="8" eb="10">
      <t>タイショ</t>
    </rPh>
    <rPh sb="10" eb="11">
      <t>シャ</t>
    </rPh>
    <rPh sb="12" eb="13">
      <t>ノベ</t>
    </rPh>
    <rPh sb="13" eb="14">
      <t>スウ</t>
    </rPh>
    <phoneticPr fontId="3"/>
  </si>
  <si>
    <t>３０％超５０％以下</t>
    <rPh sb="3" eb="4">
      <t>チョウ</t>
    </rPh>
    <rPh sb="7" eb="9">
      <t>イカ</t>
    </rPh>
    <phoneticPr fontId="3"/>
  </si>
  <si>
    <t>③</t>
    <phoneticPr fontId="3"/>
  </si>
  <si>
    <t>前６月間における死亡した者の総数
（注３）</t>
    <rPh sb="0" eb="1">
      <t>ゼン</t>
    </rPh>
    <rPh sb="2" eb="3">
      <t>ガツ</t>
    </rPh>
    <rPh sb="3" eb="4">
      <t>カン</t>
    </rPh>
    <rPh sb="8" eb="10">
      <t>シボウ</t>
    </rPh>
    <rPh sb="12" eb="13">
      <t>モノ</t>
    </rPh>
    <phoneticPr fontId="3"/>
  </si>
  <si>
    <t>３０％以下</t>
    <rPh sb="3" eb="5">
      <t>イカ</t>
    </rPh>
    <phoneticPr fontId="3"/>
  </si>
  <si>
    <t xml:space="preserve"> B　ベッド回転率</t>
    <rPh sb="6" eb="9">
      <t>カイテンリツ</t>
    </rPh>
    <phoneticPr fontId="3"/>
  </si>
  <si>
    <t>直近３月間の延入所者数（注６）</t>
    <phoneticPr fontId="3"/>
  </si>
  <si>
    <t>１０％以上</t>
    <rPh sb="3" eb="5">
      <t>イジョウ</t>
    </rPh>
    <phoneticPr fontId="3"/>
  </si>
  <si>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3"/>
  </si>
  <si>
    <t>５％以上１０％未満</t>
    <rPh sb="2" eb="4">
      <t>イジョウ</t>
    </rPh>
    <rPh sb="7" eb="9">
      <t>ミマン</t>
    </rPh>
    <phoneticPr fontId="3"/>
  </si>
  <si>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3"/>
  </si>
  <si>
    <t>５％未満</t>
    <rPh sb="2" eb="4">
      <t>ミマン</t>
    </rPh>
    <phoneticPr fontId="3"/>
  </si>
  <si>
    <t xml:space="preserve"> C　入所前後訪問指導割合</t>
    <rPh sb="11" eb="13">
      <t>ワリアイ</t>
    </rPh>
    <phoneticPr fontId="3"/>
  </si>
  <si>
    <t>３０％以上</t>
    <rPh sb="3" eb="5">
      <t>イジョウ</t>
    </rPh>
    <phoneticPr fontId="3"/>
  </si>
  <si>
    <t>１０％以上３０％未満</t>
    <rPh sb="3" eb="5">
      <t>イジョウ</t>
    </rPh>
    <phoneticPr fontId="3"/>
  </si>
  <si>
    <t>前３月間における新規入所者の延数
（注１１）</t>
    <rPh sb="8" eb="10">
      <t>シンキ</t>
    </rPh>
    <rPh sb="14" eb="15">
      <t>ノ</t>
    </rPh>
    <phoneticPr fontId="3"/>
  </si>
  <si>
    <t>１０％未満</t>
    <phoneticPr fontId="3"/>
  </si>
  <si>
    <t xml:space="preserve"> D　 退所前後訪問指導割合</t>
    <rPh sb="4" eb="6">
      <t>タイショ</t>
    </rPh>
    <rPh sb="12" eb="14">
      <t>ワリアイ</t>
    </rPh>
    <phoneticPr fontId="3"/>
  </si>
  <si>
    <t>１０％以上３０％未満</t>
    <rPh sb="3" eb="5">
      <t>イジョウ</t>
    </rPh>
    <rPh sb="8" eb="10">
      <t>ミマン</t>
    </rPh>
    <phoneticPr fontId="3"/>
  </si>
  <si>
    <t>前３月間における居宅への新規退所者の延数（注１５）</t>
    <rPh sb="12" eb="14">
      <t>シンキ</t>
    </rPh>
    <rPh sb="18" eb="19">
      <t>ノ</t>
    </rPh>
    <phoneticPr fontId="3"/>
  </si>
  <si>
    <t>１０％未満</t>
    <rPh sb="3" eb="5">
      <t>ミマン</t>
    </rPh>
    <phoneticPr fontId="3"/>
  </si>
  <si>
    <t xml:space="preserve"> E　居宅サービスの実施状況</t>
    <rPh sb="3" eb="5">
      <t>キョタク</t>
    </rPh>
    <rPh sb="10" eb="12">
      <t>ジッシ</t>
    </rPh>
    <rPh sb="12" eb="14">
      <t>ジョウキョウ</t>
    </rPh>
    <phoneticPr fontId="3"/>
  </si>
  <si>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3"/>
  </si>
  <si>
    <t>３サービス</t>
    <phoneticPr fontId="3"/>
  </si>
  <si>
    <t xml:space="preserve"> F　リハ専門職員の配置割合</t>
    <rPh sb="12" eb="14">
      <t>ワリアイ</t>
    </rPh>
    <phoneticPr fontId="3"/>
  </si>
  <si>
    <t>前３月間における理学療法士等の当該介護保健施設サービスの提供に従事する勤務延時間数（注１８）</t>
    <phoneticPr fontId="3"/>
  </si>
  <si>
    <t>時間</t>
    <rPh sb="0" eb="2">
      <t>ジカン</t>
    </rPh>
    <phoneticPr fontId="3"/>
  </si>
  <si>
    <t>⑤</t>
    <phoneticPr fontId="3"/>
  </si>
  <si>
    <t>５以上</t>
    <rPh sb="1" eb="3">
      <t>イジョウ</t>
    </rPh>
    <phoneticPr fontId="3"/>
  </si>
  <si>
    <t>３以上５未満</t>
    <rPh sb="1" eb="3">
      <t>イジョウ</t>
    </rPh>
    <rPh sb="4" eb="6">
      <t>ミマン</t>
    </rPh>
    <phoneticPr fontId="3"/>
  </si>
  <si>
    <t>３未満</t>
    <rPh sb="1" eb="3">
      <t>ミマン</t>
    </rPh>
    <phoneticPr fontId="3"/>
  </si>
  <si>
    <t>算定日が属する月の前３月間の日数</t>
    <phoneticPr fontId="3"/>
  </si>
  <si>
    <t>日</t>
    <rPh sb="0" eb="1">
      <t>ニチ</t>
    </rPh>
    <phoneticPr fontId="3"/>
  </si>
  <si>
    <t xml:space="preserve"> G　支援相談員の配置割合</t>
    <rPh sb="3" eb="5">
      <t>シエン</t>
    </rPh>
    <rPh sb="5" eb="8">
      <t>ソウダンイン</t>
    </rPh>
    <rPh sb="11" eb="13">
      <t>ワリアイ</t>
    </rPh>
    <phoneticPr fontId="3"/>
  </si>
  <si>
    <t>３以上</t>
    <rPh sb="1" eb="3">
      <t>イジョウ</t>
    </rPh>
    <phoneticPr fontId="3"/>
  </si>
  <si>
    <t>２以上３未満</t>
    <rPh sb="1" eb="3">
      <t>イジョウ</t>
    </rPh>
    <rPh sb="4" eb="6">
      <t>ミマン</t>
    </rPh>
    <phoneticPr fontId="3"/>
  </si>
  <si>
    <t>２未満</t>
    <rPh sb="1" eb="3">
      <t>ミマン</t>
    </rPh>
    <phoneticPr fontId="3"/>
  </si>
  <si>
    <t>前３月間の延日数</t>
    <phoneticPr fontId="3"/>
  </si>
  <si>
    <t xml:space="preserve"> H　要介護４又は５の割合</t>
    <phoneticPr fontId="3"/>
  </si>
  <si>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3"/>
  </si>
  <si>
    <t>５０％以上</t>
    <rPh sb="3" eb="5">
      <t>イジョウ</t>
    </rPh>
    <phoneticPr fontId="3"/>
  </si>
  <si>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3"/>
  </si>
  <si>
    <t>３５％以上５０％未満</t>
    <rPh sb="3" eb="5">
      <t>イジョウ</t>
    </rPh>
    <rPh sb="8" eb="10">
      <t>ミマン</t>
    </rPh>
    <phoneticPr fontId="3"/>
  </si>
  <si>
    <t>３５％未満</t>
    <rPh sb="3" eb="5">
      <t>ミマン</t>
    </rPh>
    <phoneticPr fontId="3"/>
  </si>
  <si>
    <t xml:space="preserve"> I　喀痰吸引の実施割合</t>
    <rPh sb="3" eb="5">
      <t>カクタン</t>
    </rPh>
    <rPh sb="5" eb="7">
      <t>キュウイン</t>
    </rPh>
    <rPh sb="8" eb="10">
      <t>ジッシ</t>
    </rPh>
    <rPh sb="10" eb="12">
      <t>ワリアイ</t>
    </rPh>
    <phoneticPr fontId="3"/>
  </si>
  <si>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3"/>
  </si>
  <si>
    <t xml:space="preserve"> J　経管栄養の実施割合</t>
    <rPh sb="3" eb="7">
      <t>ケイカンエイヨウ</t>
    </rPh>
    <rPh sb="8" eb="10">
      <t>ジッシ</t>
    </rPh>
    <rPh sb="10" eb="12">
      <t>ワリアイ</t>
    </rPh>
    <phoneticPr fontId="3"/>
  </si>
  <si>
    <t>↓</t>
    <phoneticPr fontId="3"/>
  </si>
  <si>
    <t>上記評価項目（A～J）について、項目に応じた「在宅復帰・在宅療養支援等指標」の合計値を記入</t>
    <phoneticPr fontId="3"/>
  </si>
  <si>
    <t>６　介護老人保健施設の基本サービス費に係る届出内容</t>
    <rPh sb="11" eb="13">
      <t>キホン</t>
    </rPh>
    <rPh sb="17" eb="18">
      <t>ヒ</t>
    </rPh>
    <phoneticPr fontId="3"/>
  </si>
  <si>
    <t>①　基本型</t>
    <rPh sb="2" eb="5">
      <t>キホンガタ</t>
    </rPh>
    <phoneticPr fontId="3"/>
  </si>
  <si>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</si>
  <si>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②　在宅強化型</t>
    <rPh sb="2" eb="4">
      <t>ザイタク</t>
    </rPh>
    <rPh sb="4" eb="6">
      <t>キョウカ</t>
    </rPh>
    <rPh sb="6" eb="7">
      <t>ガタ</t>
    </rPh>
    <phoneticPr fontId="3"/>
  </si>
  <si>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3"/>
  </si>
  <si>
    <t>７　在宅復帰・在宅療養支援機能加算に係る届出内容</t>
    <rPh sb="18" eb="19">
      <t>カカ</t>
    </rPh>
    <rPh sb="20" eb="22">
      <t>トドケデ</t>
    </rPh>
    <rPh sb="22" eb="24">
      <t>ナイヨウ</t>
    </rPh>
    <phoneticPr fontId="3"/>
  </si>
  <si>
    <t>①　在宅復帰・在宅療養支援機能加算（Ⅰ）</t>
    <rPh sb="15" eb="17">
      <t>カサン</t>
    </rPh>
    <phoneticPr fontId="3"/>
  </si>
  <si>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3"/>
  </si>
  <si>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3"/>
  </si>
  <si>
    <t>②　在宅復帰・在宅療養支援機能加算（Ⅱ）</t>
    <rPh sb="15" eb="17">
      <t>カサン</t>
    </rPh>
    <phoneticPr fontId="3"/>
  </si>
  <si>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3"/>
  </si>
  <si>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3"/>
  </si>
  <si>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3"/>
  </si>
  <si>
    <t>４　届  出  項  目</t>
    <rPh sb="2" eb="3">
      <t>トドケ</t>
    </rPh>
    <rPh sb="5" eb="6">
      <t>デ</t>
    </rPh>
    <rPh sb="8" eb="9">
      <t>コウ</t>
    </rPh>
    <rPh sb="11" eb="12">
      <t>メ</t>
    </rPh>
    <phoneticPr fontId="3"/>
  </si>
  <si>
    <t>　前12月の新規入所者の総数</t>
    <rPh sb="1" eb="2">
      <t>ゼン</t>
    </rPh>
    <rPh sb="4" eb="5">
      <t>ツキ</t>
    </rPh>
    <phoneticPr fontId="3"/>
  </si>
  <si>
    <t>　①のうち、医療機関を退院し入所した者の総数</t>
    <phoneticPr fontId="3"/>
  </si>
  <si>
    <t>　①のうち、自宅等から入所した者の総数</t>
    <rPh sb="8" eb="9">
      <t>トウ</t>
    </rPh>
    <phoneticPr fontId="3"/>
  </si>
  <si>
    <t>　（①に占める②の割合）－（①に占める③の割合）</t>
    <rPh sb="4" eb="5">
      <t>シ</t>
    </rPh>
    <rPh sb="9" eb="11">
      <t>ワリアイ</t>
    </rPh>
    <rPh sb="16" eb="17">
      <t>シ</t>
    </rPh>
    <rPh sb="21" eb="23">
      <t>ワリアイ</t>
    </rPh>
    <phoneticPr fontId="3"/>
  </si>
  <si>
    <t>３５％以上</t>
    <rPh sb="3" eb="5">
      <t>イジョウ</t>
    </rPh>
    <phoneticPr fontId="3"/>
  </si>
  <si>
    <t>前々々月末</t>
    <rPh sb="0" eb="2">
      <t>ゼンゼン</t>
    </rPh>
    <rPh sb="3" eb="5">
      <t>ゲツマツ</t>
    </rPh>
    <phoneticPr fontId="3"/>
  </si>
  <si>
    <t>前々月末</t>
    <rPh sb="0" eb="2">
      <t>ゼンゼン</t>
    </rPh>
    <rPh sb="2" eb="4">
      <t>ゲツマツ</t>
    </rPh>
    <phoneticPr fontId="3"/>
  </si>
  <si>
    <t>前月末</t>
    <rPh sb="0" eb="1">
      <t>マエ</t>
    </rPh>
    <rPh sb="1" eb="3">
      <t>ゲツマツ</t>
    </rPh>
    <phoneticPr fontId="3"/>
  </si>
  <si>
    <t>平均</t>
    <rPh sb="0" eb="2">
      <t>ヘイキン</t>
    </rPh>
    <phoneticPr fontId="3"/>
  </si>
  <si>
    <t>前3月の入所者及び利用者の総数</t>
    <rPh sb="0" eb="1">
      <t>マエ</t>
    </rPh>
    <rPh sb="2" eb="3">
      <t>ツキ</t>
    </rPh>
    <rPh sb="4" eb="6">
      <t>ニュウショ</t>
    </rPh>
    <rPh sb="6" eb="7">
      <t>シャ</t>
    </rPh>
    <rPh sb="7" eb="8">
      <t>オヨ</t>
    </rPh>
    <rPh sb="9" eb="12">
      <t>リヨウシャ</t>
    </rPh>
    <rPh sb="13" eb="15">
      <t>ソウスウ</t>
    </rPh>
    <phoneticPr fontId="3"/>
  </si>
  <si>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3"/>
  </si>
  <si>
    <t>3月間の平均</t>
    <rPh sb="1" eb="2">
      <t>ツキ</t>
    </rPh>
    <rPh sb="2" eb="3">
      <t>カン</t>
    </rPh>
    <rPh sb="4" eb="6">
      <t>ヘイキン</t>
    </rPh>
    <phoneticPr fontId="3"/>
  </si>
  <si>
    <t>①に占める②の割合</t>
    <phoneticPr fontId="3"/>
  </si>
  <si>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3"/>
  </si>
  <si>
    <t>又は</t>
    <rPh sb="0" eb="1">
      <t>マタ</t>
    </rPh>
    <phoneticPr fontId="3"/>
  </si>
  <si>
    <t>①に占める④の割合</t>
    <phoneticPr fontId="3"/>
  </si>
  <si>
    <t>２０％以上</t>
    <rPh sb="3" eb="5">
      <t>イジョウ</t>
    </rPh>
    <phoneticPr fontId="3"/>
  </si>
  <si>
    <t xml:space="preserve">　  </t>
    <phoneticPr fontId="3"/>
  </si>
  <si>
    <t>６　療養体制維持特別加算（Ⅱ）に係る届出内容</t>
    <phoneticPr fontId="3"/>
  </si>
  <si>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3"/>
  </si>
  <si>
    <t>かつ</t>
    <phoneticPr fontId="3"/>
  </si>
  <si>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3"/>
  </si>
  <si>
    <t>3　届 出 項 目</t>
    <rPh sb="2" eb="3">
      <t>トドケ</t>
    </rPh>
    <rPh sb="4" eb="5">
      <t>デ</t>
    </rPh>
    <rPh sb="6" eb="7">
      <t>コウ</t>
    </rPh>
    <rPh sb="8" eb="9">
      <t>モク</t>
    </rPh>
    <phoneticPr fontId="3"/>
  </si>
  <si>
    <t>①　終了者数の状況</t>
    <phoneticPr fontId="3"/>
  </si>
  <si>
    <t>②　事業所の利用状況</t>
    <phoneticPr fontId="3"/>
  </si>
  <si>
    <t>評価対象期間の利用者延月数</t>
    <phoneticPr fontId="3"/>
  </si>
  <si>
    <t>評価対象期間の新規利用者数</t>
    <phoneticPr fontId="3"/>
  </si>
  <si>
    <t>12×（②＋③）÷２÷①</t>
    <phoneticPr fontId="3"/>
  </si>
  <si>
    <t>　※　各要件を満たす場合については、それぞれ根拠となる（要件を満たすことがわかる）書類も
　　提出してください。</t>
    <phoneticPr fontId="3"/>
  </si>
  <si>
    <t>※</t>
    <phoneticPr fontId="3"/>
  </si>
  <si>
    <t>４月</t>
    <rPh sb="1" eb="2">
      <t>ガツ</t>
    </rPh>
    <phoneticPr fontId="3"/>
  </si>
  <si>
    <t>＝</t>
    <phoneticPr fontId="3"/>
  </si>
  <si>
    <t>通リハ02</t>
    <rPh sb="0" eb="1">
      <t>ツウ</t>
    </rPh>
    <phoneticPr fontId="3"/>
  </si>
  <si>
    <t>通リハ03</t>
    <rPh sb="0" eb="1">
      <t>ツウ</t>
    </rPh>
    <phoneticPr fontId="3"/>
  </si>
  <si>
    <t>通リハ04</t>
    <rPh sb="0" eb="1">
      <t>ツウ</t>
    </rPh>
    <phoneticPr fontId="3"/>
  </si>
  <si>
    <t>通リハ05</t>
    <rPh sb="0" eb="1">
      <t>ツウ</t>
    </rPh>
    <phoneticPr fontId="3"/>
  </si>
  <si>
    <t>通リハ06</t>
    <rPh sb="0" eb="1">
      <t>ツウ</t>
    </rPh>
    <phoneticPr fontId="3"/>
  </si>
  <si>
    <t>通リハ07</t>
    <rPh sb="0" eb="1">
      <t>ツウ</t>
    </rPh>
    <phoneticPr fontId="3"/>
  </si>
  <si>
    <t>通リハ08</t>
    <rPh sb="0" eb="1">
      <t>ツウ</t>
    </rPh>
    <phoneticPr fontId="3"/>
  </si>
  <si>
    <t>通リハ09</t>
    <rPh sb="0" eb="1">
      <t>ツウ</t>
    </rPh>
    <phoneticPr fontId="3"/>
  </si>
  <si>
    <t>通リハ10</t>
    <rPh sb="0" eb="1">
      <t>ツウ</t>
    </rPh>
    <phoneticPr fontId="3"/>
  </si>
  <si>
    <t>通リハ11</t>
    <rPh sb="0" eb="1">
      <t>ツウ</t>
    </rPh>
    <phoneticPr fontId="3"/>
  </si>
  <si>
    <t>通リハ12</t>
    <rPh sb="0" eb="1">
      <t>ツウ</t>
    </rPh>
    <phoneticPr fontId="3"/>
  </si>
  <si>
    <t>通リハ13</t>
    <rPh sb="0" eb="1">
      <t>ツウ</t>
    </rPh>
    <phoneticPr fontId="3"/>
  </si>
  <si>
    <t>通リハ14</t>
    <rPh sb="0" eb="1">
      <t>ツウ</t>
    </rPh>
    <phoneticPr fontId="3"/>
  </si>
  <si>
    <t>通リハ15</t>
    <rPh sb="0" eb="1">
      <t>ツウ</t>
    </rPh>
    <phoneticPr fontId="3"/>
  </si>
  <si>
    <t>事業所の規模</t>
    <phoneticPr fontId="3"/>
  </si>
  <si>
    <t>◎</t>
    <phoneticPr fontId="3"/>
  </si>
  <si>
    <t>老健20</t>
    <rPh sb="0" eb="2">
      <t>ロウケン</t>
    </rPh>
    <phoneticPr fontId="3"/>
  </si>
  <si>
    <t>老健21</t>
    <rPh sb="0" eb="2">
      <t>ロウケン</t>
    </rPh>
    <phoneticPr fontId="3"/>
  </si>
  <si>
    <t>1.介護保健施設（Ⅰ）、2. ユニット型介護保健施設（Ⅰ）、5.介護保健施設（Ⅱ）、6. ユニット型介護保健施設（Ⅱ）、7.介護保健施設（Ⅲ）、8. ユニット型介護保健施設（Ⅲ）、9.介護保健施設 （Ⅳ）、A. ユニット型介護保健施設 （Ⅳ）</t>
    <phoneticPr fontId="3"/>
  </si>
  <si>
    <t xml:space="preserve">     </t>
    <phoneticPr fontId="3"/>
  </si>
  <si>
    <t>÷</t>
    <phoneticPr fontId="3"/>
  </si>
  <si>
    <t>⑥</t>
    <phoneticPr fontId="3"/>
  </si>
  <si>
    <t>1.老健（Ⅰ）、2. ユニット型老健（Ⅰ）、5.療養型老健（Ⅱ）、6. ユニット型療養型老健（Ⅱ）、7.療養型老健（Ⅲ）、8. ユニット型療養型老健（Ⅲ）、9.老健 （Ⅳ）、A. ユニット型老健（Ⅳ）</t>
    <rPh sb="2" eb="4">
      <t>ロウケン</t>
    </rPh>
    <rPh sb="16" eb="18">
      <t>ロウケン</t>
    </rPh>
    <rPh sb="24" eb="26">
      <t>リョウヨウ</t>
    </rPh>
    <rPh sb="26" eb="27">
      <t>ガタ</t>
    </rPh>
    <rPh sb="27" eb="29">
      <t>ロウケン</t>
    </rPh>
    <rPh sb="41" eb="43">
      <t>リョウヨウ</t>
    </rPh>
    <rPh sb="43" eb="44">
      <t>ガタ</t>
    </rPh>
    <rPh sb="44" eb="46">
      <t>ロウケン</t>
    </rPh>
    <rPh sb="52" eb="55">
      <t>リョウヨウガタ</t>
    </rPh>
    <rPh sb="55" eb="57">
      <t>ロウケン</t>
    </rPh>
    <rPh sb="69" eb="72">
      <t>リョウヨウガタ</t>
    </rPh>
    <rPh sb="72" eb="74">
      <t>ロウケン</t>
    </rPh>
    <rPh sb="80" eb="82">
      <t>ロウケン</t>
    </rPh>
    <phoneticPr fontId="3"/>
  </si>
  <si>
    <t>（Ⅱ）（Ⅲ）</t>
    <phoneticPr fontId="3"/>
  </si>
  <si>
    <t>短療01</t>
    <rPh sb="0" eb="1">
      <t>タン</t>
    </rPh>
    <rPh sb="1" eb="2">
      <t>イヤス</t>
    </rPh>
    <phoneticPr fontId="3"/>
  </si>
  <si>
    <t>短療02</t>
    <rPh sb="0" eb="1">
      <t>タン</t>
    </rPh>
    <rPh sb="1" eb="2">
      <t>イヤス</t>
    </rPh>
    <phoneticPr fontId="3"/>
  </si>
  <si>
    <t>短療03</t>
    <rPh sb="0" eb="1">
      <t>タン</t>
    </rPh>
    <rPh sb="1" eb="2">
      <t>イヤス</t>
    </rPh>
    <phoneticPr fontId="3"/>
  </si>
  <si>
    <t>短療04</t>
    <rPh sb="0" eb="1">
      <t>タン</t>
    </rPh>
    <rPh sb="1" eb="2">
      <t>イヤス</t>
    </rPh>
    <phoneticPr fontId="3"/>
  </si>
  <si>
    <t>短療05</t>
    <rPh sb="0" eb="1">
      <t>タン</t>
    </rPh>
    <rPh sb="1" eb="2">
      <t>イヤス</t>
    </rPh>
    <phoneticPr fontId="3"/>
  </si>
  <si>
    <t>短療06</t>
    <rPh sb="0" eb="1">
      <t>タン</t>
    </rPh>
    <rPh sb="1" eb="2">
      <t>イヤス</t>
    </rPh>
    <phoneticPr fontId="3"/>
  </si>
  <si>
    <t>短療07</t>
    <rPh sb="0" eb="1">
      <t>タン</t>
    </rPh>
    <rPh sb="1" eb="2">
      <t>イヤス</t>
    </rPh>
    <phoneticPr fontId="3"/>
  </si>
  <si>
    <t>短療08</t>
    <rPh sb="0" eb="1">
      <t>タン</t>
    </rPh>
    <rPh sb="1" eb="2">
      <t>イヤス</t>
    </rPh>
    <phoneticPr fontId="3"/>
  </si>
  <si>
    <t>短療09</t>
    <rPh sb="0" eb="1">
      <t>タン</t>
    </rPh>
    <rPh sb="1" eb="2">
      <t>イヤス</t>
    </rPh>
    <phoneticPr fontId="3"/>
  </si>
  <si>
    <t>短療10</t>
    <rPh sb="0" eb="1">
      <t>タン</t>
    </rPh>
    <rPh sb="1" eb="2">
      <t>イヤス</t>
    </rPh>
    <phoneticPr fontId="3"/>
  </si>
  <si>
    <t>短療11</t>
    <rPh sb="0" eb="1">
      <t>タン</t>
    </rPh>
    <rPh sb="1" eb="2">
      <t>イヤス</t>
    </rPh>
    <phoneticPr fontId="3"/>
  </si>
  <si>
    <t>短療12</t>
    <rPh sb="0" eb="1">
      <t>タン</t>
    </rPh>
    <rPh sb="1" eb="2">
      <t>イヤス</t>
    </rPh>
    <phoneticPr fontId="3"/>
  </si>
  <si>
    <t>短療13</t>
    <rPh sb="0" eb="1">
      <t>タン</t>
    </rPh>
    <rPh sb="1" eb="2">
      <t>イヤス</t>
    </rPh>
    <phoneticPr fontId="3"/>
  </si>
  <si>
    <t>短療14</t>
    <rPh sb="0" eb="1">
      <t>タン</t>
    </rPh>
    <rPh sb="1" eb="2">
      <t>イヤス</t>
    </rPh>
    <phoneticPr fontId="3"/>
  </si>
  <si>
    <t>短療15</t>
    <rPh sb="0" eb="1">
      <t>タン</t>
    </rPh>
    <rPh sb="1" eb="2">
      <t>イヤス</t>
    </rPh>
    <phoneticPr fontId="3"/>
  </si>
  <si>
    <t>予短療01</t>
    <rPh sb="0" eb="1">
      <t>ヨ</t>
    </rPh>
    <rPh sb="1" eb="2">
      <t>タン</t>
    </rPh>
    <rPh sb="2" eb="3">
      <t>イヤス</t>
    </rPh>
    <phoneticPr fontId="3"/>
  </si>
  <si>
    <t>予短療02</t>
    <rPh sb="0" eb="1">
      <t>ヨ</t>
    </rPh>
    <rPh sb="1" eb="2">
      <t>タン</t>
    </rPh>
    <rPh sb="2" eb="3">
      <t>イヤス</t>
    </rPh>
    <phoneticPr fontId="3"/>
  </si>
  <si>
    <t>予短療03</t>
    <rPh sb="0" eb="1">
      <t>ヨ</t>
    </rPh>
    <rPh sb="1" eb="2">
      <t>タン</t>
    </rPh>
    <rPh sb="2" eb="3">
      <t>イヤス</t>
    </rPh>
    <phoneticPr fontId="3"/>
  </si>
  <si>
    <t>予短療04</t>
    <rPh sb="0" eb="1">
      <t>ヨ</t>
    </rPh>
    <rPh sb="1" eb="2">
      <t>タン</t>
    </rPh>
    <rPh sb="2" eb="3">
      <t>イヤス</t>
    </rPh>
    <phoneticPr fontId="3"/>
  </si>
  <si>
    <t>予短療05</t>
    <rPh sb="0" eb="1">
      <t>ヨ</t>
    </rPh>
    <rPh sb="1" eb="2">
      <t>タン</t>
    </rPh>
    <rPh sb="2" eb="3">
      <t>イヤス</t>
    </rPh>
    <phoneticPr fontId="3"/>
  </si>
  <si>
    <t>予短療06</t>
    <rPh sb="0" eb="1">
      <t>ヨ</t>
    </rPh>
    <rPh sb="1" eb="2">
      <t>タン</t>
    </rPh>
    <rPh sb="2" eb="3">
      <t>イヤス</t>
    </rPh>
    <phoneticPr fontId="3"/>
  </si>
  <si>
    <t>予短療07</t>
    <rPh sb="0" eb="1">
      <t>ヨ</t>
    </rPh>
    <rPh sb="1" eb="2">
      <t>タン</t>
    </rPh>
    <rPh sb="2" eb="3">
      <t>イヤス</t>
    </rPh>
    <phoneticPr fontId="3"/>
  </si>
  <si>
    <t>予短療08</t>
    <rPh sb="0" eb="1">
      <t>ヨ</t>
    </rPh>
    <rPh sb="1" eb="2">
      <t>タン</t>
    </rPh>
    <rPh sb="2" eb="3">
      <t>イヤス</t>
    </rPh>
    <phoneticPr fontId="3"/>
  </si>
  <si>
    <t>予短療09</t>
    <rPh sb="0" eb="1">
      <t>ヨ</t>
    </rPh>
    <rPh sb="1" eb="2">
      <t>タン</t>
    </rPh>
    <rPh sb="2" eb="3">
      <t>イヤス</t>
    </rPh>
    <phoneticPr fontId="3"/>
  </si>
  <si>
    <t>予短療10</t>
    <rPh sb="0" eb="1">
      <t>ヨ</t>
    </rPh>
    <rPh sb="1" eb="2">
      <t>タン</t>
    </rPh>
    <rPh sb="2" eb="3">
      <t>イヤス</t>
    </rPh>
    <phoneticPr fontId="3"/>
  </si>
  <si>
    <t>予短療11</t>
    <rPh sb="0" eb="1">
      <t>ヨ</t>
    </rPh>
    <rPh sb="1" eb="2">
      <t>タン</t>
    </rPh>
    <rPh sb="2" eb="3">
      <t>イヤス</t>
    </rPh>
    <phoneticPr fontId="3"/>
  </si>
  <si>
    <t>予短療12</t>
    <rPh sb="0" eb="1">
      <t>ヨ</t>
    </rPh>
    <rPh sb="1" eb="2">
      <t>タン</t>
    </rPh>
    <rPh sb="2" eb="3">
      <t>イヤス</t>
    </rPh>
    <phoneticPr fontId="3"/>
  </si>
  <si>
    <t>予短療13</t>
    <rPh sb="0" eb="1">
      <t>ヨ</t>
    </rPh>
    <rPh sb="1" eb="2">
      <t>タン</t>
    </rPh>
    <rPh sb="2" eb="3">
      <t>イヤス</t>
    </rPh>
    <phoneticPr fontId="3"/>
  </si>
  <si>
    <t>予短療14</t>
    <rPh sb="0" eb="1">
      <t>ヨ</t>
    </rPh>
    <rPh sb="1" eb="2">
      <t>タン</t>
    </rPh>
    <rPh sb="2" eb="3">
      <t>イヤス</t>
    </rPh>
    <phoneticPr fontId="3"/>
  </si>
  <si>
    <t>◎</t>
    <phoneticPr fontId="3"/>
  </si>
  <si>
    <t>◎</t>
    <phoneticPr fontId="3"/>
  </si>
  <si>
    <t>◎勤務形態一覧は、看護・介護職員分（算定月）</t>
    <phoneticPr fontId="3"/>
  </si>
  <si>
    <t>施 設 名 称</t>
    <rPh sb="0" eb="1">
      <t>シ</t>
    </rPh>
    <rPh sb="2" eb="3">
      <t>セツ</t>
    </rPh>
    <rPh sb="4" eb="5">
      <t>ナ</t>
    </rPh>
    <rPh sb="6" eb="7">
      <t>ショウ</t>
    </rPh>
    <phoneticPr fontId="3"/>
  </si>
  <si>
    <t>定員</t>
    <rPh sb="0" eb="2">
      <t>テイイン</t>
    </rPh>
    <phoneticPr fontId="3"/>
  </si>
  <si>
    <t>職　　種</t>
    <rPh sb="0" eb="1">
      <t>ショク</t>
    </rPh>
    <rPh sb="3" eb="4">
      <t>タネ</t>
    </rPh>
    <phoneticPr fontId="3"/>
  </si>
  <si>
    <t>基　　準</t>
    <rPh sb="0" eb="1">
      <t>モト</t>
    </rPh>
    <rPh sb="3" eb="4">
      <t>ジュン</t>
    </rPh>
    <phoneticPr fontId="3"/>
  </si>
  <si>
    <t>基準人員</t>
    <rPh sb="0" eb="2">
      <t>キジュン</t>
    </rPh>
    <rPh sb="2" eb="4">
      <t>ジンイン</t>
    </rPh>
    <phoneticPr fontId="3"/>
  </si>
  <si>
    <t>実人員</t>
    <rPh sb="0" eb="1">
      <t>ジツ</t>
    </rPh>
    <rPh sb="1" eb="3">
      <t>ジンイン</t>
    </rPh>
    <phoneticPr fontId="3"/>
  </si>
  <si>
    <t>備　　考</t>
    <rPh sb="0" eb="1">
      <t>ソナエ</t>
    </rPh>
    <rPh sb="3" eb="4">
      <t>コウ</t>
    </rPh>
    <phoneticPr fontId="3"/>
  </si>
  <si>
    <t>看護・介護</t>
  </si>
  <si>
    <t>①入　　所</t>
    <rPh sb="1" eb="2">
      <t>ニュウ</t>
    </rPh>
    <rPh sb="4" eb="5">
      <t>ショ</t>
    </rPh>
    <phoneticPr fontId="3"/>
  </si>
  <si>
    <t>②通　　所</t>
    <rPh sb="1" eb="2">
      <t>ツウ</t>
    </rPh>
    <rPh sb="4" eb="5">
      <t>ショ</t>
    </rPh>
    <phoneticPr fontId="3"/>
  </si>
  <si>
    <t>週</t>
    <rPh sb="0" eb="1">
      <t>シュウ</t>
    </rPh>
    <phoneticPr fontId="3"/>
  </si>
  <si>
    <t>回</t>
    <rPh sb="0" eb="1">
      <t>カイ</t>
    </rPh>
    <phoneticPr fontId="3"/>
  </si>
  <si>
    <t>曜日～</t>
    <rPh sb="0" eb="2">
      <t>ヨウビ</t>
    </rPh>
    <phoneticPr fontId="3"/>
  </si>
  <si>
    <t>曜日）</t>
    <rPh sb="0" eb="2">
      <t>ヨウビ</t>
    </rPh>
    <phoneticPr fontId="3"/>
  </si>
  <si>
    <t>【　入　　所　】</t>
    <rPh sb="2" eb="3">
      <t>ニュウ</t>
    </rPh>
    <rPh sb="5" eb="6">
      <t>ショ</t>
    </rPh>
    <phoneticPr fontId="3"/>
  </si>
  <si>
    <t>介護老人保健施設の人員、施設及び設備並びに運営に関する基準（平成11年厚生省令第40号）</t>
    <rPh sb="2" eb="4">
      <t>ロウジン</t>
    </rPh>
    <rPh sb="4" eb="6">
      <t>ホケン</t>
    </rPh>
    <rPh sb="6" eb="8">
      <t>シセツ</t>
    </rPh>
    <rPh sb="9" eb="11">
      <t>ジンイン</t>
    </rPh>
    <rPh sb="12" eb="14">
      <t>シセツ</t>
    </rPh>
    <rPh sb="14" eb="15">
      <t>オヨ</t>
    </rPh>
    <rPh sb="16" eb="18">
      <t>セツビ</t>
    </rPh>
    <rPh sb="18" eb="19">
      <t>ナラ</t>
    </rPh>
    <rPh sb="21" eb="23">
      <t>ウンエイ</t>
    </rPh>
    <rPh sb="24" eb="25">
      <t>カン</t>
    </rPh>
    <rPh sb="27" eb="29">
      <t>キジュン</t>
    </rPh>
    <rPh sb="30" eb="32">
      <t>ヘイセイ</t>
    </rPh>
    <rPh sb="34" eb="35">
      <t>ネン</t>
    </rPh>
    <rPh sb="35" eb="38">
      <t>コウセイショウ</t>
    </rPh>
    <rPh sb="38" eb="39">
      <t>レイ</t>
    </rPh>
    <rPh sb="39" eb="40">
      <t>ダイ</t>
    </rPh>
    <rPh sb="42" eb="43">
      <t>ゴウ</t>
    </rPh>
    <phoneticPr fontId="3"/>
  </si>
  <si>
    <t>医　　師</t>
    <rPh sb="0" eb="1">
      <t>イ</t>
    </rPh>
    <rPh sb="3" eb="4">
      <t>シ</t>
    </rPh>
    <phoneticPr fontId="3"/>
  </si>
  <si>
    <t>支援相談員</t>
    <rPh sb="0" eb="2">
      <t>シエン</t>
    </rPh>
    <rPh sb="2" eb="5">
      <t>ソウダンイン</t>
    </rPh>
    <phoneticPr fontId="3"/>
  </si>
  <si>
    <t>人以上</t>
    <rPh sb="0" eb="1">
      <t>ニン</t>
    </rPh>
    <rPh sb="1" eb="3">
      <t>イジョウ</t>
    </rPh>
    <phoneticPr fontId="3"/>
  </si>
  <si>
    <t>薬剤師</t>
    <rPh sb="0" eb="3">
      <t>ヤクザイシ</t>
    </rPh>
    <phoneticPr fontId="3"/>
  </si>
  <si>
    <t>人÷</t>
    <rPh sb="0" eb="1">
      <t>ニン</t>
    </rPh>
    <phoneticPr fontId="3"/>
  </si>
  <si>
    <t>人以上÷2/7</t>
    <rPh sb="0" eb="1">
      <t>ニン</t>
    </rPh>
    <rPh sb="1" eb="3">
      <t>イジョウ</t>
    </rPh>
    <phoneticPr fontId="3"/>
  </si>
  <si>
    <t>看護・介護職員の7分の2程度</t>
    <rPh sb="12" eb="14">
      <t>テイド</t>
    </rPh>
    <phoneticPr fontId="3"/>
  </si>
  <si>
    <t>人程度</t>
    <rPh sb="0" eb="1">
      <t>ニン</t>
    </rPh>
    <rPh sb="1" eb="3">
      <t>テイド</t>
    </rPh>
    <phoneticPr fontId="3"/>
  </si>
  <si>
    <t>◎勤務形態一覧は、看護・介護職員分（算定月）</t>
    <phoneticPr fontId="3"/>
  </si>
  <si>
    <t>※施設（老健）の在宅復帰・在宅療養支援機能加算を算定する場合は、短期療養及び介護予防短期療養も算定可能</t>
    <rPh sb="1" eb="3">
      <t>シセツ</t>
    </rPh>
    <rPh sb="4" eb="6">
      <t>ロウケン</t>
    </rPh>
    <rPh sb="24" eb="26">
      <t>サンテイ</t>
    </rPh>
    <rPh sb="28" eb="30">
      <t>バアイ</t>
    </rPh>
    <rPh sb="32" eb="34">
      <t>タンキ</t>
    </rPh>
    <rPh sb="34" eb="36">
      <t>リョウヨウ</t>
    </rPh>
    <rPh sb="36" eb="37">
      <t>オヨ</t>
    </rPh>
    <rPh sb="38" eb="40">
      <t>カイゴ</t>
    </rPh>
    <rPh sb="40" eb="42">
      <t>ヨボウ</t>
    </rPh>
    <rPh sb="42" eb="44">
      <t>タンキ</t>
    </rPh>
    <rPh sb="44" eb="46">
      <t>リョウヨウ</t>
    </rPh>
    <rPh sb="47" eb="49">
      <t>サンテイ</t>
    </rPh>
    <rPh sb="49" eb="51">
      <t>カノウ</t>
    </rPh>
    <phoneticPr fontId="3"/>
  </si>
  <si>
    <t>●</t>
    <phoneticPr fontId="3"/>
  </si>
  <si>
    <t>【　通　　所　】</t>
    <rPh sb="2" eb="3">
      <t>トオ</t>
    </rPh>
    <rPh sb="5" eb="6">
      <t>ショ</t>
    </rPh>
    <phoneticPr fontId="3"/>
  </si>
  <si>
    <t>〔　人　員　基　準　〕</t>
  </si>
  <si>
    <t>○　医　師　</t>
  </si>
  <si>
    <t>○　理学療法士、作業療法士若しくは言語聴覚士又は看護職員若しくは介護職員</t>
  </si>
  <si>
    <t>イ　指定通所リハビリテーションの利用者が１０人以下の場合は、その提供時間帯を通じて専ら当該指定通所リハビリテーションの提供に当たる理学療法士、作業療法士若しくは言語聴覚士又は看護職員若しくは介護職員が１以上確保されていること。又は、利用者が１０人を超える場合は、その提供時間帯を通じて専ら当該指定通所リハビリテーションの提供に当たる理学療法士、作業療法士若しくは言語聴覚士又は看護職員若しくは介護職員が利用者の数を１０で除した数以上確保されていること。</t>
  </si>
  <si>
    <t>月</t>
    <rPh sb="0" eb="1">
      <t>ゲツ</t>
    </rPh>
    <phoneticPr fontId="3"/>
  </si>
  <si>
    <t>医師</t>
    <rPh sb="0" eb="2">
      <t>イシ</t>
    </rPh>
    <phoneticPr fontId="3"/>
  </si>
  <si>
    <t>理学療法士</t>
    <rPh sb="0" eb="2">
      <t>リガク</t>
    </rPh>
    <rPh sb="2" eb="5">
      <t>リョウホウシ</t>
    </rPh>
    <phoneticPr fontId="3"/>
  </si>
  <si>
    <t>作業療法士</t>
    <rPh sb="0" eb="2">
      <t>サギョウ</t>
    </rPh>
    <rPh sb="2" eb="5">
      <t>リョウホウシ</t>
    </rPh>
    <phoneticPr fontId="3"/>
  </si>
  <si>
    <t>言語療法士</t>
    <rPh sb="0" eb="2">
      <t>ゲンゴ</t>
    </rPh>
    <rPh sb="2" eb="5">
      <t>リョウホウシ</t>
    </rPh>
    <phoneticPr fontId="3"/>
  </si>
  <si>
    <t>介護職員</t>
    <rPh sb="0" eb="2">
      <t>カイゴ</t>
    </rPh>
    <rPh sb="2" eb="4">
      <t>ショクイン</t>
    </rPh>
    <phoneticPr fontId="3"/>
  </si>
  <si>
    <t>看護師
准看護師</t>
    <rPh sb="0" eb="3">
      <t>カンゴシ</t>
    </rPh>
    <rPh sb="4" eb="8">
      <t>ジュンカンゴシ</t>
    </rPh>
    <phoneticPr fontId="3"/>
  </si>
  <si>
    <t>基準人員
（人）</t>
    <rPh sb="0" eb="2">
      <t>キジュン</t>
    </rPh>
    <rPh sb="2" eb="4">
      <t>ジンイン</t>
    </rPh>
    <rPh sb="6" eb="7">
      <t>ニン</t>
    </rPh>
    <phoneticPr fontId="3"/>
  </si>
  <si>
    <t>非常勤</t>
    <rPh sb="0" eb="3">
      <t>ヒジョウキン</t>
    </rPh>
    <phoneticPr fontId="3"/>
  </si>
  <si>
    <t>常勤換算
後の人数</t>
    <rPh sb="0" eb="2">
      <t>ジョウキン</t>
    </rPh>
    <rPh sb="2" eb="4">
      <t>カンサン</t>
    </rPh>
    <rPh sb="5" eb="6">
      <t>ゴ</t>
    </rPh>
    <rPh sb="7" eb="9">
      <t>ニンズ</t>
    </rPh>
    <phoneticPr fontId="3"/>
  </si>
  <si>
    <t>常　勤</t>
    <rPh sb="0" eb="1">
      <t>ツネ</t>
    </rPh>
    <rPh sb="2" eb="3">
      <t>キン</t>
    </rPh>
    <phoneticPr fontId="3"/>
  </si>
  <si>
    <t>火</t>
  </si>
  <si>
    <t>水</t>
  </si>
  <si>
    <t>木</t>
  </si>
  <si>
    <t>金</t>
  </si>
  <si>
    <t>土</t>
  </si>
  <si>
    <t>介護老人保険施設</t>
    <rPh sb="0" eb="2">
      <t>カイゴ</t>
    </rPh>
    <rPh sb="2" eb="4">
      <t>ロウジン</t>
    </rPh>
    <rPh sb="4" eb="6">
      <t>ホケン</t>
    </rPh>
    <rPh sb="6" eb="8">
      <t>シセツ</t>
    </rPh>
    <phoneticPr fontId="3"/>
  </si>
  <si>
    <t>（</t>
    <phoneticPr fontId="3"/>
  </si>
  <si>
    <t>通所リハビリテーション</t>
    <phoneticPr fontId="3"/>
  </si>
  <si>
    <t>指定居宅サービス等の事業の人員、設備及び運営に関する基準（平成11年厚生省令第37号）</t>
    <phoneticPr fontId="3"/>
  </si>
  <si>
    <t>（常勤換算）</t>
    <phoneticPr fontId="3"/>
  </si>
  <si>
    <t>常勤換算で、入所者の数を100で除して得た数以上</t>
    <phoneticPr fontId="3"/>
  </si>
  <si>
    <t>管理者である医師は常勤であること</t>
    <phoneticPr fontId="3"/>
  </si>
  <si>
    <t xml:space="preserve">   ・指定通所リハビリテーションの提供に当たらせるために必要な1以上の数。</t>
    <phoneticPr fontId="3"/>
  </si>
  <si>
    <t>＝</t>
    <phoneticPr fontId="3"/>
  </si>
  <si>
    <t xml:space="preserve">   ・医師は、常勤でなければならない。</t>
    <phoneticPr fontId="3"/>
  </si>
  <si>
    <t>常勤換算で、入所者の数が3又はその端数を増すごとに1以上</t>
    <phoneticPr fontId="3"/>
  </si>
  <si>
    <t xml:space="preserve">勤務体制で、日中はユニットごとに常時１名以上
</t>
    <phoneticPr fontId="3"/>
  </si>
  <si>
    <t>↓</t>
    <phoneticPr fontId="3"/>
  </si>
  <si>
    <t xml:space="preserve">   ・次に掲げる基準を満たすために必要と認められる数</t>
    <phoneticPr fontId="3"/>
  </si>
  <si>
    <t>うち看護師</t>
    <phoneticPr fontId="3"/>
  </si>
  <si>
    <t>ＰＴ・ＯＴ・ＳＴ</t>
    <phoneticPr fontId="3"/>
  </si>
  <si>
    <t>常勤換算で、入所者の数を100で除して得た数以上</t>
    <phoneticPr fontId="3"/>
  </si>
  <si>
    <t>ロ　イに掲げる人員のうち専ら当該指定通所リハビリテーションの提供に当たる理学療法士、作業療法士又は言語聴覚士が、利用者が１００人又はその端数を増すごとに１以上確保されていること。</t>
    <phoneticPr fontId="3"/>
  </si>
  <si>
    <t>管理栄養士・栄養士</t>
    <phoneticPr fontId="3"/>
  </si>
  <si>
    <t>入所定員100以上の介護老人保健施設にあっては、１以上</t>
    <phoneticPr fontId="3"/>
  </si>
  <si>
    <r>
      <t>【</t>
    </r>
    <r>
      <rPr>
        <u/>
        <sz val="10"/>
        <rFont val="HGSｺﾞｼｯｸM"/>
        <family val="3"/>
        <charset val="128"/>
      </rPr>
      <t>　　　　</t>
    </r>
    <r>
      <rPr>
        <sz val="10"/>
        <rFont val="HGSｺﾞｼｯｸM"/>
        <family val="3"/>
        <charset val="128"/>
      </rPr>
      <t>単位実施】</t>
    </r>
    <r>
      <rPr>
        <sz val="10"/>
        <color indexed="10"/>
        <rFont val="HGSｺﾞｼｯｸM"/>
        <family val="3"/>
        <charset val="128"/>
      </rPr>
      <t>※実施場所が異なる場合は、それぞれの単位ごとに記入してください。</t>
    </r>
    <phoneticPr fontId="3"/>
  </si>
  <si>
    <t>内管理栄養士</t>
    <phoneticPr fontId="3"/>
  </si>
  <si>
    <t>1以上（入所者の数が100を超える場合は１に加え、その越える部分を100で除して得た数以上）</t>
    <phoneticPr fontId="3"/>
  </si>
  <si>
    <t>①1０人以下の場合　　１以上</t>
    <phoneticPr fontId="3"/>
  </si>
  <si>
    <t>②1０人を超える場合　利用者数</t>
    <phoneticPr fontId="3"/>
  </si>
  <si>
    <t>人÷１０＝</t>
    <phoneticPr fontId="3"/>
  </si>
  <si>
    <t>人以上</t>
    <phoneticPr fontId="3"/>
  </si>
  <si>
    <t>1以上（入所者の数が100又はその端数を増すごとに１を標準）</t>
    <phoneticPr fontId="3"/>
  </si>
  <si>
    <t>実情に応じた数</t>
    <phoneticPr fontId="3"/>
  </si>
  <si>
    <t>通所の時間延長サービス体制　（※　加算を申請する場合は①②③④に記載してください。）　</t>
    <phoneticPr fontId="3"/>
  </si>
  <si>
    <t>①　通所の時間延長サービス体制</t>
    <phoneticPr fontId="3"/>
  </si>
  <si>
    <t>対応可</t>
    <phoneticPr fontId="3"/>
  </si>
  <si>
    <t>・</t>
    <phoneticPr fontId="3"/>
  </si>
  <si>
    <t>対応不可</t>
    <phoneticPr fontId="3"/>
  </si>
  <si>
    <t>（該当する方に○をすること）</t>
    <phoneticPr fontId="3"/>
  </si>
  <si>
    <t>②　通常のサービス提供時間　　（</t>
    <phoneticPr fontId="3"/>
  </si>
  <si>
    <t>：</t>
    <phoneticPr fontId="3"/>
  </si>
  <si>
    <t>～</t>
    <phoneticPr fontId="3"/>
  </si>
  <si>
    <t>）</t>
    <phoneticPr fontId="3"/>
  </si>
  <si>
    <t>③　サービス提供時間前の時間延長可能時間帯（</t>
    <phoneticPr fontId="3"/>
  </si>
  <si>
    <t>：</t>
    <phoneticPr fontId="3"/>
  </si>
  <si>
    <t>～</t>
    <phoneticPr fontId="3"/>
  </si>
  <si>
    <t>）</t>
    <phoneticPr fontId="3"/>
  </si>
  <si>
    <t>④　サービス提供時間後の時間延長可能時間帯（</t>
    <phoneticPr fontId="3"/>
  </si>
  <si>
    <t>◎勤務形態一覧は、看護・介護職員分</t>
    <phoneticPr fontId="3"/>
  </si>
  <si>
    <t>◎勤務形態一覧は、通リハ職員分のみ</t>
    <phoneticPr fontId="3"/>
  </si>
  <si>
    <t>【介護老人保健施設】</t>
    <rPh sb="1" eb="3">
      <t>カイゴ</t>
    </rPh>
    <rPh sb="3" eb="5">
      <t>ロウジン</t>
    </rPh>
    <rPh sb="5" eb="7">
      <t>ホケン</t>
    </rPh>
    <rPh sb="7" eb="9">
      <t>シセツ</t>
    </rPh>
    <phoneticPr fontId="3"/>
  </si>
  <si>
    <t>【通所リハビリテーション】</t>
    <rPh sb="1" eb="3">
      <t>ツウショ</t>
    </rPh>
    <phoneticPr fontId="3"/>
  </si>
  <si>
    <t>【介護予防通所リハビリテーション】</t>
    <phoneticPr fontId="3"/>
  </si>
  <si>
    <t>【短期入所療養介護】</t>
    <phoneticPr fontId="3"/>
  </si>
  <si>
    <t>【介護予防短期入所療養介護】</t>
    <phoneticPr fontId="3"/>
  </si>
  <si>
    <t>【短期入所療養介護】</t>
    <phoneticPr fontId="3"/>
  </si>
  <si>
    <t>専従</t>
    <rPh sb="0" eb="2">
      <t>センジュウ</t>
    </rPh>
    <phoneticPr fontId="3"/>
  </si>
  <si>
    <t>㎡</t>
  </si>
  <si>
    <t>片廊下の幅</t>
  </si>
  <si>
    <t>ｍ</t>
  </si>
  <si>
    <t>中廊下の幅</t>
  </si>
  <si>
    <t>添付書類</t>
  </si>
  <si>
    <t>床</t>
    <rPh sb="0" eb="1">
      <t>ユカ</t>
    </rPh>
    <phoneticPr fontId="3"/>
  </si>
  <si>
    <t>フリガナ</t>
    <phoneticPr fontId="3"/>
  </si>
  <si>
    <t>－</t>
    <phoneticPr fontId="3"/>
  </si>
  <si>
    <t>：</t>
    <phoneticPr fontId="3"/>
  </si>
  <si>
    <t>～</t>
    <phoneticPr fontId="3"/>
  </si>
  <si>
    <t>：</t>
    <phoneticPr fontId="3"/>
  </si>
  <si>
    <t>イ</t>
    <phoneticPr fontId="3"/>
  </si>
  <si>
    <t>介護給付費算定に係る体制等に関する手続きについて</t>
    <rPh sb="17" eb="19">
      <t>テツヅ</t>
    </rPh>
    <phoneticPr fontId="3"/>
  </si>
  <si>
    <t>※（平成１２年３月８日老企第４１号 厚生省老人保健福祉局企画課長通知）</t>
  </si>
  <si>
    <t>　指定居宅サービスに要する費用の額の算定に関する基準、指定居宅介護支援に要する費用の額の算定に関する基準、指定施設サービス等に要する費用の額の算定に関する基準、指定介護予防サービスに要する費用の額の算定に関する基準、指定介護予防支援に要する費用の額の算定に関する基準、指定地域密着型サービスに要する費用の額の算定に関する基準及び指定地域密着型介護予防サービスに要する費用の額の算定に関する基準の制定に伴う介護給付費算定に係る体制等に関する届出等における留意点について</t>
    <phoneticPr fontId="3"/>
  </si>
  <si>
    <t xml:space="preserve">届出先及び算定時期について </t>
    <phoneticPr fontId="3"/>
  </si>
  <si>
    <t>　介護給付費算定に係る体制（介護報酬加算等）に関する情報は、居宅サービス計画・介護予防サービス計画の作成や介護報酬の審査・支払いの際に必要な情報であり、これらの適用を受け介護報酬を算定するためには、事前の届出が必要となります。加算等の算定要件を十分に確認したうえで届出してください。</t>
    <rPh sb="113" eb="115">
      <t>カサン</t>
    </rPh>
    <rPh sb="115" eb="116">
      <t>トウ</t>
    </rPh>
    <rPh sb="117" eb="119">
      <t>サンテイ</t>
    </rPh>
    <rPh sb="119" eb="121">
      <t>ヨウケン</t>
    </rPh>
    <rPh sb="122" eb="124">
      <t>ジュウブン</t>
    </rPh>
    <rPh sb="125" eb="127">
      <t>カクニン</t>
    </rPh>
    <rPh sb="132" eb="134">
      <t>トドケデ</t>
    </rPh>
    <phoneticPr fontId="3"/>
  </si>
  <si>
    <t>（１）新たに加算を算定する場合、加算等の内容が変更（区分変更を含む）になる場合</t>
    <rPh sb="3" eb="4">
      <t>アラ</t>
    </rPh>
    <rPh sb="6" eb="8">
      <t>カサン</t>
    </rPh>
    <rPh sb="9" eb="11">
      <t>サンテイ</t>
    </rPh>
    <rPh sb="13" eb="15">
      <t>バアイ</t>
    </rPh>
    <rPh sb="16" eb="18">
      <t>カサン</t>
    </rPh>
    <rPh sb="18" eb="19">
      <t>トウ</t>
    </rPh>
    <rPh sb="20" eb="22">
      <t>ナイヨウ</t>
    </rPh>
    <rPh sb="23" eb="25">
      <t>ヘンコウ</t>
    </rPh>
    <rPh sb="26" eb="28">
      <t>クブン</t>
    </rPh>
    <rPh sb="28" eb="30">
      <t>ヘンコウ</t>
    </rPh>
    <rPh sb="31" eb="32">
      <t>フク</t>
    </rPh>
    <rPh sb="37" eb="39">
      <t>バアイ</t>
    </rPh>
    <phoneticPr fontId="3"/>
  </si>
  <si>
    <t>サービス種別</t>
  </si>
  <si>
    <t>届出先</t>
  </si>
  <si>
    <t>算定時期</t>
  </si>
  <si>
    <t>訪問入浴介護</t>
    <phoneticPr fontId="3"/>
  </si>
  <si>
    <t>(介護予防訪問入浴介護)</t>
    <phoneticPr fontId="3"/>
  </si>
  <si>
    <t>訪問看護</t>
    <phoneticPr fontId="3"/>
  </si>
  <si>
    <t>※緊急時(介護予防)訪問看護加算除く</t>
  </si>
  <si>
    <t>(介護予防訪問看護)</t>
    <phoneticPr fontId="3"/>
  </si>
  <si>
    <t>介護事業者課</t>
  </si>
  <si>
    <t>届出受理日が</t>
    <rPh sb="0" eb="2">
      <t>トドケデ</t>
    </rPh>
    <rPh sb="2" eb="4">
      <t>ジュリ</t>
    </rPh>
    <rPh sb="4" eb="5">
      <t>ヒ</t>
    </rPh>
    <phoneticPr fontId="3"/>
  </si>
  <si>
    <t>訪問ﾘﾊﾋﾞﾘﾃｰｼｮﾝ</t>
    <phoneticPr fontId="3"/>
  </si>
  <si>
    <t>　毎月15日以前の場合→翌月からの算定</t>
    <rPh sb="5" eb="6">
      <t>ヒ</t>
    </rPh>
    <rPh sb="6" eb="8">
      <t>イゼン</t>
    </rPh>
    <rPh sb="9" eb="11">
      <t>バアイ</t>
    </rPh>
    <rPh sb="12" eb="14">
      <t>ヨクゲツ</t>
    </rPh>
    <rPh sb="17" eb="19">
      <t>サンテイ</t>
    </rPh>
    <phoneticPr fontId="3"/>
  </si>
  <si>
    <t>０６－６９４４－７０９５</t>
  </si>
  <si>
    <t>　毎月16日以降の場合→翌々月からの算定</t>
    <rPh sb="5" eb="6">
      <t>ヒ</t>
    </rPh>
    <rPh sb="6" eb="8">
      <t>イコウ</t>
    </rPh>
    <rPh sb="9" eb="11">
      <t>バアイ</t>
    </rPh>
    <rPh sb="12" eb="14">
      <t>ヨクヨク</t>
    </rPh>
    <rPh sb="14" eb="15">
      <t>ツキ</t>
    </rPh>
    <rPh sb="18" eb="20">
      <t>サンテイ</t>
    </rPh>
    <phoneticPr fontId="3"/>
  </si>
  <si>
    <t>福祉用具貸与</t>
    <phoneticPr fontId="3"/>
  </si>
  <si>
    <t>(介護予防福祉用具貸与)</t>
    <phoneticPr fontId="3"/>
  </si>
  <si>
    <t>※緊急時(介護予防)訪問看護加算</t>
    <phoneticPr fontId="3"/>
  </si>
  <si>
    <t>届出を受理した日からの算定</t>
    <phoneticPr fontId="3"/>
  </si>
  <si>
    <t>通所ﾘﾊﾋﾞﾘﾃｰｼｮﾝ</t>
  </si>
  <si>
    <t>(介護予防通所ﾘﾊﾋﾞﾘﾃｰｼｮﾝ)</t>
    <phoneticPr fontId="3"/>
  </si>
  <si>
    <t>施設指導グループ</t>
  </si>
  <si>
    <t>０６－６９４４－７１０６</t>
  </si>
  <si>
    <t>特定施設入居者生活介護</t>
  </si>
  <si>
    <t>(介護予防特定施設入居者生活介護)</t>
  </si>
  <si>
    <t>単独型</t>
  </si>
  <si>
    <t>(介護予防短期入所生活介護)</t>
  </si>
  <si>
    <t>特養以外の併設型</t>
  </si>
  <si>
    <t>介護老人福祉施設（特別養護老人ホーム）併設型</t>
    <phoneticPr fontId="3"/>
  </si>
  <si>
    <t>届出が受理された月の翌月からの算定</t>
    <rPh sb="0" eb="2">
      <t>トドケデ</t>
    </rPh>
    <rPh sb="3" eb="5">
      <t>ジュリ</t>
    </rPh>
    <rPh sb="8" eb="9">
      <t>ツキ</t>
    </rPh>
    <rPh sb="10" eb="11">
      <t>ヨク</t>
    </rPh>
    <rPh sb="11" eb="12">
      <t>ツキ</t>
    </rPh>
    <rPh sb="15" eb="17">
      <t>サンテイ</t>
    </rPh>
    <phoneticPr fontId="3"/>
  </si>
  <si>
    <t>短期入所療養介護</t>
  </si>
  <si>
    <t>（届出を受理した日が月の初日である場合はその月から）</t>
    <rPh sb="1" eb="3">
      <t>トドケデ</t>
    </rPh>
    <rPh sb="4" eb="6">
      <t>ジュリ</t>
    </rPh>
    <rPh sb="8" eb="9">
      <t>ヒ</t>
    </rPh>
    <rPh sb="10" eb="11">
      <t>ツキ</t>
    </rPh>
    <rPh sb="12" eb="14">
      <t>ショニチ</t>
    </rPh>
    <rPh sb="17" eb="19">
      <t>バアイ</t>
    </rPh>
    <rPh sb="22" eb="23">
      <t>ツキ</t>
    </rPh>
    <phoneticPr fontId="3"/>
  </si>
  <si>
    <t>(介護予防短期入所療養介護)</t>
  </si>
  <si>
    <t>その他</t>
  </si>
  <si>
    <t>介護保険施設</t>
    <rPh sb="0" eb="2">
      <t>カイゴ</t>
    </rPh>
    <rPh sb="2" eb="4">
      <t>ホケン</t>
    </rPh>
    <rPh sb="4" eb="6">
      <t>シセツ</t>
    </rPh>
    <phoneticPr fontId="3"/>
  </si>
  <si>
    <t>介護老人福祉施設（特別養護老人ホーム）</t>
    <phoneticPr fontId="3"/>
  </si>
  <si>
    <t>介護老人保健施設</t>
  </si>
  <si>
    <t>介護医療院</t>
    <rPh sb="0" eb="2">
      <t>カイゴ</t>
    </rPh>
    <rPh sb="2" eb="4">
      <t>イリョウ</t>
    </rPh>
    <rPh sb="4" eb="5">
      <t>イン</t>
    </rPh>
    <phoneticPr fontId="3"/>
  </si>
  <si>
    <t>（2）加算の取り下げや人員欠如による減算等の場合</t>
    <rPh sb="3" eb="5">
      <t>カサン</t>
    </rPh>
    <rPh sb="6" eb="7">
      <t>ト</t>
    </rPh>
    <rPh sb="8" eb="9">
      <t>サ</t>
    </rPh>
    <rPh sb="11" eb="13">
      <t>ジンイン</t>
    </rPh>
    <rPh sb="13" eb="15">
      <t>ケツジョ</t>
    </rPh>
    <rPh sb="18" eb="20">
      <t>ゲンサン</t>
    </rPh>
    <rPh sb="20" eb="21">
      <t>トウ</t>
    </rPh>
    <rPh sb="22" eb="24">
      <t>バアイ</t>
    </rPh>
    <phoneticPr fontId="3"/>
  </si>
  <si>
    <t>事前に連絡の上、速やかに上記（1）の届出先に提出してください。</t>
    <rPh sb="0" eb="2">
      <t>ジゼン</t>
    </rPh>
    <rPh sb="3" eb="5">
      <t>レンラク</t>
    </rPh>
    <rPh sb="6" eb="7">
      <t>ウエ</t>
    </rPh>
    <rPh sb="8" eb="9">
      <t>スミ</t>
    </rPh>
    <rPh sb="12" eb="14">
      <t>ジョウキ</t>
    </rPh>
    <rPh sb="18" eb="20">
      <t>トドケデ</t>
    </rPh>
    <rPh sb="20" eb="21">
      <t>サキ</t>
    </rPh>
    <rPh sb="22" eb="24">
      <t>テイシュツ</t>
    </rPh>
    <phoneticPr fontId="3"/>
  </si>
  <si>
    <t>介護給付費算定に係る体制等に関する届出の受理通知の取扱いについて</t>
    <rPh sb="0" eb="2">
      <t>カイゴ</t>
    </rPh>
    <rPh sb="2" eb="4">
      <t>キュウフ</t>
    </rPh>
    <rPh sb="4" eb="5">
      <t>ヒ</t>
    </rPh>
    <rPh sb="5" eb="7">
      <t>サンテイ</t>
    </rPh>
    <rPh sb="8" eb="9">
      <t>カカ</t>
    </rPh>
    <rPh sb="10" eb="12">
      <t>タイセイ</t>
    </rPh>
    <rPh sb="12" eb="13">
      <t>トウ</t>
    </rPh>
    <rPh sb="14" eb="15">
      <t>カン</t>
    </rPh>
    <rPh sb="17" eb="19">
      <t>トドケデ</t>
    </rPh>
    <rPh sb="20" eb="22">
      <t>ジュリ</t>
    </rPh>
    <rPh sb="22" eb="24">
      <t>ツウチ</t>
    </rPh>
    <rPh sb="25" eb="27">
      <t>トリアツカ</t>
    </rPh>
    <phoneticPr fontId="3"/>
  </si>
  <si>
    <t>　介護給付費算定に係る体制等に関する届出の受理通知については、令和元年８月１日付けの届出分から交付しないことになりました。届出を収受した記録を希望する場合は、来庁受付の際に、内容審査のうえ、控えに収受印を押印します。</t>
    <rPh sb="31" eb="33">
      <t>レイワ</t>
    </rPh>
    <rPh sb="33" eb="35">
      <t>ガンネン</t>
    </rPh>
    <rPh sb="36" eb="37">
      <t>ガツ</t>
    </rPh>
    <rPh sb="38" eb="39">
      <t>ヒ</t>
    </rPh>
    <rPh sb="39" eb="40">
      <t>ツ</t>
    </rPh>
    <rPh sb="42" eb="44">
      <t>トドケデ</t>
    </rPh>
    <rPh sb="44" eb="45">
      <t>ブン</t>
    </rPh>
    <rPh sb="47" eb="49">
      <t>コウフ</t>
    </rPh>
    <rPh sb="61" eb="63">
      <t>トドケデ</t>
    </rPh>
    <rPh sb="79" eb="81">
      <t>ライチョウ</t>
    </rPh>
    <rPh sb="81" eb="83">
      <t>ウケツケ</t>
    </rPh>
    <rPh sb="84" eb="85">
      <t>サイ</t>
    </rPh>
    <rPh sb="87" eb="89">
      <t>ナイヨウ</t>
    </rPh>
    <rPh sb="89" eb="91">
      <t>シンサ</t>
    </rPh>
    <rPh sb="95" eb="96">
      <t>ヒカ</t>
    </rPh>
    <rPh sb="98" eb="100">
      <t>シュウジュ</t>
    </rPh>
    <rPh sb="100" eb="101">
      <t>イン</t>
    </rPh>
    <rPh sb="102" eb="104">
      <t>オウイン</t>
    </rPh>
    <phoneticPr fontId="3"/>
  </si>
  <si>
    <t>【届出を収受した記録を希望する場合】</t>
    <phoneticPr fontId="3"/>
  </si>
  <si>
    <t>　　〇介護給付費算定に係る体制等に関する届出書（別紙２）控え1枚</t>
    <rPh sb="3" eb="5">
      <t>カイゴ</t>
    </rPh>
    <rPh sb="5" eb="7">
      <t>キュウフ</t>
    </rPh>
    <rPh sb="7" eb="8">
      <t>ヒ</t>
    </rPh>
    <rPh sb="8" eb="10">
      <t>サンテイ</t>
    </rPh>
    <rPh sb="11" eb="12">
      <t>カカ</t>
    </rPh>
    <rPh sb="13" eb="15">
      <t>タイセイ</t>
    </rPh>
    <rPh sb="15" eb="16">
      <t>トウ</t>
    </rPh>
    <rPh sb="17" eb="18">
      <t>カン</t>
    </rPh>
    <rPh sb="20" eb="23">
      <t>トドケデショ</t>
    </rPh>
    <rPh sb="24" eb="26">
      <t>ベッシ</t>
    </rPh>
    <rPh sb="28" eb="29">
      <t>ヒカ</t>
    </rPh>
    <rPh sb="31" eb="32">
      <t>マイ</t>
    </rPh>
    <phoneticPr fontId="3"/>
  </si>
  <si>
    <t>※収受印を押印した届出書の控えは、届出を収受した日付の記録です。届出にある加算が算定できることを証明するものではありません。</t>
    <rPh sb="1" eb="3">
      <t>シュウジュ</t>
    </rPh>
    <rPh sb="3" eb="4">
      <t>イン</t>
    </rPh>
    <rPh sb="5" eb="7">
      <t>オウイン</t>
    </rPh>
    <rPh sb="9" eb="12">
      <t>トドケデショ</t>
    </rPh>
    <rPh sb="13" eb="14">
      <t>ヒカ</t>
    </rPh>
    <rPh sb="17" eb="19">
      <t>トドケデ</t>
    </rPh>
    <rPh sb="20" eb="22">
      <t>シュウジュ</t>
    </rPh>
    <rPh sb="24" eb="26">
      <t>ヒヅケ</t>
    </rPh>
    <rPh sb="27" eb="29">
      <t>キロク</t>
    </rPh>
    <rPh sb="32" eb="34">
      <t>トドケデ</t>
    </rPh>
    <rPh sb="37" eb="39">
      <t>カサン</t>
    </rPh>
    <rPh sb="40" eb="42">
      <t>サンテイ</t>
    </rPh>
    <rPh sb="48" eb="50">
      <t>ショウメイ</t>
    </rPh>
    <phoneticPr fontId="3"/>
  </si>
  <si>
    <t>※届出を収受した以降、必要に応じて書類の補正や追加書類の提出を求める場合があります。</t>
    <rPh sb="1" eb="3">
      <t>トドケデ</t>
    </rPh>
    <rPh sb="4" eb="6">
      <t>シュウジュ</t>
    </rPh>
    <rPh sb="8" eb="10">
      <t>イコウ</t>
    </rPh>
    <rPh sb="11" eb="13">
      <t>ヒツヨウ</t>
    </rPh>
    <rPh sb="14" eb="15">
      <t>オウ</t>
    </rPh>
    <rPh sb="17" eb="19">
      <t>ショルイ</t>
    </rPh>
    <rPh sb="20" eb="22">
      <t>ホセイ</t>
    </rPh>
    <rPh sb="23" eb="25">
      <t>ツイカ</t>
    </rPh>
    <rPh sb="25" eb="27">
      <t>ショルイ</t>
    </rPh>
    <rPh sb="28" eb="30">
      <t>テイシュツ</t>
    </rPh>
    <rPh sb="31" eb="32">
      <t>モト</t>
    </rPh>
    <rPh sb="34" eb="36">
      <t>バアイ</t>
    </rPh>
    <phoneticPr fontId="3"/>
  </si>
  <si>
    <t>介護給付費算定に係る体制等に関する届出【介護老人保健施設】</t>
    <rPh sb="0" eb="2">
      <t>カイゴ</t>
    </rPh>
    <rPh sb="2" eb="4">
      <t>キュウフ</t>
    </rPh>
    <rPh sb="4" eb="5">
      <t>ヒ</t>
    </rPh>
    <rPh sb="5" eb="7">
      <t>サンテイ</t>
    </rPh>
    <rPh sb="8" eb="9">
      <t>カカ</t>
    </rPh>
    <rPh sb="10" eb="12">
      <t>タイセイ</t>
    </rPh>
    <rPh sb="12" eb="13">
      <t>トウ</t>
    </rPh>
    <rPh sb="14" eb="15">
      <t>カン</t>
    </rPh>
    <rPh sb="17" eb="19">
      <t>トドケデ</t>
    </rPh>
    <rPh sb="20" eb="22">
      <t>カイゴ</t>
    </rPh>
    <rPh sb="22" eb="24">
      <t>ロウジン</t>
    </rPh>
    <rPh sb="24" eb="26">
      <t>ホケン</t>
    </rPh>
    <rPh sb="26" eb="28">
      <t>シセツ</t>
    </rPh>
    <phoneticPr fontId="3"/>
  </si>
  <si>
    <t>〇</t>
    <phoneticPr fontId="3"/>
  </si>
  <si>
    <t>介護給付費算定に係る体制等に関する届出書＜指定事業者用＞</t>
    <phoneticPr fontId="3"/>
  </si>
  <si>
    <t>名　称</t>
    <phoneticPr fontId="3"/>
  </si>
  <si>
    <t>代表者の職・氏名</t>
    <phoneticPr fontId="3"/>
  </si>
  <si>
    <t>このことについて、関係書類を添えて以下のとおり届け出ます。</t>
    <phoneticPr fontId="3"/>
  </si>
  <si>
    <t>(郵便番号</t>
    <phoneticPr fontId="3"/>
  </si>
  <si>
    <t>ー</t>
    <phoneticPr fontId="3"/>
  </si>
  <si>
    <t>指定（許可）</t>
    <rPh sb="0" eb="2">
      <t>シテイ</t>
    </rPh>
    <rPh sb="3" eb="5">
      <t>キョカ</t>
    </rPh>
    <phoneticPr fontId="3"/>
  </si>
  <si>
    <t>2変更</t>
    <phoneticPr fontId="3"/>
  </si>
  <si>
    <t>3終了</t>
    <phoneticPr fontId="3"/>
  </si>
  <si>
    <t>訪問看護</t>
  </si>
  <si>
    <t>居宅療養管理指導</t>
  </si>
  <si>
    <t>特定施設入居者生活介護</t>
    <rPh sb="5" eb="6">
      <t>キョ</t>
    </rPh>
    <phoneticPr fontId="3"/>
  </si>
  <si>
    <t>介護予防訪問看護</t>
    <rPh sb="0" eb="2">
      <t>カイゴ</t>
    </rPh>
    <rPh sb="2" eb="4">
      <t>ヨボウ</t>
    </rPh>
    <phoneticPr fontId="3"/>
  </si>
  <si>
    <t>介護予防訪問ﾘﾊﾋﾞﾘﾃｰｼｮﾝ</t>
    <rPh sb="0" eb="2">
      <t>カイゴ</t>
    </rPh>
    <rPh sb="2" eb="4">
      <t>ヨボウ</t>
    </rPh>
    <phoneticPr fontId="3"/>
  </si>
  <si>
    <t>介護予防居宅療養管理指導</t>
    <rPh sb="0" eb="2">
      <t>カイゴ</t>
    </rPh>
    <rPh sb="2" eb="4">
      <t>ヨボウ</t>
    </rPh>
    <phoneticPr fontId="3"/>
  </si>
  <si>
    <t>介護予防通所ﾘﾊﾋﾞﾘﾃｰｼｮﾝ</t>
    <rPh sb="0" eb="2">
      <t>カイゴ</t>
    </rPh>
    <rPh sb="2" eb="4">
      <t>ヨボウ</t>
    </rPh>
    <phoneticPr fontId="3"/>
  </si>
  <si>
    <t>介護予防短期入所療養介護</t>
    <rPh sb="0" eb="2">
      <t>カイゴ</t>
    </rPh>
    <rPh sb="2" eb="4">
      <t>ヨボウ</t>
    </rPh>
    <phoneticPr fontId="3"/>
  </si>
  <si>
    <t>介護予防特定施設入居者生活介護</t>
    <rPh sb="0" eb="2">
      <t>カイゴ</t>
    </rPh>
    <rPh sb="2" eb="4">
      <t>ヨボウ</t>
    </rPh>
    <rPh sb="9" eb="10">
      <t>キョ</t>
    </rPh>
    <phoneticPr fontId="3"/>
  </si>
  <si>
    <t>令和</t>
    <rPh sb="0" eb="2">
      <t>レイワ</t>
    </rPh>
    <phoneticPr fontId="3"/>
  </si>
  <si>
    <t>備考</t>
    <rPh sb="0" eb="2">
      <t>ビコウ</t>
    </rPh>
    <phoneticPr fontId="3"/>
  </si>
  <si>
    <t>施設名</t>
    <rPh sb="0" eb="2">
      <t>シセツ</t>
    </rPh>
    <rPh sb="2" eb="3">
      <t>メイ</t>
    </rPh>
    <phoneticPr fontId="3"/>
  </si>
  <si>
    <t>区分</t>
    <rPh sb="0" eb="2">
      <t>クブン</t>
    </rPh>
    <phoneticPr fontId="3"/>
  </si>
  <si>
    <t>夜勤時間帯</t>
    <rPh sb="0" eb="2">
      <t>ヤキン</t>
    </rPh>
    <rPh sb="2" eb="5">
      <t>ジカンタイ</t>
    </rPh>
    <phoneticPr fontId="3"/>
  </si>
  <si>
    <t>計算月</t>
    <rPh sb="0" eb="2">
      <t>ケイサン</t>
    </rPh>
    <rPh sb="2" eb="3">
      <t>ツキ</t>
    </rPh>
    <phoneticPr fontId="3"/>
  </si>
  <si>
    <t>１　夜勤を行う看護職員又は介護職員の数（１日平均夜勤職員数）</t>
    <phoneticPr fontId="3"/>
  </si>
  <si>
    <t>←</t>
    <phoneticPr fontId="3"/>
  </si>
  <si>
    <t>計算月における看護職員又は介護職員の延夜勤時間数</t>
  </si>
  <si>
    <t>月の日数（イ）</t>
    <rPh sb="0" eb="1">
      <t>ツキ</t>
    </rPh>
    <rPh sb="2" eb="4">
      <t>ニッスウ</t>
    </rPh>
    <phoneticPr fontId="3"/>
  </si>
  <si>
    <t>←</t>
    <phoneticPr fontId="3"/>
  </si>
  <si>
    <t>暦月（２８～３１日）</t>
    <rPh sb="0" eb="1">
      <t>コヨミ</t>
    </rPh>
    <rPh sb="1" eb="2">
      <t>ツキ</t>
    </rPh>
    <rPh sb="8" eb="9">
      <t>ニチ</t>
    </rPh>
    <phoneticPr fontId="3"/>
  </si>
  <si>
    <t>１日平均夜勤職員数（ウ）</t>
    <phoneticPr fontId="3"/>
  </si>
  <si>
    <t>２　夜勤職員基準</t>
    <rPh sb="2" eb="4">
      <t>ヤキン</t>
    </rPh>
    <rPh sb="4" eb="6">
      <t>ショクイン</t>
    </rPh>
    <rPh sb="6" eb="8">
      <t>キジュン</t>
    </rPh>
    <phoneticPr fontId="3"/>
  </si>
  <si>
    <t>＝</t>
    <phoneticPr fontId="3"/>
  </si>
  <si>
    <t>（エ）</t>
    <phoneticPr fontId="3"/>
  </si>
  <si>
    <t>←　</t>
    <phoneticPr fontId="3"/>
  </si>
  <si>
    <t>小数点第1位以下の端数は切上げ</t>
    <rPh sb="3" eb="4">
      <t>ダイ</t>
    </rPh>
    <rPh sb="9" eb="11">
      <t>ハスウ</t>
    </rPh>
    <phoneticPr fontId="3"/>
  </si>
  <si>
    <t>計算結果が２未満の場合、２とする</t>
    <rPh sb="0" eb="2">
      <t>ケイサン</t>
    </rPh>
    <rPh sb="2" eb="4">
      <t>ケッカ</t>
    </rPh>
    <rPh sb="6" eb="8">
      <t>ミマン</t>
    </rPh>
    <phoneticPr fontId="3"/>
  </si>
  <si>
    <t>÷</t>
    <phoneticPr fontId="3"/>
  </si>
  <si>
    <t>＝</t>
    <phoneticPr fontId="3"/>
  </si>
  <si>
    <t>（オ）</t>
    <phoneticPr fontId="3"/>
  </si>
  <si>
    <t>←　</t>
    <phoneticPr fontId="3"/>
  </si>
  <si>
    <t>計算結果が１未満の場合、１とする</t>
    <rPh sb="0" eb="2">
      <t>ケイサン</t>
    </rPh>
    <rPh sb="2" eb="4">
      <t>ケッカ</t>
    </rPh>
    <rPh sb="6" eb="8">
      <t>ミマン</t>
    </rPh>
    <phoneticPr fontId="3"/>
  </si>
  <si>
    <t>：介護老人保健施設の入所者の数、短期入所療養介護の利用者の数及び介護予防短期入所療養介護の利用者の数を合わせた数</t>
    <rPh sb="1" eb="3">
      <t>カイゴ</t>
    </rPh>
    <rPh sb="3" eb="5">
      <t>ロウジン</t>
    </rPh>
    <rPh sb="5" eb="7">
      <t>ホケン</t>
    </rPh>
    <rPh sb="7" eb="9">
      <t>シセツ</t>
    </rPh>
    <rPh sb="10" eb="13">
      <t>ニュウショシャ</t>
    </rPh>
    <rPh sb="14" eb="15">
      <t>カズ</t>
    </rPh>
    <rPh sb="16" eb="18">
      <t>タンキ</t>
    </rPh>
    <rPh sb="18" eb="20">
      <t>ニュウショ</t>
    </rPh>
    <rPh sb="20" eb="22">
      <t>リョウヨウ</t>
    </rPh>
    <rPh sb="22" eb="24">
      <t>カイゴ</t>
    </rPh>
    <rPh sb="25" eb="28">
      <t>リヨウシャ</t>
    </rPh>
    <rPh sb="29" eb="30">
      <t>カズ</t>
    </rPh>
    <rPh sb="30" eb="31">
      <t>オヨ</t>
    </rPh>
    <rPh sb="32" eb="34">
      <t>カイゴ</t>
    </rPh>
    <rPh sb="34" eb="36">
      <t>ヨボウ</t>
    </rPh>
    <rPh sb="36" eb="38">
      <t>タンキ</t>
    </rPh>
    <rPh sb="38" eb="40">
      <t>ニュウショ</t>
    </rPh>
    <rPh sb="40" eb="42">
      <t>リョウヨウ</t>
    </rPh>
    <rPh sb="42" eb="44">
      <t>カイゴ</t>
    </rPh>
    <rPh sb="45" eb="48">
      <t>リヨウシャ</t>
    </rPh>
    <rPh sb="49" eb="50">
      <t>カズ</t>
    </rPh>
    <rPh sb="51" eb="52">
      <t>ア</t>
    </rPh>
    <rPh sb="55" eb="56">
      <t>カズ</t>
    </rPh>
    <phoneticPr fontId="3"/>
  </si>
  <si>
    <t>１日平均夜勤職員数（ウ）</t>
    <phoneticPr fontId="3"/>
  </si>
  <si>
    <t>＞</t>
    <phoneticPr fontId="3"/>
  </si>
  <si>
    <t>認知症ケア加算を算定している場合</t>
    <rPh sb="0" eb="3">
      <t>ニンチショウ</t>
    </rPh>
    <rPh sb="5" eb="7">
      <t>カサン</t>
    </rPh>
    <rPh sb="8" eb="10">
      <t>サンテイ</t>
    </rPh>
    <phoneticPr fontId="3"/>
  </si>
  <si>
    <t>　</t>
    <phoneticPr fontId="3"/>
  </si>
  <si>
    <t>□</t>
    <phoneticPr fontId="3"/>
  </si>
  <si>
    <t>□</t>
    <phoneticPr fontId="3"/>
  </si>
  <si>
    <t>■</t>
    <phoneticPr fontId="3"/>
  </si>
  <si>
    <t>時</t>
    <rPh sb="0" eb="1">
      <t>ジ</t>
    </rPh>
    <phoneticPr fontId="3"/>
  </si>
  <si>
    <t>分</t>
    <rPh sb="0" eb="1">
      <t>フン</t>
    </rPh>
    <phoneticPr fontId="3"/>
  </si>
  <si>
    <t>～</t>
    <phoneticPr fontId="3"/>
  </si>
  <si>
    <t>翌朝</t>
    <rPh sb="0" eb="2">
      <t>ヨクアサ</t>
    </rPh>
    <phoneticPr fontId="3"/>
  </si>
  <si>
    <t>　　　</t>
    <phoneticPr fontId="3"/>
  </si>
  <si>
    <t>（１６時間）　←施設が決める午後１０時から午前５時を含む連続する１６時間</t>
    <phoneticPr fontId="3"/>
  </si>
  <si>
    <t>介護老人保健施設（一般棟）</t>
    <rPh sb="0" eb="2">
      <t>カイゴ</t>
    </rPh>
    <rPh sb="2" eb="4">
      <t>ロウジン</t>
    </rPh>
    <rPh sb="4" eb="6">
      <t>ホケン</t>
    </rPh>
    <rPh sb="6" eb="8">
      <t>シセツ</t>
    </rPh>
    <rPh sb="9" eb="11">
      <t>イッパン</t>
    </rPh>
    <rPh sb="11" eb="12">
      <t>トウ</t>
    </rPh>
    <phoneticPr fontId="3"/>
  </si>
  <si>
    <t>ユニット部分</t>
    <phoneticPr fontId="3"/>
  </si>
  <si>
    <t>認知症専門棟</t>
    <phoneticPr fontId="3"/>
  </si>
  <si>
    <t>←　</t>
    <phoneticPr fontId="3"/>
  </si>
  <si>
    <t>※（ア）の算定根拠を別途記録しておいてください。</t>
    <phoneticPr fontId="3"/>
  </si>
  <si>
    <t>計算月の延夜勤時間数（ア）※</t>
    <rPh sb="0" eb="2">
      <t>ケイサン</t>
    </rPh>
    <rPh sb="2" eb="3">
      <t>ツキ</t>
    </rPh>
    <rPh sb="4" eb="5">
      <t>ノ</t>
    </rPh>
    <rPh sb="5" eb="7">
      <t>ヤキン</t>
    </rPh>
    <rPh sb="7" eb="9">
      <t>ジカン</t>
    </rPh>
    <rPh sb="9" eb="10">
      <t>スウ</t>
    </rPh>
    <phoneticPr fontId="3"/>
  </si>
  <si>
    <t>※入所者等の数</t>
    <rPh sb="1" eb="4">
      <t>ニュウショシャ</t>
    </rPh>
    <rPh sb="4" eb="5">
      <t>トウ</t>
    </rPh>
    <rPh sb="6" eb="7">
      <t>カズ</t>
    </rPh>
    <phoneticPr fontId="3"/>
  </si>
  <si>
    <t>入所者等の数</t>
    <rPh sb="0" eb="3">
      <t>ニュウショシャ</t>
    </rPh>
    <rPh sb="3" eb="4">
      <t>トウ</t>
    </rPh>
    <rPh sb="5" eb="6">
      <t>カズ</t>
    </rPh>
    <phoneticPr fontId="3"/>
  </si>
  <si>
    <t>（２）入所者等の数が、４０以下の介護老人保健施設</t>
    <rPh sb="3" eb="6">
      <t>ニュウショシャ</t>
    </rPh>
    <rPh sb="6" eb="7">
      <t>トウ</t>
    </rPh>
    <rPh sb="8" eb="9">
      <t>カズ</t>
    </rPh>
    <rPh sb="13" eb="15">
      <t>イカ</t>
    </rPh>
    <rPh sb="16" eb="18">
      <t>カイゴ</t>
    </rPh>
    <rPh sb="18" eb="20">
      <t>ロウジン</t>
    </rPh>
    <rPh sb="20" eb="22">
      <t>ホケン</t>
    </rPh>
    <rPh sb="22" eb="24">
      <t>シセツ</t>
    </rPh>
    <phoneticPr fontId="3"/>
  </si>
  <si>
    <t>（１）入所者等の数が、４１以上の介護老人保健施設</t>
    <rPh sb="3" eb="6">
      <t>ニュウショシャ</t>
    </rPh>
    <rPh sb="6" eb="7">
      <t>トウ</t>
    </rPh>
    <rPh sb="8" eb="9">
      <t>カズ</t>
    </rPh>
    <rPh sb="13" eb="15">
      <t>イジョウ</t>
    </rPh>
    <rPh sb="16" eb="18">
      <t>カイゴ</t>
    </rPh>
    <rPh sb="18" eb="20">
      <t>ロウジン</t>
    </rPh>
    <rPh sb="20" eb="22">
      <t>ホケン</t>
    </rPh>
    <rPh sb="22" eb="24">
      <t>シセツ</t>
    </rPh>
    <phoneticPr fontId="3"/>
  </si>
  <si>
    <t>３　夜勤職員配置加算算定</t>
    <rPh sb="2" eb="4">
      <t>ヤキン</t>
    </rPh>
    <rPh sb="4" eb="6">
      <t>ショクイン</t>
    </rPh>
    <rPh sb="6" eb="8">
      <t>ハイチ</t>
    </rPh>
    <rPh sb="8" eb="10">
      <t>カサン</t>
    </rPh>
    <rPh sb="10" eb="12">
      <t>サンテイ</t>
    </rPh>
    <phoneticPr fontId="3"/>
  </si>
  <si>
    <t>（エ）</t>
    <phoneticPr fontId="3"/>
  </si>
  <si>
    <t>（オ）</t>
    <phoneticPr fontId="3"/>
  </si>
  <si>
    <t>又は</t>
    <phoneticPr fontId="3"/>
  </si>
  <si>
    <t>【短期療養：第2号イ（１）（一）準用】</t>
    <phoneticPr fontId="3"/>
  </si>
  <si>
    <t>介護保健施設サービス費（Ⅱ）</t>
  </si>
  <si>
    <t>【短期療養：第2号イ（１）（二）準用】</t>
    <rPh sb="14" eb="15">
      <t>２</t>
    </rPh>
    <phoneticPr fontId="3"/>
  </si>
  <si>
    <t>介護保健施設サービス費（Ⅲ）</t>
  </si>
  <si>
    <t>【短期療養：第2号イ（１）（三）準用】</t>
    <rPh sb="14" eb="15">
      <t>３</t>
    </rPh>
    <phoneticPr fontId="3"/>
  </si>
  <si>
    <t>ユニット型介護保健施設サービス費（Ⅰ）又は（Ⅳ）</t>
    <rPh sb="4" eb="5">
      <t>ガタ</t>
    </rPh>
    <phoneticPr fontId="3"/>
  </si>
  <si>
    <t>ユニット型介護保健施設サービス費（Ⅱ）</t>
  </si>
  <si>
    <t>ユニット型介護保健施設サービス費（Ⅲ）</t>
  </si>
  <si>
    <t>【短期療養：第2号イ（2）（三）準用】</t>
    <rPh sb="14" eb="15">
      <t>３</t>
    </rPh>
    <phoneticPr fontId="3"/>
  </si>
  <si>
    <t>【短期療養：第2号イ（2）（二）準用】</t>
    <rPh sb="14" eb="15">
      <t>２</t>
    </rPh>
    <phoneticPr fontId="3"/>
  </si>
  <si>
    <t>【短期療養：第2号イ（2）（一）準用】</t>
    <phoneticPr fontId="3"/>
  </si>
  <si>
    <t>入所者等の数が、４１以上の介護老人保健施設</t>
    <phoneticPr fontId="3"/>
  </si>
  <si>
    <t>介護保健施設サービス費（Ⅰ）又は（Ⅳ）</t>
    <phoneticPr fontId="3"/>
  </si>
  <si>
    <t>入所者等の数が、４0以下の介護老人保健施設</t>
    <rPh sb="10" eb="12">
      <t>イカ</t>
    </rPh>
    <phoneticPr fontId="3"/>
  </si>
  <si>
    <t>常時、緊急時の連絡体制を整備している</t>
    <phoneticPr fontId="3"/>
  </si>
  <si>
    <t>入所者等の数が、４１以上の介護老人保健施設</t>
    <phoneticPr fontId="3"/>
  </si>
  <si>
    <t>【１】入所者等の数</t>
    <rPh sb="3" eb="6">
      <t>ニュウショシャ</t>
    </rPh>
    <rPh sb="6" eb="7">
      <t>トウ</t>
    </rPh>
    <rPh sb="8" eb="9">
      <t>スウ</t>
    </rPh>
    <phoneticPr fontId="3"/>
  </si>
  <si>
    <t>夜勤職員配置及び夜勤職員配置加算算定表</t>
    <rPh sb="6" eb="7">
      <t>オヨ</t>
    </rPh>
    <rPh sb="8" eb="10">
      <t>ヤキン</t>
    </rPh>
    <rPh sb="10" eb="12">
      <t>ショクイン</t>
    </rPh>
    <rPh sb="12" eb="14">
      <t>ハイチ</t>
    </rPh>
    <phoneticPr fontId="3"/>
  </si>
  <si>
    <t>【２】夜勤を行う介護職員又は看護職員の数（夜勤職員の数）</t>
    <rPh sb="21" eb="23">
      <t>ヤキン</t>
    </rPh>
    <rPh sb="23" eb="25">
      <t>ショクイン</t>
    </rPh>
    <rPh sb="26" eb="27">
      <t>スウ</t>
    </rPh>
    <phoneticPr fontId="3"/>
  </si>
  <si>
    <t>（夜勤職員の数：2以上）</t>
    <rPh sb="1" eb="3">
      <t>ヤキン</t>
    </rPh>
    <rPh sb="3" eb="5">
      <t>ショクイン</t>
    </rPh>
    <rPh sb="6" eb="7">
      <t>スウ</t>
    </rPh>
    <rPh sb="9" eb="11">
      <t>イジョウ</t>
    </rPh>
    <phoneticPr fontId="3"/>
  </si>
  <si>
    <t>（夜勤職員の数：1以上）</t>
    <rPh sb="9" eb="11">
      <t>イジョウ</t>
    </rPh>
    <phoneticPr fontId="3"/>
  </si>
  <si>
    <t>　1又は2の病棟を有する病院が介護老人保健施設基準附則第13条に規定する転換を行って開設した介護老人保健施設であること（1の病棟の一部のみが介護老人保健施設に転換した場合に限る）。</t>
    <phoneticPr fontId="3"/>
  </si>
  <si>
    <t>ⅰ</t>
    <phoneticPr fontId="3"/>
  </si>
  <si>
    <t>ⅱ</t>
    <phoneticPr fontId="3"/>
  </si>
  <si>
    <t>ⅲ</t>
    <phoneticPr fontId="3"/>
  </si>
  <si>
    <t>a</t>
    <phoneticPr fontId="3"/>
  </si>
  <si>
    <t>a</t>
    <phoneticPr fontId="3"/>
  </si>
  <si>
    <t>・</t>
    <phoneticPr fontId="3"/>
  </si>
  <si>
    <t>・</t>
    <phoneticPr fontId="3"/>
  </si>
  <si>
    <t>・</t>
    <phoneticPr fontId="3"/>
  </si>
  <si>
    <t>ｂ</t>
    <phoneticPr fontId="3"/>
  </si>
  <si>
    <t>　病院又は夜勤を行う看護職員若しくは介護職員の数が1以上である一般病床若しくは療養病床を有する診療所に併設する介護老人保健施設であること。</t>
    <phoneticPr fontId="3"/>
  </si>
  <si>
    <t>　併設する病院又は一般病床若しくは療養病床を有する診療所の入院患者、短期療養の利用者の数及び当該施設の入所者数の合計が120以下であること。</t>
    <phoneticPr fontId="3"/>
  </si>
  <si>
    <t>　夜勤を行う看護職員の数が利用者等の数を41で除して得た数以上であること。</t>
    <phoneticPr fontId="3"/>
  </si>
  <si>
    <t>　看護職員により、又は病院、診療所若しくは訪問看護ステーションとの連携により、夜勤時間帯を通じて連絡体制を整備し、かつ必要に応じて診療の補助を行う体制を整備していること。</t>
    <phoneticPr fontId="3"/>
  </si>
  <si>
    <t>ｃ</t>
    <phoneticPr fontId="3"/>
  </si>
  <si>
    <t>　ａの規定にかかわらず、病院が転換した介護老人保健施設であって、次に掲げる要件のいずれにも適合しているものについては、夜勤を行う看護職員又は介護職員を置かないことができる。</t>
    <phoneticPr fontId="3"/>
  </si>
  <si>
    <t>　1又は2の病棟を有する病院が転換を行って開設した介護老人保健施設であること（1の病棟の一部のみが介護老人保健施設に転換を行って開設した場合に限る）。</t>
    <phoneticPr fontId="3"/>
  </si>
  <si>
    <t>　病院に併設する介護老人保健施設であること。</t>
    <phoneticPr fontId="3"/>
  </si>
  <si>
    <t>　併設する病院の入院患者、短期療養の利用者の数及び当該施設の入所者数の合計が120以下であること。</t>
    <phoneticPr fontId="3"/>
  </si>
  <si>
    <t>ｄ</t>
    <phoneticPr fontId="3"/>
  </si>
  <si>
    <t>　ａの規定にかかわらず、一般病床又は療養病床を有する診療所が転換を行って開設した介護老人保健施設であって、次に掲げる要件のいずれにも適合しているものについては、夜勤を行う看護職員又は介護職員を置かないことができる。</t>
    <phoneticPr fontId="3"/>
  </si>
  <si>
    <t>　併設する病院の入院患者、短期療養の利用者の数及び当該施設の入所者数の合計が19以下であること。</t>
    <phoneticPr fontId="3"/>
  </si>
  <si>
    <t>　夜勤を行う看護職員又は介護職員の数が1以上である一般病床又は療養病床を有する診療所に併設する介護老人保健施設であること。</t>
    <phoneticPr fontId="3"/>
  </si>
  <si>
    <t>　２ユニットごとに夜勤を行う看護職員又は介護職員の数が１以上であること。</t>
  </si>
  <si>
    <t>ユニット合計数：</t>
    <phoneticPr fontId="3"/>
  </si>
  <si>
    <t>（施設：</t>
    <rPh sb="1" eb="3">
      <t>シセツ</t>
    </rPh>
    <phoneticPr fontId="3"/>
  </si>
  <si>
    <t>+</t>
    <phoneticPr fontId="3"/>
  </si>
  <si>
    <t>短期：</t>
    <rPh sb="0" eb="2">
      <t>タンキ</t>
    </rPh>
    <phoneticPr fontId="3"/>
  </si>
  <si>
    <t>）</t>
    <phoneticPr fontId="3"/>
  </si>
  <si>
    <t>ユニット÷</t>
    <phoneticPr fontId="3"/>
  </si>
  <si>
    <t>↓</t>
    <phoneticPr fontId="3"/>
  </si>
  <si>
    <t>夜勤看護職員の数</t>
    <rPh sb="0" eb="2">
      <t>ヤキン</t>
    </rPh>
    <rPh sb="2" eb="4">
      <t>カンゴ</t>
    </rPh>
    <rPh sb="4" eb="6">
      <t>ショクイン</t>
    </rPh>
    <rPh sb="7" eb="8">
      <t>スウ</t>
    </rPh>
    <phoneticPr fontId="3"/>
  </si>
  <si>
    <t>入所者等数</t>
    <rPh sb="0" eb="3">
      <t>ニュウショシャ</t>
    </rPh>
    <rPh sb="3" eb="4">
      <t>トウ</t>
    </rPh>
    <rPh sb="4" eb="5">
      <t>スウ</t>
    </rPh>
    <phoneticPr fontId="3"/>
  </si>
  <si>
    <t>÷</t>
    <phoneticPr fontId="3"/>
  </si>
  <si>
    <t>＝</t>
    <phoneticPr fontId="3"/>
  </si>
  <si>
    <t>【３】夜勤職員配置加算</t>
    <rPh sb="5" eb="7">
      <t>ショクイン</t>
    </rPh>
    <rPh sb="7" eb="9">
      <t>ハイチ</t>
    </rPh>
    <rPh sb="9" eb="11">
      <t>カサン</t>
    </rPh>
    <phoneticPr fontId="3"/>
  </si>
  <si>
    <t>【厚生労働大臣が定める夜勤を行う職員の勤務条件に関する基準】第6号「介護保健施設サービスの夜勤を行う職員の勤務条件に関する基準」ハ</t>
    <rPh sb="11" eb="13">
      <t>ヤキン</t>
    </rPh>
    <rPh sb="14" eb="15">
      <t>オコナ</t>
    </rPh>
    <rPh sb="16" eb="18">
      <t>ショクイン</t>
    </rPh>
    <rPh sb="19" eb="21">
      <t>キンム</t>
    </rPh>
    <rPh sb="21" eb="23">
      <t>ジョウケン</t>
    </rPh>
    <rPh sb="24" eb="25">
      <t>カン</t>
    </rPh>
    <rPh sb="27" eb="29">
      <t>キジュン</t>
    </rPh>
    <rPh sb="30" eb="31">
      <t>ダイ</t>
    </rPh>
    <rPh sb="32" eb="33">
      <t>ゴウ</t>
    </rPh>
    <phoneticPr fontId="3"/>
  </si>
  <si>
    <t>【厚生労働大臣が定める夜勤を行う職員の勤務条件に関する基準】第6号「介護保健施設サービスの夜勤を行う職員の勤務条件に関する基準」イロ</t>
    <rPh sb="11" eb="13">
      <t>ヤキン</t>
    </rPh>
    <rPh sb="14" eb="15">
      <t>オコナ</t>
    </rPh>
    <rPh sb="16" eb="18">
      <t>ショクイン</t>
    </rPh>
    <rPh sb="19" eb="21">
      <t>キンム</t>
    </rPh>
    <rPh sb="21" eb="23">
      <t>ジョウケン</t>
    </rPh>
    <rPh sb="24" eb="25">
      <t>カン</t>
    </rPh>
    <rPh sb="27" eb="29">
      <t>キジュン</t>
    </rPh>
    <rPh sb="30" eb="31">
      <t>ダイ</t>
    </rPh>
    <rPh sb="32" eb="33">
      <t>ゴウ</t>
    </rPh>
    <phoneticPr fontId="3"/>
  </si>
  <si>
    <t>利用者等の数が20又はその端数を増すごとに1以上であり、かつ、2を超えていること。</t>
    <phoneticPr fontId="3"/>
  </si>
  <si>
    <t>利用者等の数が20又はその端数を増すごとに1以上であり、かつ、1を超えていること。</t>
    <phoneticPr fontId="3"/>
  </si>
  <si>
    <r>
      <t>（ア）／（（イ）×１６時間）</t>
    </r>
    <r>
      <rPr>
        <sz val="10"/>
        <color indexed="10"/>
        <rFont val="HGPｺﾞｼｯｸM"/>
        <family val="3"/>
        <charset val="128"/>
      </rPr>
      <t>※小数点第３位以下切捨て</t>
    </r>
    <phoneticPr fontId="3"/>
  </si>
  <si>
    <r>
      <t>１） 介護老人保健施設の入所者数：</t>
    </r>
    <r>
      <rPr>
        <u/>
        <sz val="10"/>
        <rFont val="HGPｺﾞｼｯｸM"/>
        <family val="3"/>
        <charset val="128"/>
      </rPr>
      <t/>
    </r>
    <rPh sb="3" eb="5">
      <t>カイゴ</t>
    </rPh>
    <rPh sb="5" eb="7">
      <t>ロウジン</t>
    </rPh>
    <rPh sb="7" eb="9">
      <t>ホケン</t>
    </rPh>
    <rPh sb="9" eb="11">
      <t>シセツ</t>
    </rPh>
    <rPh sb="12" eb="15">
      <t>ニュウショシャ</t>
    </rPh>
    <rPh sb="15" eb="16">
      <t>スウ</t>
    </rPh>
    <phoneticPr fontId="4"/>
  </si>
  <si>
    <r>
      <t>２） 短期入所療養介護の利用者数：</t>
    </r>
    <r>
      <rPr>
        <u/>
        <sz val="10"/>
        <rFont val="HGPｺﾞｼｯｸM"/>
        <family val="3"/>
        <charset val="128"/>
      </rPr>
      <t/>
    </r>
    <rPh sb="3" eb="5">
      <t>タンキ</t>
    </rPh>
    <rPh sb="5" eb="7">
      <t>ニュウショ</t>
    </rPh>
    <rPh sb="7" eb="9">
      <t>リョウヨウ</t>
    </rPh>
    <rPh sb="9" eb="11">
      <t>カイゴ</t>
    </rPh>
    <rPh sb="12" eb="15">
      <t>リヨウシャ</t>
    </rPh>
    <rPh sb="15" eb="16">
      <t>スウ</t>
    </rPh>
    <phoneticPr fontId="4"/>
  </si>
  <si>
    <t>３） 入所者等の数（1+2）：</t>
    <phoneticPr fontId="3"/>
  </si>
  <si>
    <r>
      <t>（</t>
    </r>
    <r>
      <rPr>
        <b/>
        <sz val="12"/>
        <color indexed="10"/>
        <rFont val="HGPｺﾞｼｯｸM"/>
        <family val="3"/>
        <charset val="128"/>
      </rPr>
      <t>介護老人保健施設</t>
    </r>
    <r>
      <rPr>
        <b/>
        <sz val="12"/>
        <rFont val="HGPｺﾞｼｯｸM"/>
        <family val="3"/>
        <charset val="128"/>
      </rPr>
      <t>）　</t>
    </r>
    <rPh sb="1" eb="3">
      <t>カイゴ</t>
    </rPh>
    <rPh sb="3" eb="5">
      <t>ロウジン</t>
    </rPh>
    <rPh sb="5" eb="7">
      <t>ホケン</t>
    </rPh>
    <rPh sb="7" eb="9">
      <t>シセツ</t>
    </rPh>
    <phoneticPr fontId="3"/>
  </si>
  <si>
    <t>　認知症専門棟とそれ以外の部分を、それぞれ別の算定表で分けて計算をしてください。
　夜勤職員配置加算の基準は、認知症専門棟とそれ以外の部分のそれぞれで満たさなければなりません。</t>
    <rPh sb="1" eb="4">
      <t>ニンチショウ</t>
    </rPh>
    <rPh sb="4" eb="6">
      <t>センモン</t>
    </rPh>
    <rPh sb="6" eb="7">
      <t>トウ</t>
    </rPh>
    <rPh sb="10" eb="12">
      <t>イガイ</t>
    </rPh>
    <rPh sb="13" eb="15">
      <t>ブブン</t>
    </rPh>
    <rPh sb="21" eb="22">
      <t>ベツ</t>
    </rPh>
    <rPh sb="23" eb="25">
      <t>サンテイ</t>
    </rPh>
    <rPh sb="25" eb="26">
      <t>ヒョウ</t>
    </rPh>
    <rPh sb="27" eb="28">
      <t>ワ</t>
    </rPh>
    <rPh sb="55" eb="58">
      <t>ニンチショウ</t>
    </rPh>
    <rPh sb="58" eb="60">
      <t>センモン</t>
    </rPh>
    <rPh sb="60" eb="61">
      <t>トウ</t>
    </rPh>
    <phoneticPr fontId="3"/>
  </si>
  <si>
    <t>５　介護老人保健施設（療養型）に係る届出内容</t>
    <phoneticPr fontId="3"/>
  </si>
  <si>
    <t>合計</t>
    <rPh sb="0" eb="2">
      <t>ゴウケイ</t>
    </rPh>
    <phoneticPr fontId="3"/>
  </si>
  <si>
    <t>11月</t>
  </si>
  <si>
    <t>12月</t>
  </si>
  <si>
    <t>介護給付費算定に係る体制等に関する届出書</t>
    <rPh sb="0" eb="2">
      <t>カイゴ</t>
    </rPh>
    <rPh sb="2" eb="4">
      <t>キュウフ</t>
    </rPh>
    <rPh sb="4" eb="5">
      <t>ヒ</t>
    </rPh>
    <rPh sb="5" eb="7">
      <t>サンテイ</t>
    </rPh>
    <rPh sb="8" eb="9">
      <t>カカ</t>
    </rPh>
    <rPh sb="10" eb="12">
      <t>タイセイ</t>
    </rPh>
    <rPh sb="12" eb="13">
      <t>トウ</t>
    </rPh>
    <rPh sb="14" eb="15">
      <t>カン</t>
    </rPh>
    <rPh sb="17" eb="20">
      <t>トドケデショ</t>
    </rPh>
    <phoneticPr fontId="3"/>
  </si>
  <si>
    <t>※人員基準は、前年度の平均値に対する配置（定員や現在の入所者数に対する配置ではない）がこの表では定員で算出（目安）</t>
    <rPh sb="45" eb="46">
      <t>ヒョウ</t>
    </rPh>
    <rPh sb="48" eb="50">
      <t>テイイン</t>
    </rPh>
    <rPh sb="51" eb="53">
      <t>サンシュツ</t>
    </rPh>
    <rPh sb="54" eb="56">
      <t>メヤス</t>
    </rPh>
    <phoneticPr fontId="3"/>
  </si>
  <si>
    <t>前年度平均</t>
    <rPh sb="0" eb="3">
      <t>ゼンネンド</t>
    </rPh>
    <rPh sb="3" eb="5">
      <t>ヘイキン</t>
    </rPh>
    <phoneticPr fontId="3"/>
  </si>
  <si>
    <t>人員基準確認表（介護老人保健施設）</t>
    <rPh sb="6" eb="7">
      <t>ヒョウ</t>
    </rPh>
    <rPh sb="8" eb="10">
      <t>カイゴ</t>
    </rPh>
    <rPh sb="10" eb="12">
      <t>ロウジン</t>
    </rPh>
    <rPh sb="12" eb="14">
      <t>ホケン</t>
    </rPh>
    <rPh sb="14" eb="16">
      <t>シセツ</t>
    </rPh>
    <phoneticPr fontId="3"/>
  </si>
  <si>
    <t>人員基準確認表</t>
    <rPh sb="6" eb="7">
      <t>ヒョウ</t>
    </rPh>
    <phoneticPr fontId="3"/>
  </si>
  <si>
    <t>・</t>
    <phoneticPr fontId="3"/>
  </si>
  <si>
    <t>有</t>
    <rPh sb="0" eb="1">
      <t>アリ</t>
    </rPh>
    <phoneticPr fontId="3"/>
  </si>
  <si>
    <t>無</t>
    <rPh sb="0" eb="1">
      <t>ナ</t>
    </rPh>
    <phoneticPr fontId="3"/>
  </si>
  <si>
    <t>様式5</t>
    <rPh sb="0" eb="2">
      <t>ヨウシキ</t>
    </rPh>
    <phoneticPr fontId="3"/>
  </si>
  <si>
    <t>重症皮膚潰瘍管理指導の施設基準に係る届出書添付書類</t>
    <rPh sb="0" eb="2">
      <t>ジュウショウ</t>
    </rPh>
    <rPh sb="2" eb="4">
      <t>ヒフ</t>
    </rPh>
    <rPh sb="4" eb="6">
      <t>カイヨウ</t>
    </rPh>
    <rPh sb="6" eb="8">
      <t>カンリ</t>
    </rPh>
    <rPh sb="8" eb="10">
      <t>シドウ</t>
    </rPh>
    <rPh sb="11" eb="13">
      <t>シセツ</t>
    </rPh>
    <rPh sb="13" eb="15">
      <t>キジュン</t>
    </rPh>
    <rPh sb="16" eb="17">
      <t>カカ</t>
    </rPh>
    <rPh sb="18" eb="21">
      <t>トドケデショ</t>
    </rPh>
    <rPh sb="21" eb="23">
      <t>テンプ</t>
    </rPh>
    <rPh sb="23" eb="25">
      <t>ショルイ</t>
    </rPh>
    <phoneticPr fontId="3"/>
  </si>
  <si>
    <t>□</t>
    <phoneticPr fontId="3"/>
  </si>
  <si>
    <t>１　標榜診療科</t>
    <rPh sb="2" eb="4">
      <t>ヒョウボウ</t>
    </rPh>
    <rPh sb="4" eb="7">
      <t>シンリョウカ</t>
    </rPh>
    <phoneticPr fontId="3"/>
  </si>
  <si>
    <t>□</t>
    <phoneticPr fontId="3"/>
  </si>
  <si>
    <t>皮膚科</t>
    <rPh sb="0" eb="3">
      <t>ヒフカ</t>
    </rPh>
    <phoneticPr fontId="3"/>
  </si>
  <si>
    <t>形成外科</t>
    <rPh sb="0" eb="2">
      <t>ケイセイ</t>
    </rPh>
    <rPh sb="2" eb="4">
      <t>ゲカ</t>
    </rPh>
    <phoneticPr fontId="3"/>
  </si>
  <si>
    <t>２　重症皮膚潰瘍管理を担当する医師の氏名</t>
    <rPh sb="2" eb="4">
      <t>ジュウショウ</t>
    </rPh>
    <rPh sb="4" eb="6">
      <t>ヒフ</t>
    </rPh>
    <rPh sb="6" eb="8">
      <t>カイヨウ</t>
    </rPh>
    <rPh sb="8" eb="10">
      <t>カンリ</t>
    </rPh>
    <rPh sb="11" eb="13">
      <t>タントウ</t>
    </rPh>
    <rPh sb="15" eb="17">
      <t>イシ</t>
    </rPh>
    <rPh sb="18" eb="20">
      <t>シメイ</t>
    </rPh>
    <phoneticPr fontId="3"/>
  </si>
  <si>
    <t>〔記入上の注意〕</t>
  </si>
  <si>
    <t>様式6</t>
    <rPh sb="0" eb="2">
      <t>ヨウシキ</t>
    </rPh>
    <phoneticPr fontId="3"/>
  </si>
  <si>
    <t>薬剤管理指導の施設基準に係る届出書添付書類</t>
    <rPh sb="0" eb="2">
      <t>ヤクザイ</t>
    </rPh>
    <rPh sb="2" eb="4">
      <t>カンリ</t>
    </rPh>
    <rPh sb="4" eb="6">
      <t>シドウ</t>
    </rPh>
    <rPh sb="7" eb="9">
      <t>シセツ</t>
    </rPh>
    <rPh sb="9" eb="11">
      <t>キジュン</t>
    </rPh>
    <rPh sb="12" eb="13">
      <t>カカ</t>
    </rPh>
    <rPh sb="14" eb="17">
      <t>トドケデショ</t>
    </rPh>
    <rPh sb="17" eb="19">
      <t>テンプ</t>
    </rPh>
    <rPh sb="19" eb="21">
      <t>ショルイ</t>
    </rPh>
    <phoneticPr fontId="3"/>
  </si>
  <si>
    <t>１　医薬品情報管理室等</t>
    <rPh sb="2" eb="5">
      <t>イヤクヒン</t>
    </rPh>
    <rPh sb="5" eb="7">
      <t>ジョウホウ</t>
    </rPh>
    <rPh sb="7" eb="9">
      <t>カンリ</t>
    </rPh>
    <rPh sb="9" eb="10">
      <t>シツ</t>
    </rPh>
    <rPh sb="10" eb="11">
      <t>トウ</t>
    </rPh>
    <phoneticPr fontId="3"/>
  </si>
  <si>
    <t>場　　　所</t>
    <rPh sb="0" eb="1">
      <t>バ</t>
    </rPh>
    <rPh sb="4" eb="5">
      <t>ショ</t>
    </rPh>
    <phoneticPr fontId="3"/>
  </si>
  <si>
    <t>許可病床数</t>
    <rPh sb="0" eb="2">
      <t>キョカ</t>
    </rPh>
    <rPh sb="2" eb="4">
      <t>ビョウショウ</t>
    </rPh>
    <rPh sb="4" eb="5">
      <t>スウ</t>
    </rPh>
    <phoneticPr fontId="3"/>
  </si>
  <si>
    <t>平方メートル</t>
    <rPh sb="0" eb="2">
      <t>ヘイホウ</t>
    </rPh>
    <phoneticPr fontId="3"/>
  </si>
  <si>
    <t>業務内容</t>
    <rPh sb="0" eb="2">
      <t>ギョウム</t>
    </rPh>
    <rPh sb="2" eb="4">
      <t>ナイヨウ</t>
    </rPh>
    <phoneticPr fontId="3"/>
  </si>
  <si>
    <t>医薬品情報管理業務マニュアルの作成（予定を含む）</t>
    <rPh sb="0" eb="3">
      <t>イヤクヒン</t>
    </rPh>
    <rPh sb="3" eb="5">
      <t>ジョウホウ</t>
    </rPh>
    <rPh sb="5" eb="7">
      <t>カンリ</t>
    </rPh>
    <rPh sb="7" eb="9">
      <t>ギョウム</t>
    </rPh>
    <rPh sb="15" eb="17">
      <t>サクセイ</t>
    </rPh>
    <rPh sb="18" eb="20">
      <t>ヨテイ</t>
    </rPh>
    <rPh sb="21" eb="22">
      <t>フク</t>
    </rPh>
    <phoneticPr fontId="3"/>
  </si>
  <si>
    <t>□</t>
    <phoneticPr fontId="3"/>
  </si>
  <si>
    <t>□</t>
    <phoneticPr fontId="3"/>
  </si>
  <si>
    <t>２　投薬・指導記録</t>
    <rPh sb="2" eb="4">
      <t>トウヤク</t>
    </rPh>
    <rPh sb="5" eb="7">
      <t>シドウ</t>
    </rPh>
    <rPh sb="7" eb="9">
      <t>キロク</t>
    </rPh>
    <phoneticPr fontId="3"/>
  </si>
  <si>
    <t>作　成　時　期</t>
    <rPh sb="0" eb="1">
      <t>サク</t>
    </rPh>
    <rPh sb="2" eb="3">
      <t>シゲル</t>
    </rPh>
    <rPh sb="4" eb="5">
      <t>ジ</t>
    </rPh>
    <rPh sb="6" eb="7">
      <t>キ</t>
    </rPh>
    <phoneticPr fontId="3"/>
  </si>
  <si>
    <t>保　管　場　所</t>
    <rPh sb="0" eb="1">
      <t>タモツ</t>
    </rPh>
    <rPh sb="2" eb="3">
      <t>カン</t>
    </rPh>
    <rPh sb="4" eb="5">
      <t>バ</t>
    </rPh>
    <rPh sb="6" eb="7">
      <t>ショ</t>
    </rPh>
    <phoneticPr fontId="3"/>
  </si>
  <si>
    <t>３　投薬管理状況</t>
    <rPh sb="2" eb="4">
      <t>トウヤク</t>
    </rPh>
    <rPh sb="4" eb="6">
      <t>カンリ</t>
    </rPh>
    <rPh sb="6" eb="8">
      <t>ジョウキョウ</t>
    </rPh>
    <phoneticPr fontId="3"/>
  </si>
  <si>
    <t>４　服薬指導</t>
    <rPh sb="2" eb="4">
      <t>フクヤク</t>
    </rPh>
    <rPh sb="4" eb="6">
      <t>シドウ</t>
    </rPh>
    <phoneticPr fontId="3"/>
  </si>
  <si>
    <t>服薬指導方法</t>
    <rPh sb="0" eb="2">
      <t>フクヤク</t>
    </rPh>
    <rPh sb="2" eb="4">
      <t>シドウ</t>
    </rPh>
    <rPh sb="4" eb="6">
      <t>ホウホウ</t>
    </rPh>
    <phoneticPr fontId="3"/>
  </si>
  <si>
    <t>服薬指導マニュアルの作成
（予定を含む）</t>
    <rPh sb="0" eb="2">
      <t>フクヤク</t>
    </rPh>
    <rPh sb="2" eb="4">
      <t>シドウ</t>
    </rPh>
    <rPh sb="10" eb="12">
      <t>サクセイ</t>
    </rPh>
    <rPh sb="14" eb="16">
      <t>ヨテイ</t>
    </rPh>
    <rPh sb="17" eb="18">
      <t>フク</t>
    </rPh>
    <phoneticPr fontId="3"/>
  </si>
  <si>
    <t>□</t>
    <phoneticPr fontId="3"/>
  </si>
  <si>
    <t>・</t>
    <phoneticPr fontId="3"/>
  </si>
  <si>
    <t>「３」については、院内における内服薬、注射薬、外用薬の投薬行為全般について、どのような管理方法を行っているか簡略に記入すること。</t>
    <rPh sb="9" eb="11">
      <t>インナイ</t>
    </rPh>
    <rPh sb="15" eb="18">
      <t>ナイフクヤク</t>
    </rPh>
    <rPh sb="19" eb="22">
      <t>チュウシャヤク</t>
    </rPh>
    <rPh sb="23" eb="26">
      <t>ガイヨウヤク</t>
    </rPh>
    <rPh sb="27" eb="29">
      <t>トウヤク</t>
    </rPh>
    <rPh sb="29" eb="31">
      <t>コウイ</t>
    </rPh>
    <rPh sb="31" eb="33">
      <t>ゼンパン</t>
    </rPh>
    <rPh sb="43" eb="45">
      <t>カンリ</t>
    </rPh>
    <rPh sb="45" eb="47">
      <t>ホウホウ</t>
    </rPh>
    <rPh sb="48" eb="49">
      <t>オコナ</t>
    </rPh>
    <rPh sb="54" eb="56">
      <t>カンリャク</t>
    </rPh>
    <rPh sb="57" eb="59">
      <t>キニュウ</t>
    </rPh>
    <phoneticPr fontId="3"/>
  </si>
  <si>
    <t>様式８</t>
    <rPh sb="0" eb="2">
      <t>ヨウシキ</t>
    </rPh>
    <phoneticPr fontId="3"/>
  </si>
  <si>
    <t>○</t>
    <phoneticPr fontId="3"/>
  </si>
  <si>
    <t>　届　出　区　分
（該当するものに○）</t>
    <rPh sb="1" eb="2">
      <t>トドケ</t>
    </rPh>
    <rPh sb="3" eb="4">
      <t>デ</t>
    </rPh>
    <rPh sb="5" eb="6">
      <t>ク</t>
    </rPh>
    <rPh sb="7" eb="8">
      <t>ブン</t>
    </rPh>
    <rPh sb="10" eb="12">
      <t>ガイトウ</t>
    </rPh>
    <phoneticPr fontId="3"/>
  </si>
  <si>
    <t>従　事　者　数</t>
    <rPh sb="0" eb="1">
      <t>ジュウ</t>
    </rPh>
    <rPh sb="2" eb="3">
      <t>コト</t>
    </rPh>
    <rPh sb="4" eb="5">
      <t>モノ</t>
    </rPh>
    <rPh sb="6" eb="7">
      <t>スウ</t>
    </rPh>
    <phoneticPr fontId="3"/>
  </si>
  <si>
    <t>常　勤</t>
    <rPh sb="0" eb="1">
      <t>ツネ</t>
    </rPh>
    <rPh sb="2" eb="3">
      <t>ツトム</t>
    </rPh>
    <phoneticPr fontId="3"/>
  </si>
  <si>
    <t>専　任</t>
    <rPh sb="0" eb="1">
      <t>アツム</t>
    </rPh>
    <rPh sb="2" eb="3">
      <t>ニン</t>
    </rPh>
    <phoneticPr fontId="3"/>
  </si>
  <si>
    <t xml:space="preserve">名 </t>
    <rPh sb="0" eb="1">
      <t>メイ</t>
    </rPh>
    <phoneticPr fontId="3"/>
  </si>
  <si>
    <t>非専任</t>
    <rPh sb="0" eb="1">
      <t>ヒ</t>
    </rPh>
    <rPh sb="1" eb="3">
      <t>センニン</t>
    </rPh>
    <phoneticPr fontId="3"/>
  </si>
  <si>
    <t>専　従</t>
    <rPh sb="0" eb="1">
      <t>アツム</t>
    </rPh>
    <rPh sb="2" eb="3">
      <t>ジュウ</t>
    </rPh>
    <phoneticPr fontId="3"/>
  </si>
  <si>
    <t>非専従</t>
    <rPh sb="0" eb="1">
      <t>ヒ</t>
    </rPh>
    <rPh sb="1" eb="3">
      <t>センジュウ</t>
    </rPh>
    <phoneticPr fontId="3"/>
  </si>
  <si>
    <t>言語聴覚士</t>
    <rPh sb="0" eb="2">
      <t>ゲンゴ</t>
    </rPh>
    <rPh sb="2" eb="4">
      <t>チョウカク</t>
    </rPh>
    <rPh sb="4" eb="5">
      <t>シ</t>
    </rPh>
    <phoneticPr fontId="3"/>
  </si>
  <si>
    <t>経験を有する
従　 事　 者</t>
    <rPh sb="0" eb="2">
      <t>ケイケン</t>
    </rPh>
    <rPh sb="3" eb="4">
      <t>ユウ</t>
    </rPh>
    <rPh sb="7" eb="8">
      <t>ジュウ</t>
    </rPh>
    <rPh sb="10" eb="11">
      <t>コト</t>
    </rPh>
    <rPh sb="13" eb="14">
      <t>モノ</t>
    </rPh>
    <phoneticPr fontId="3"/>
  </si>
  <si>
    <t>専用施設の面積</t>
    <rPh sb="0" eb="2">
      <t>センヨウ</t>
    </rPh>
    <rPh sb="2" eb="4">
      <t>シセツ</t>
    </rPh>
    <rPh sb="5" eb="7">
      <t>メンセキ</t>
    </rPh>
    <phoneticPr fontId="3"/>
  </si>
  <si>
    <t>平方メートル　</t>
    <rPh sb="0" eb="2">
      <t>ヘイホウ</t>
    </rPh>
    <phoneticPr fontId="3"/>
  </si>
  <si>
    <t>言語聴覚療法の専用の個別療法室が複数ある場合については、最も広い部屋の面積を記入のこと。</t>
    <rPh sb="0" eb="2">
      <t>ゲンゴ</t>
    </rPh>
    <rPh sb="2" eb="4">
      <t>チョウカク</t>
    </rPh>
    <rPh sb="4" eb="6">
      <t>リョウホウ</t>
    </rPh>
    <rPh sb="7" eb="9">
      <t>センヨウ</t>
    </rPh>
    <rPh sb="10" eb="12">
      <t>コベツ</t>
    </rPh>
    <rPh sb="12" eb="14">
      <t>リョウホウ</t>
    </rPh>
    <rPh sb="14" eb="15">
      <t>シツ</t>
    </rPh>
    <rPh sb="16" eb="18">
      <t>フクスウ</t>
    </rPh>
    <rPh sb="20" eb="22">
      <t>バアイ</t>
    </rPh>
    <rPh sb="28" eb="29">
      <t>モット</t>
    </rPh>
    <rPh sb="30" eb="31">
      <t>ヒロ</t>
    </rPh>
    <rPh sb="32" eb="34">
      <t>ヘヤ</t>
    </rPh>
    <rPh sb="35" eb="37">
      <t>メンセキ</t>
    </rPh>
    <rPh sb="38" eb="40">
      <t>キニュウ</t>
    </rPh>
    <phoneticPr fontId="3"/>
  </si>
  <si>
    <t>様式9</t>
    <rPh sb="0" eb="2">
      <t>ヨウシキ</t>
    </rPh>
    <phoneticPr fontId="3"/>
  </si>
  <si>
    <t>精神科作業療法の施設基準に係る届出書添付書類</t>
    <rPh sb="0" eb="3">
      <t>セイシンカ</t>
    </rPh>
    <rPh sb="3" eb="5">
      <t>サギョウ</t>
    </rPh>
    <rPh sb="5" eb="7">
      <t>リョウホウ</t>
    </rPh>
    <rPh sb="8" eb="10">
      <t>シセツ</t>
    </rPh>
    <rPh sb="10" eb="12">
      <t>キジュン</t>
    </rPh>
    <rPh sb="13" eb="14">
      <t>カカ</t>
    </rPh>
    <rPh sb="15" eb="17">
      <t>トドケデ</t>
    </rPh>
    <rPh sb="17" eb="18">
      <t>ショ</t>
    </rPh>
    <rPh sb="18" eb="20">
      <t>テンプ</t>
    </rPh>
    <rPh sb="20" eb="22">
      <t>ショルイ</t>
    </rPh>
    <phoneticPr fontId="3"/>
  </si>
  <si>
    <t>■</t>
    <phoneticPr fontId="3"/>
  </si>
  <si>
    <t>当該療法に</t>
    <rPh sb="0" eb="2">
      <t>トウガイ</t>
    </rPh>
    <rPh sb="2" eb="4">
      <t>リョウホウ</t>
    </rPh>
    <phoneticPr fontId="3"/>
  </si>
  <si>
    <t>常
勤</t>
    <rPh sb="0" eb="1">
      <t>ジョウ</t>
    </rPh>
    <rPh sb="3" eb="4">
      <t>ツトム</t>
    </rPh>
    <phoneticPr fontId="3"/>
  </si>
  <si>
    <t>非
常
勤</t>
    <rPh sb="0" eb="1">
      <t>ヒ</t>
    </rPh>
    <rPh sb="2" eb="3">
      <t>ジョウ</t>
    </rPh>
    <rPh sb="4" eb="5">
      <t>ツトム</t>
    </rPh>
    <phoneticPr fontId="3"/>
  </si>
  <si>
    <t>従事する</t>
    <rPh sb="0" eb="2">
      <t>ジュウジ</t>
    </rPh>
    <phoneticPr fontId="3"/>
  </si>
  <si>
    <t>名</t>
    <rPh sb="0" eb="1">
      <t>ナ</t>
    </rPh>
    <phoneticPr fontId="3"/>
  </si>
  <si>
    <t>平方メートル</t>
    <phoneticPr fontId="3"/>
  </si>
  <si>
    <t>当該療法を行うために必要な専用の器械・器具の一覧</t>
    <rPh sb="0" eb="2">
      <t>トウガイ</t>
    </rPh>
    <rPh sb="2" eb="4">
      <t>リョウホウ</t>
    </rPh>
    <rPh sb="5" eb="6">
      <t>オコナ</t>
    </rPh>
    <rPh sb="10" eb="12">
      <t>ヒツヨウ</t>
    </rPh>
    <rPh sb="13" eb="15">
      <t>センヨウ</t>
    </rPh>
    <rPh sb="16" eb="18">
      <t>キカイ</t>
    </rPh>
    <rPh sb="19" eb="21">
      <t>キグ</t>
    </rPh>
    <rPh sb="22" eb="24">
      <t>イチラン</t>
    </rPh>
    <phoneticPr fontId="3"/>
  </si>
  <si>
    <t>手工芸</t>
    <rPh sb="0" eb="3">
      <t>シュコウゲイ</t>
    </rPh>
    <phoneticPr fontId="3"/>
  </si>
  <si>
    <t>木工</t>
    <rPh sb="0" eb="2">
      <t>モッコウ</t>
    </rPh>
    <phoneticPr fontId="3"/>
  </si>
  <si>
    <t>印刷</t>
    <rPh sb="0" eb="2">
      <t>インサツ</t>
    </rPh>
    <phoneticPr fontId="3"/>
  </si>
  <si>
    <t>日常生活動作</t>
    <rPh sb="0" eb="2">
      <t>ニチジョウ</t>
    </rPh>
    <rPh sb="2" eb="4">
      <t>セイカツ</t>
    </rPh>
    <rPh sb="4" eb="6">
      <t>ドウサ</t>
    </rPh>
    <phoneticPr fontId="3"/>
  </si>
  <si>
    <t>農耕又は園芸</t>
    <rPh sb="0" eb="2">
      <t>ノウコウ</t>
    </rPh>
    <rPh sb="2" eb="3">
      <t>マタ</t>
    </rPh>
    <rPh sb="4" eb="6">
      <t>エンゲイ</t>
    </rPh>
    <phoneticPr fontId="3"/>
  </si>
  <si>
    <t>言語聴覚療法の施設基準に係る届出書添付書類</t>
    <rPh sb="0" eb="2">
      <t>ゲンゴ</t>
    </rPh>
    <rPh sb="2" eb="4">
      <t>チョウカク</t>
    </rPh>
    <rPh sb="4" eb="6">
      <t>リョウホウ</t>
    </rPh>
    <phoneticPr fontId="3"/>
  </si>
  <si>
    <r>
      <t>当該言語聴覚療法を行うための器械・器具の一覧</t>
    </r>
    <r>
      <rPr>
        <sz val="11"/>
        <color indexed="10"/>
        <rFont val="HGPｺﾞｼｯｸM"/>
        <family val="3"/>
        <charset val="128"/>
      </rPr>
      <t>（名称・台数等）</t>
    </r>
    <rPh sb="0" eb="2">
      <t>トウガイ</t>
    </rPh>
    <rPh sb="2" eb="4">
      <t>ゲンゴ</t>
    </rPh>
    <rPh sb="4" eb="6">
      <t>チョウカク</t>
    </rPh>
    <rPh sb="6" eb="8">
      <t>リョウホウ</t>
    </rPh>
    <rPh sb="9" eb="10">
      <t>オコナ</t>
    </rPh>
    <rPh sb="14" eb="16">
      <t>キカイ</t>
    </rPh>
    <rPh sb="17" eb="19">
      <t>キグ</t>
    </rPh>
    <rPh sb="20" eb="22">
      <t>イチラン</t>
    </rPh>
    <rPh sb="23" eb="25">
      <t>メイショウ</t>
    </rPh>
    <rPh sb="26" eb="28">
      <t>ダイスウ</t>
    </rPh>
    <rPh sb="28" eb="29">
      <t>トウ</t>
    </rPh>
    <phoneticPr fontId="3"/>
  </si>
  <si>
    <t>面　　積</t>
    <rPh sb="0" eb="1">
      <t>メン</t>
    </rPh>
    <rPh sb="3" eb="4">
      <t>セキ</t>
    </rPh>
    <phoneticPr fontId="3"/>
  </si>
  <si>
    <t>※本体施設を参照</t>
    <rPh sb="1" eb="3">
      <t>ホンタイ</t>
    </rPh>
    <rPh sb="3" eb="5">
      <t>シセツ</t>
    </rPh>
    <rPh sb="6" eb="8">
      <t>サンショウ</t>
    </rPh>
    <phoneticPr fontId="3"/>
  </si>
  <si>
    <t>老健22</t>
    <rPh sb="0" eb="2">
      <t>ロウケン</t>
    </rPh>
    <phoneticPr fontId="3"/>
  </si>
  <si>
    <t>老健23</t>
    <rPh sb="0" eb="2">
      <t>ロウケン</t>
    </rPh>
    <phoneticPr fontId="3"/>
  </si>
  <si>
    <t>老健24</t>
    <rPh sb="0" eb="2">
      <t>ロウケン</t>
    </rPh>
    <phoneticPr fontId="3"/>
  </si>
  <si>
    <t>老健25</t>
    <rPh sb="0" eb="2">
      <t>ロウケン</t>
    </rPh>
    <phoneticPr fontId="3"/>
  </si>
  <si>
    <t>リハビリテーション提供体制
（言語聴覚療法）</t>
    <rPh sb="9" eb="11">
      <t>テイキョウ</t>
    </rPh>
    <rPh sb="11" eb="13">
      <t>タイセイ</t>
    </rPh>
    <phoneticPr fontId="3"/>
  </si>
  <si>
    <t>リハビリテーション提供体制
（精神科作業療法）</t>
    <rPh sb="9" eb="11">
      <t>テイキョウ</t>
    </rPh>
    <rPh sb="11" eb="13">
      <t>タイセイ</t>
    </rPh>
    <phoneticPr fontId="3"/>
  </si>
  <si>
    <t>リハビリテーション提供体制
（リハビリテーション指導管理）</t>
    <rPh sb="9" eb="11">
      <t>テイキョウ</t>
    </rPh>
    <rPh sb="11" eb="13">
      <t>タイセイ</t>
    </rPh>
    <rPh sb="24" eb="26">
      <t>シドウ</t>
    </rPh>
    <rPh sb="26" eb="28">
      <t>カンリ</t>
    </rPh>
    <phoneticPr fontId="3"/>
  </si>
  <si>
    <t>リハビリテーション提供体制
（その他）</t>
    <rPh sb="9" eb="11">
      <t>テイキョウ</t>
    </rPh>
    <rPh sb="11" eb="13">
      <t>タイセイ</t>
    </rPh>
    <rPh sb="17" eb="18">
      <t>タ</t>
    </rPh>
    <phoneticPr fontId="3"/>
  </si>
  <si>
    <t>短療16</t>
    <rPh sb="0" eb="1">
      <t>タン</t>
    </rPh>
    <rPh sb="1" eb="2">
      <t>イヤス</t>
    </rPh>
    <phoneticPr fontId="3"/>
  </si>
  <si>
    <t>短療17</t>
    <rPh sb="0" eb="1">
      <t>タン</t>
    </rPh>
    <rPh sb="1" eb="2">
      <t>イヤス</t>
    </rPh>
    <phoneticPr fontId="3"/>
  </si>
  <si>
    <t>短療18</t>
    <rPh sb="0" eb="1">
      <t>タン</t>
    </rPh>
    <rPh sb="1" eb="2">
      <t>イヤス</t>
    </rPh>
    <phoneticPr fontId="3"/>
  </si>
  <si>
    <t>予短療15</t>
    <rPh sb="0" eb="1">
      <t>ヨ</t>
    </rPh>
    <rPh sb="1" eb="2">
      <t>タン</t>
    </rPh>
    <rPh sb="2" eb="3">
      <t>イヤス</t>
    </rPh>
    <phoneticPr fontId="3"/>
  </si>
  <si>
    <t>予短療16</t>
    <rPh sb="0" eb="1">
      <t>ヨ</t>
    </rPh>
    <rPh sb="1" eb="2">
      <t>タン</t>
    </rPh>
    <rPh sb="2" eb="3">
      <t>イヤス</t>
    </rPh>
    <phoneticPr fontId="3"/>
  </si>
  <si>
    <t>予短療17</t>
    <rPh sb="0" eb="1">
      <t>ヨ</t>
    </rPh>
    <rPh sb="1" eb="2">
      <t>タン</t>
    </rPh>
    <rPh sb="2" eb="3">
      <t>イヤス</t>
    </rPh>
    <phoneticPr fontId="3"/>
  </si>
  <si>
    <t>設　備　の　目　録</t>
    <rPh sb="0" eb="1">
      <t>セツ</t>
    </rPh>
    <rPh sb="2" eb="3">
      <t>ビ</t>
    </rPh>
    <rPh sb="6" eb="7">
      <t>メ</t>
    </rPh>
    <rPh sb="8" eb="9">
      <t>ロク</t>
    </rPh>
    <phoneticPr fontId="3"/>
  </si>
  <si>
    <t>安全管理体制</t>
    <rPh sb="0" eb="2">
      <t>アンゼン</t>
    </rPh>
    <rPh sb="2" eb="4">
      <t>カンリ</t>
    </rPh>
    <rPh sb="4" eb="6">
      <t>タイセイ</t>
    </rPh>
    <phoneticPr fontId="3"/>
  </si>
  <si>
    <t>栄養ケア・マネジメントの実施の有無</t>
    <rPh sb="0" eb="2">
      <t>エイヨウ</t>
    </rPh>
    <rPh sb="12" eb="14">
      <t>ジッシ</t>
    </rPh>
    <rPh sb="15" eb="17">
      <t>ウム</t>
    </rPh>
    <phoneticPr fontId="3"/>
  </si>
  <si>
    <t>栄養マネジメント強化体制</t>
    <rPh sb="0" eb="2">
      <t>エイヨウ</t>
    </rPh>
    <rPh sb="8" eb="10">
      <t>キョウカ</t>
    </rPh>
    <rPh sb="10" eb="12">
      <t>タイセイ</t>
    </rPh>
    <phoneticPr fontId="3"/>
  </si>
  <si>
    <t>リハビリ計画書情報加算</t>
    <rPh sb="4" eb="7">
      <t>ケイカクショ</t>
    </rPh>
    <rPh sb="7" eb="9">
      <t>ジョウホウ</t>
    </rPh>
    <rPh sb="9" eb="11">
      <t>カサン</t>
    </rPh>
    <phoneticPr fontId="3"/>
  </si>
  <si>
    <t>排せつ支援加算</t>
    <rPh sb="0" eb="1">
      <t>ハイ</t>
    </rPh>
    <rPh sb="3" eb="5">
      <t>シエン</t>
    </rPh>
    <rPh sb="5" eb="7">
      <t>カサン</t>
    </rPh>
    <phoneticPr fontId="3"/>
  </si>
  <si>
    <t>自立支援促進加算</t>
    <rPh sb="0" eb="2">
      <t>ジリツ</t>
    </rPh>
    <rPh sb="2" eb="4">
      <t>シエン</t>
    </rPh>
    <rPh sb="4" eb="6">
      <t>ソクシン</t>
    </rPh>
    <rPh sb="6" eb="8">
      <t>カサン</t>
    </rPh>
    <phoneticPr fontId="3"/>
  </si>
  <si>
    <t>科学的介護推進体制加算</t>
    <rPh sb="0" eb="2">
      <t>カガク</t>
    </rPh>
    <rPh sb="2" eb="3">
      <t>テキ</t>
    </rPh>
    <rPh sb="3" eb="5">
      <t>カイゴ</t>
    </rPh>
    <rPh sb="5" eb="7">
      <t>スイシン</t>
    </rPh>
    <rPh sb="7" eb="9">
      <t>タイセイ</t>
    </rPh>
    <rPh sb="9" eb="11">
      <t>カサン</t>
    </rPh>
    <phoneticPr fontId="3"/>
  </si>
  <si>
    <t>安全対策体制</t>
    <rPh sb="0" eb="2">
      <t>アンゼン</t>
    </rPh>
    <rPh sb="2" eb="4">
      <t>タイサク</t>
    </rPh>
    <rPh sb="4" eb="6">
      <t>タイセイ</t>
    </rPh>
    <phoneticPr fontId="3"/>
  </si>
  <si>
    <t>感染症又は災害の発生を理由とする利用者数の減少が一定以上生じている場合の対応</t>
    <rPh sb="0" eb="3">
      <t>カンセンショウ</t>
    </rPh>
    <rPh sb="3" eb="4">
      <t>マタ</t>
    </rPh>
    <rPh sb="5" eb="7">
      <t>サイガイ</t>
    </rPh>
    <rPh sb="8" eb="10">
      <t>ハッセイ</t>
    </rPh>
    <rPh sb="11" eb="13">
      <t>リユウ</t>
    </rPh>
    <rPh sb="16" eb="19">
      <t>リヨウシャ</t>
    </rPh>
    <rPh sb="19" eb="20">
      <t>スウ</t>
    </rPh>
    <rPh sb="21" eb="23">
      <t>ゲンショウ</t>
    </rPh>
    <rPh sb="24" eb="26">
      <t>イッテイ</t>
    </rPh>
    <rPh sb="26" eb="28">
      <t>イジョウ</t>
    </rPh>
    <rPh sb="28" eb="29">
      <t>ショウ</t>
    </rPh>
    <rPh sb="33" eb="35">
      <t>バアイ</t>
    </rPh>
    <rPh sb="36" eb="38">
      <t>タイオウ</t>
    </rPh>
    <phoneticPr fontId="3"/>
  </si>
  <si>
    <t>入浴介助加算</t>
    <rPh sb="0" eb="2">
      <t>ニュウヨク</t>
    </rPh>
    <rPh sb="2" eb="4">
      <t>カイジョ</t>
    </rPh>
    <rPh sb="4" eb="6">
      <t>カサン</t>
    </rPh>
    <phoneticPr fontId="3"/>
  </si>
  <si>
    <t>口腔機能向上加算</t>
    <rPh sb="0" eb="2">
      <t>コウクウ</t>
    </rPh>
    <rPh sb="2" eb="4">
      <t>キノウ</t>
    </rPh>
    <rPh sb="4" eb="6">
      <t>コウジョウ</t>
    </rPh>
    <rPh sb="6" eb="8">
      <t>カサン</t>
    </rPh>
    <phoneticPr fontId="3"/>
  </si>
  <si>
    <t>科学的介護推進体制加算</t>
    <rPh sb="0" eb="3">
      <t>カガクテキ</t>
    </rPh>
    <rPh sb="3" eb="5">
      <t>カイゴ</t>
    </rPh>
    <rPh sb="5" eb="7">
      <t>スイシン</t>
    </rPh>
    <rPh sb="7" eb="9">
      <t>タイセイ</t>
    </rPh>
    <rPh sb="9" eb="11">
      <t>カサン</t>
    </rPh>
    <phoneticPr fontId="3"/>
  </si>
  <si>
    <t>移行支援加算</t>
    <rPh sb="0" eb="2">
      <t>イコウ</t>
    </rPh>
    <rPh sb="2" eb="4">
      <t>シエン</t>
    </rPh>
    <rPh sb="4" eb="6">
      <t>カサン</t>
    </rPh>
    <phoneticPr fontId="3"/>
  </si>
  <si>
    <t>令和　　年　　月　　日</t>
    <rPh sb="4" eb="5">
      <t>ネン</t>
    </rPh>
    <rPh sb="7" eb="8">
      <t>ガツ</t>
    </rPh>
    <rPh sb="10" eb="11">
      <t>ニチ</t>
    </rPh>
    <phoneticPr fontId="3"/>
  </si>
  <si>
    <t>　①÷（②ー③）×１００
（注５）</t>
    <phoneticPr fontId="3"/>
  </si>
  <si>
    <t>　30.4÷①×(②＋③)÷２×100</t>
    <phoneticPr fontId="3"/>
  </si>
  <si>
    <t>前３月間における新規入所者のうち、入所前後訪問指導を行った者の延数
（注９,１０,１１）</t>
    <rPh sb="8" eb="10">
      <t>シンキ</t>
    </rPh>
    <rPh sb="10" eb="12">
      <t>ニュウショ</t>
    </rPh>
    <rPh sb="17" eb="19">
      <t>ニュウショ</t>
    </rPh>
    <rPh sb="35" eb="36">
      <t>チュウ</t>
    </rPh>
    <phoneticPr fontId="3"/>
  </si>
  <si>
    <t>　①÷②×１００（注１２）</t>
    <phoneticPr fontId="3"/>
  </si>
  <si>
    <t>前３月間における新規退所者のうち、退所前後訪問指導を行った者の延数
（注１３,１４,１５）</t>
    <rPh sb="8" eb="10">
      <t>シンキ</t>
    </rPh>
    <phoneticPr fontId="3"/>
  </si>
  <si>
    <t>　①÷②×１００（注１６）</t>
    <phoneticPr fontId="3"/>
  </si>
  <si>
    <t>　①÷②÷③×④×１００</t>
    <phoneticPr fontId="3"/>
  </si>
  <si>
    <t>　①÷②×１００</t>
    <phoneticPr fontId="3"/>
  </si>
  <si>
    <t>　地域に貢献する活動の実施</t>
    <phoneticPr fontId="3"/>
  </si>
  <si>
    <t>２サービス（訪問リハビリテーションを含む）</t>
    <rPh sb="6" eb="8">
      <t>ホウモン</t>
    </rPh>
    <rPh sb="18" eb="19">
      <t>フク</t>
    </rPh>
    <phoneticPr fontId="3"/>
  </si>
  <si>
    <t>２サービス（訪問リハビリテーションを含まない）</t>
    <rPh sb="6" eb="8">
      <t>ホウモン</t>
    </rPh>
    <rPh sb="18" eb="19">
      <t>フク</t>
    </rPh>
    <phoneticPr fontId="3"/>
  </si>
  <si>
    <t>１サービス以下</t>
    <rPh sb="5" eb="7">
      <t>イカ</t>
    </rPh>
    <phoneticPr fontId="3"/>
  </si>
  <si>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3"/>
  </si>
  <si>
    <t>理学療法士等が前３月間に勤務すべき時間（注１８,２０）</t>
    <rPh sb="7" eb="8">
      <t>マエ</t>
    </rPh>
    <rPh sb="9" eb="10">
      <t>ツキ</t>
    </rPh>
    <rPh sb="10" eb="11">
      <t>カン</t>
    </rPh>
    <phoneticPr fontId="3"/>
  </si>
  <si>
    <t>算定日が属する月の前３月間における延入所者数（注２１）</t>
    <phoneticPr fontId="3"/>
  </si>
  <si>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3"/>
  </si>
  <si>
    <t>支援相談員が前３月間に勤務すべき時間
（注２０）</t>
    <phoneticPr fontId="3"/>
  </si>
  <si>
    <t>前３月間における延入所者数
（注２１）</t>
    <phoneticPr fontId="3"/>
  </si>
  <si>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</si>
  <si>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3"/>
  </si>
  <si>
    <t>　退所時指導等の実施（注２６）</t>
    <phoneticPr fontId="3"/>
  </si>
  <si>
    <t>　リハビリテーションマネジメントの実施（注２７）</t>
    <phoneticPr fontId="3"/>
  </si>
  <si>
    <t>　医師の詳細な指示の実施（注２８）</t>
    <rPh sb="1" eb="3">
      <t>イシ</t>
    </rPh>
    <rPh sb="4" eb="6">
      <t>ショウサイ</t>
    </rPh>
    <rPh sb="7" eb="9">
      <t>シジ</t>
    </rPh>
    <phoneticPr fontId="3"/>
  </si>
  <si>
    <t>　充実したリハビリテーションの実施（注２９）</t>
    <phoneticPr fontId="3"/>
  </si>
  <si>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3"/>
  </si>
  <si>
    <t>介護老人保健施設（療養型）の基本施設サービス費及び療養体制維持特別加算（Ⅱ）に係る届出</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phoneticPr fontId="3"/>
  </si>
  <si>
    <t>　①　新規入所者の状況（注）</t>
    <rPh sb="3" eb="5">
      <t>シンキ</t>
    </rPh>
    <rPh sb="5" eb="7">
      <t>ニュウショ</t>
    </rPh>
    <rPh sb="7" eb="8">
      <t>シャ</t>
    </rPh>
    <rPh sb="9" eb="11">
      <t>ジョウキョウ</t>
    </rPh>
    <rPh sb="12" eb="13">
      <t>チュウ</t>
    </rPh>
    <phoneticPr fontId="3"/>
  </si>
  <si>
    <t>　 ②　入所者・利用者の利用状況</t>
    <rPh sb="4" eb="7">
      <t>ニュウショシャ</t>
    </rPh>
    <rPh sb="8" eb="11">
      <t>リヨウシャ</t>
    </rPh>
    <rPh sb="12" eb="13">
      <t>リ</t>
    </rPh>
    <rPh sb="13" eb="14">
      <t>ヨウ</t>
    </rPh>
    <rPh sb="14" eb="16">
      <t>ジョウキョウ</t>
    </rPh>
    <phoneticPr fontId="3"/>
  </si>
  <si>
    <t>　①　入所者及び利用者の状況</t>
    <rPh sb="3" eb="6">
      <t>ニュウショシャ</t>
    </rPh>
    <rPh sb="6" eb="7">
      <t>オヨ</t>
    </rPh>
    <rPh sb="8" eb="11">
      <t>リヨウシャ</t>
    </rPh>
    <rPh sb="12" eb="14">
      <t>ジョウキョウ</t>
    </rPh>
    <phoneticPr fontId="3"/>
  </si>
  <si>
    <t>栄養マネジメント体制に関する届出書</t>
    <rPh sb="0" eb="2">
      <t>エイヨウ</t>
    </rPh>
    <rPh sb="8" eb="10">
      <t>タイセイ</t>
    </rPh>
    <rPh sb="11" eb="12">
      <t>カン</t>
    </rPh>
    <rPh sb="14" eb="17">
      <t>トドケデショ</t>
    </rPh>
    <phoneticPr fontId="3"/>
  </si>
  <si>
    <t>栄養マネジメントの状況</t>
    <rPh sb="0" eb="2">
      <t>エイヨウ</t>
    </rPh>
    <rPh sb="9" eb="11">
      <t>ジョウキョウ</t>
    </rPh>
    <phoneticPr fontId="3"/>
  </si>
  <si>
    <t>１．基本サービス（栄養ケア・マネジメントの実施）</t>
    <rPh sb="2" eb="4">
      <t>キホン</t>
    </rPh>
    <rPh sb="9" eb="11">
      <t>エイヨウ</t>
    </rPh>
    <rPh sb="21" eb="23">
      <t>ジッシ</t>
    </rPh>
    <phoneticPr fontId="3"/>
  </si>
  <si>
    <t>栄養マネジメントに関わる者（注）</t>
    <rPh sb="0" eb="2">
      <t>エイヨウ</t>
    </rPh>
    <rPh sb="9" eb="10">
      <t>カカ</t>
    </rPh>
    <rPh sb="12" eb="13">
      <t>モノ</t>
    </rPh>
    <rPh sb="14" eb="15">
      <t>チュウ</t>
    </rPh>
    <phoneticPr fontId="3"/>
  </si>
  <si>
    <t>２．栄養マネジメント強化加算</t>
    <rPh sb="2" eb="4">
      <t>エイヨウ</t>
    </rPh>
    <rPh sb="10" eb="12">
      <t>キョウカ</t>
    </rPh>
    <rPh sb="12" eb="14">
      <t>カサン</t>
    </rPh>
    <phoneticPr fontId="3"/>
  </si>
  <si>
    <t>ａ．入所者数</t>
    <rPh sb="2" eb="5">
      <t>ニュウショシャ</t>
    </rPh>
    <rPh sb="5" eb="6">
      <t>スウ</t>
    </rPh>
    <phoneticPr fontId="3"/>
  </si>
  <si>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3"/>
  </si>
  <si>
    <t>入所者数を
50で除した
数以上</t>
    <rPh sb="0" eb="3">
      <t>ニュウショシャ</t>
    </rPh>
    <rPh sb="3" eb="4">
      <t>スウ</t>
    </rPh>
    <rPh sb="9" eb="10">
      <t>ジョ</t>
    </rPh>
    <rPh sb="13" eb="14">
      <t>カズ</t>
    </rPh>
    <rPh sb="14" eb="16">
      <t>イジョウ</t>
    </rPh>
    <phoneticPr fontId="3"/>
  </si>
  <si>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3"/>
  </si>
  <si>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3"/>
  </si>
  <si>
    <t>注　「栄養マネジメントに関わる者」には、共同で栄養ケア計画を作成している者の職種及び氏名を記入してください。</t>
    <rPh sb="0" eb="1">
      <t>チュウ</t>
    </rPh>
    <phoneticPr fontId="3"/>
  </si>
  <si>
    <t>※　要件を満たすことが分かる根拠書類を準備し、指定権者からの求めがあった場合には、速やかに提出してください。</t>
    <rPh sb="16" eb="18">
      <t>ショルイ</t>
    </rPh>
    <phoneticPr fontId="3"/>
  </si>
  <si>
    <t>サービス提供体制強化加算に関する届出書</t>
    <rPh sb="4" eb="6">
      <t>テイキョウ</t>
    </rPh>
    <rPh sb="6" eb="8">
      <t>タイセイ</t>
    </rPh>
    <rPh sb="8" eb="10">
      <t>キョウカ</t>
    </rPh>
    <rPh sb="10" eb="12">
      <t>カサン</t>
    </rPh>
    <rPh sb="13" eb="14">
      <t>カン</t>
    </rPh>
    <rPh sb="16" eb="19">
      <t>トドケデショ</t>
    </rPh>
    <phoneticPr fontId="3"/>
  </si>
  <si>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3"/>
  </si>
  <si>
    <t>3　施 設 種 別</t>
    <rPh sb="2" eb="3">
      <t>シ</t>
    </rPh>
    <rPh sb="4" eb="5">
      <t>セツ</t>
    </rPh>
    <rPh sb="6" eb="7">
      <t>シュ</t>
    </rPh>
    <rPh sb="8" eb="9">
      <t>ベツ</t>
    </rPh>
    <phoneticPr fontId="3"/>
  </si>
  <si>
    <t>4　届 出 項 目</t>
    <rPh sb="2" eb="3">
      <t>トド</t>
    </rPh>
    <rPh sb="4" eb="5">
      <t>デ</t>
    </rPh>
    <rPh sb="6" eb="7">
      <t>コウ</t>
    </rPh>
    <rPh sb="8" eb="9">
      <t>メ</t>
    </rPh>
    <phoneticPr fontId="3"/>
  </si>
  <si>
    <t>5　介護職員等の状況</t>
    <rPh sb="2" eb="4">
      <t>カイゴ</t>
    </rPh>
    <rPh sb="4" eb="6">
      <t>ショクイン</t>
    </rPh>
    <rPh sb="6" eb="7">
      <t>トウ</t>
    </rPh>
    <rPh sb="8" eb="10">
      <t>ジョウキョウ</t>
    </rPh>
    <phoneticPr fontId="3"/>
  </si>
  <si>
    <t>（１）サービス提供体制強化加算（Ⅰ）</t>
    <rPh sb="7" eb="9">
      <t>テイキョウ</t>
    </rPh>
    <rPh sb="9" eb="11">
      <t>タイセイ</t>
    </rPh>
    <rPh sb="11" eb="13">
      <t>キョウカ</t>
    </rPh>
    <rPh sb="13" eb="15">
      <t>カサン</t>
    </rPh>
    <phoneticPr fontId="3"/>
  </si>
  <si>
    <t>介護福祉士等の
状況</t>
    <rPh sb="0" eb="2">
      <t>カイゴ</t>
    </rPh>
    <rPh sb="2" eb="5">
      <t>フクシシ</t>
    </rPh>
    <rPh sb="5" eb="6">
      <t>トウ</t>
    </rPh>
    <rPh sb="8" eb="10">
      <t>ジョウキョウ</t>
    </rPh>
    <phoneticPr fontId="3"/>
  </si>
  <si>
    <t>①に占める②の割合が70％以上</t>
    <rPh sb="2" eb="3">
      <t>シ</t>
    </rPh>
    <rPh sb="7" eb="9">
      <t>ワリアイ</t>
    </rPh>
    <rPh sb="13" eb="15">
      <t>イジョウ</t>
    </rPh>
    <phoneticPr fontId="3"/>
  </si>
  <si>
    <t>介護職員の総数（常勤換算）</t>
    <rPh sb="0" eb="2">
      <t>カイゴ</t>
    </rPh>
    <rPh sb="2" eb="4">
      <t>ショクイン</t>
    </rPh>
    <rPh sb="5" eb="7">
      <t>ソウスウ</t>
    </rPh>
    <rPh sb="8" eb="10">
      <t>ジョウキン</t>
    </rPh>
    <rPh sb="10" eb="12">
      <t>カンサン</t>
    </rPh>
    <phoneticPr fontId="3"/>
  </si>
  <si>
    <t>①のうち介護福祉士の総数（常勤換算）</t>
    <rPh sb="4" eb="6">
      <t>カイゴ</t>
    </rPh>
    <rPh sb="6" eb="9">
      <t>フクシシ</t>
    </rPh>
    <rPh sb="10" eb="12">
      <t>ソウスウ</t>
    </rPh>
    <rPh sb="13" eb="15">
      <t>ジョウキン</t>
    </rPh>
    <rPh sb="15" eb="17">
      <t>カンサン</t>
    </rPh>
    <phoneticPr fontId="3"/>
  </si>
  <si>
    <t>①に占める③の割合が25％以上</t>
    <rPh sb="2" eb="3">
      <t>シ</t>
    </rPh>
    <rPh sb="7" eb="9">
      <t>ワリアイ</t>
    </rPh>
    <rPh sb="13" eb="15">
      <t>イジョウ</t>
    </rPh>
    <phoneticPr fontId="3"/>
  </si>
  <si>
    <t>①のうち勤続年数10年以上の介護福祉士の総数（常勤換算）</t>
    <rPh sb="4" eb="6">
      <t>キンゾク</t>
    </rPh>
    <rPh sb="6" eb="8">
      <t>ネンスウ</t>
    </rPh>
    <rPh sb="10" eb="13">
      <t>ネンイジョウ</t>
    </rPh>
    <rPh sb="14" eb="16">
      <t>カイゴ</t>
    </rPh>
    <rPh sb="16" eb="19">
      <t>フクシシ</t>
    </rPh>
    <phoneticPr fontId="3"/>
  </si>
  <si>
    <t>（２）サービス提供体制強化加算（Ⅱ）</t>
    <rPh sb="7" eb="9">
      <t>テイキョウ</t>
    </rPh>
    <rPh sb="9" eb="11">
      <t>タイセイ</t>
    </rPh>
    <rPh sb="11" eb="13">
      <t>キョウカ</t>
    </rPh>
    <rPh sb="13" eb="15">
      <t>カサン</t>
    </rPh>
    <phoneticPr fontId="3"/>
  </si>
  <si>
    <t>①に占める②の割合が50％以上</t>
    <rPh sb="2" eb="3">
      <t>シ</t>
    </rPh>
    <rPh sb="7" eb="9">
      <t>ワリアイ</t>
    </rPh>
    <rPh sb="13" eb="15">
      <t>イジョウ</t>
    </rPh>
    <phoneticPr fontId="3"/>
  </si>
  <si>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3"/>
  </si>
  <si>
    <t>①に占める②の割合が40％以上</t>
    <rPh sb="2" eb="3">
      <t>シ</t>
    </rPh>
    <rPh sb="7" eb="9">
      <t>ワリアイ</t>
    </rPh>
    <rPh sb="13" eb="15">
      <t>イジョウ</t>
    </rPh>
    <phoneticPr fontId="3"/>
  </si>
  <si>
    <t>勤続年数の状況</t>
    <rPh sb="0" eb="2">
      <t>キンゾク</t>
    </rPh>
    <rPh sb="2" eb="4">
      <t>ネンスウ</t>
    </rPh>
    <rPh sb="5" eb="7">
      <t>ジョウキョウ</t>
    </rPh>
    <phoneticPr fontId="3"/>
  </si>
  <si>
    <t>①に占める②の割合が30％以上</t>
    <rPh sb="2" eb="3">
      <t>シ</t>
    </rPh>
    <rPh sb="7" eb="9">
      <t>ワリアイ</t>
    </rPh>
    <rPh sb="13" eb="15">
      <t>イジョウ</t>
    </rPh>
    <phoneticPr fontId="3"/>
  </si>
  <si>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3"/>
  </si>
  <si>
    <t>①のうち勤続年数７年以上の者の総数（常勤換算）</t>
    <phoneticPr fontId="3"/>
  </si>
  <si>
    <t>①に占める②の割合が80％以上</t>
    <rPh sb="2" eb="3">
      <t>シ</t>
    </rPh>
    <rPh sb="7" eb="9">
      <t>ワリアイ</t>
    </rPh>
    <rPh sb="13" eb="15">
      <t>イジョウ</t>
    </rPh>
    <phoneticPr fontId="3"/>
  </si>
  <si>
    <t>①に占める③の割合が35％以上</t>
    <rPh sb="2" eb="3">
      <t>シ</t>
    </rPh>
    <rPh sb="7" eb="9">
      <t>ワリアイ</t>
    </rPh>
    <rPh sb="13" eb="15">
      <t>イジョウ</t>
    </rPh>
    <phoneticPr fontId="3"/>
  </si>
  <si>
    <t>サービスの質の向上に資する
取組の状況</t>
    <rPh sb="5" eb="6">
      <t>シツ</t>
    </rPh>
    <rPh sb="7" eb="9">
      <t>コウジョウ</t>
    </rPh>
    <rPh sb="10" eb="11">
      <t>シ</t>
    </rPh>
    <rPh sb="14" eb="15">
      <t>ト</t>
    </rPh>
    <rPh sb="15" eb="16">
      <t>ク</t>
    </rPh>
    <rPh sb="17" eb="19">
      <t>ジョウキョウ</t>
    </rPh>
    <phoneticPr fontId="3"/>
  </si>
  <si>
    <t>①に占める②の割合が60％以上</t>
    <rPh sb="2" eb="3">
      <t>シ</t>
    </rPh>
    <rPh sb="7" eb="9">
      <t>ワリアイ</t>
    </rPh>
    <rPh sb="13" eb="15">
      <t>イジョウ</t>
    </rPh>
    <phoneticPr fontId="3"/>
  </si>
  <si>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3"/>
  </si>
  <si>
    <t>　　　 ※介護福祉士等の状況、常勤職員の状況、勤続年数の状況のうち、いずれか１つを満たすこと。</t>
    <phoneticPr fontId="3"/>
  </si>
  <si>
    <t>常勤職員の
状況</t>
    <rPh sb="0" eb="2">
      <t>ジョウキン</t>
    </rPh>
    <rPh sb="2" eb="4">
      <t>ショクイン</t>
    </rPh>
    <rPh sb="6" eb="8">
      <t>ジョウキョウ</t>
    </rPh>
    <phoneticPr fontId="3"/>
  </si>
  <si>
    <t>①に占める②の割合が75％以上</t>
    <rPh sb="2" eb="3">
      <t>シ</t>
    </rPh>
    <rPh sb="7" eb="9">
      <t>ワリアイ</t>
    </rPh>
    <rPh sb="13" eb="15">
      <t>イジョウ</t>
    </rPh>
    <phoneticPr fontId="3"/>
  </si>
  <si>
    <t>看護・介護職員の総数（常勤換算）</t>
    <rPh sb="0" eb="2">
      <t>カンゴ</t>
    </rPh>
    <rPh sb="3" eb="5">
      <t>カイゴ</t>
    </rPh>
    <rPh sb="5" eb="7">
      <t>ショクイン</t>
    </rPh>
    <rPh sb="8" eb="10">
      <t>ソウスウ</t>
    </rPh>
    <rPh sb="11" eb="13">
      <t>ジョウキン</t>
    </rPh>
    <rPh sb="13" eb="15">
      <t>カンサン</t>
    </rPh>
    <phoneticPr fontId="3"/>
  </si>
  <si>
    <t>①のうち常勤の者の総数（常勤換算）</t>
    <rPh sb="4" eb="6">
      <t>ジョウキン</t>
    </rPh>
    <phoneticPr fontId="3"/>
  </si>
  <si>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3"/>
  </si>
  <si>
    <t>①のうち勤続年数７年以上の者の総数
　（常勤換算）</t>
    <phoneticPr fontId="3"/>
  </si>
  <si>
    <t>備考１</t>
    <rPh sb="0" eb="2">
      <t>ビコウ</t>
    </rPh>
    <phoneticPr fontId="3"/>
  </si>
  <si>
    <t>備考２</t>
    <rPh sb="0" eb="2">
      <t>ビコウ</t>
    </rPh>
    <phoneticPr fontId="3"/>
  </si>
  <si>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3"/>
  </si>
  <si>
    <t>評価対象期間の通所リハビリテーション終了者数</t>
    <phoneticPr fontId="3"/>
  </si>
  <si>
    <t>①のうち、指定通所介護等を実施した者の数（注１）</t>
    <phoneticPr fontId="3"/>
  </si>
  <si>
    <t>３％超</t>
    <rPh sb="2" eb="3">
      <t>チョウ</t>
    </rPh>
    <phoneticPr fontId="3"/>
  </si>
  <si>
    <t>評価対象期間の新規終了者数（注２）</t>
    <phoneticPr fontId="3"/>
  </si>
  <si>
    <t>２７％以上</t>
    <rPh sb="3" eb="5">
      <t>イジョウ</t>
    </rPh>
    <phoneticPr fontId="3"/>
  </si>
  <si>
    <t>注１：</t>
    <phoneticPr fontId="3"/>
  </si>
  <si>
    <t>注２：</t>
    <phoneticPr fontId="3"/>
  </si>
  <si>
    <t>看　護　師</t>
    <phoneticPr fontId="3"/>
  </si>
  <si>
    <t>管 理 栄 養 士</t>
    <phoneticPr fontId="3"/>
  </si>
  <si>
    <t>利用延人員数の減少が生じた月の前年度の１月当たりの平均利用延人員数</t>
  </si>
  <si>
    <t>感染症又は災害の発生を理由とする通所介護等の介護報酬による評価　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2" eb="34">
      <t>トドケデ</t>
    </rPh>
    <rPh sb="34" eb="36">
      <t>ヨウシキ</t>
    </rPh>
    <phoneticPr fontId="40"/>
  </si>
  <si>
    <t>　　　　　サービス種別　　　　　　　　現在⇒</t>
    <rPh sb="9" eb="11">
      <t>シュベツ</t>
    </rPh>
    <rPh sb="19" eb="21">
      <t>ゲンザイ</t>
    </rPh>
    <phoneticPr fontId="40"/>
  </si>
  <si>
    <t>○　本様式は、感染症又は災害の発生を理由とする通所介護等の介護報酬による評価を届け出る際に使用するものです。
○　記入にあたって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のほか、各項目の注を参照の上、行ってください。</t>
    <rPh sb="2" eb="3">
      <t>ホン</t>
    </rPh>
    <rPh sb="3" eb="5">
      <t>ヨウシキ</t>
    </rPh>
    <rPh sb="7" eb="10">
      <t>カンセンショウ</t>
    </rPh>
    <rPh sb="10" eb="11">
      <t>マタ</t>
    </rPh>
    <rPh sb="12" eb="14">
      <t>サイガイ</t>
    </rPh>
    <rPh sb="15" eb="17">
      <t>ハッセイ</t>
    </rPh>
    <rPh sb="18" eb="20">
      <t>リユウ</t>
    </rPh>
    <rPh sb="23" eb="25">
      <t>ツウショ</t>
    </rPh>
    <rPh sb="25" eb="27">
      <t>カイゴ</t>
    </rPh>
    <rPh sb="27" eb="28">
      <t>トウ</t>
    </rPh>
    <rPh sb="29" eb="33">
      <t>カイゴホウシュウ</t>
    </rPh>
    <rPh sb="36" eb="38">
      <t>ヒョウカ</t>
    </rPh>
    <rPh sb="43" eb="44">
      <t>サイ</t>
    </rPh>
    <rPh sb="45" eb="47">
      <t>シヨウ</t>
    </rPh>
    <rPh sb="57" eb="59">
      <t>キニュウ</t>
    </rPh>
    <rPh sb="147" eb="149">
      <t>ロウニン</t>
    </rPh>
    <rPh sb="149" eb="150">
      <t>ハツ</t>
    </rPh>
    <rPh sb="154" eb="155">
      <t>ダイ</t>
    </rPh>
    <rPh sb="156" eb="157">
      <t>ゴウ</t>
    </rPh>
    <rPh sb="158" eb="160">
      <t>ロウロウ</t>
    </rPh>
    <rPh sb="160" eb="161">
      <t>ハツ</t>
    </rPh>
    <rPh sb="165" eb="166">
      <t>ダイ</t>
    </rPh>
    <rPh sb="167" eb="168">
      <t>ゴウ</t>
    </rPh>
    <rPh sb="168" eb="170">
      <t>レイワ</t>
    </rPh>
    <rPh sb="171" eb="172">
      <t>ネン</t>
    </rPh>
    <rPh sb="173" eb="174">
      <t>ガツ</t>
    </rPh>
    <rPh sb="176" eb="177">
      <t>ニチ</t>
    </rPh>
    <rPh sb="177" eb="179">
      <t>コウセイ</t>
    </rPh>
    <rPh sb="179" eb="182">
      <t>ロウドウショウ</t>
    </rPh>
    <rPh sb="182" eb="185">
      <t>ロウケンキョク</t>
    </rPh>
    <rPh sb="198" eb="199">
      <t>チョウ</t>
    </rPh>
    <rPh sb="200" eb="202">
      <t>ロウジン</t>
    </rPh>
    <rPh sb="202" eb="204">
      <t>ホケン</t>
    </rPh>
    <rPh sb="204" eb="206">
      <t>カチョウ</t>
    </rPh>
    <rPh sb="206" eb="208">
      <t>レンメイ</t>
    </rPh>
    <rPh sb="208" eb="210">
      <t>ツウチ</t>
    </rPh>
    <rPh sb="215" eb="218">
      <t>カクコウモク</t>
    </rPh>
    <rPh sb="219" eb="220">
      <t>チュウ</t>
    </rPh>
    <rPh sb="221" eb="223">
      <t>サンショウ</t>
    </rPh>
    <rPh sb="224" eb="225">
      <t>ウエ</t>
    </rPh>
    <rPh sb="226" eb="227">
      <t>オコナ</t>
    </rPh>
    <phoneticPr fontId="40"/>
  </si>
  <si>
    <t>通所介護</t>
    <rPh sb="0" eb="2">
      <t>ツウショ</t>
    </rPh>
    <rPh sb="2" eb="4">
      <t>カイゴ</t>
    </rPh>
    <phoneticPr fontId="40"/>
  </si>
  <si>
    <t>通所リハビリテーション</t>
    <rPh sb="0" eb="2">
      <t>ツウショ</t>
    </rPh>
    <phoneticPr fontId="40"/>
  </si>
  <si>
    <t>地域密着型通所介護</t>
    <rPh sb="0" eb="2">
      <t>チイキ</t>
    </rPh>
    <rPh sb="2" eb="5">
      <t>ミッチャクガタ</t>
    </rPh>
    <rPh sb="5" eb="7">
      <t>ツウショ</t>
    </rPh>
    <rPh sb="7" eb="9">
      <t>カイゴ</t>
    </rPh>
    <phoneticPr fontId="40"/>
  </si>
  <si>
    <t>認知症対応型通所介護</t>
    <rPh sb="0" eb="3">
      <t>ニンチショウ</t>
    </rPh>
    <rPh sb="3" eb="6">
      <t>タイオウガタ</t>
    </rPh>
    <rPh sb="6" eb="8">
      <t>ツウショ</t>
    </rPh>
    <rPh sb="8" eb="10">
      <t>カイゴ</t>
    </rPh>
    <phoneticPr fontId="40"/>
  </si>
  <si>
    <t>介護予防認知症対応型通所介護</t>
    <rPh sb="0" eb="2">
      <t>カイゴ</t>
    </rPh>
    <rPh sb="2" eb="4">
      <t>ヨボウ</t>
    </rPh>
    <rPh sb="4" eb="7">
      <t>ニンチショウ</t>
    </rPh>
    <rPh sb="7" eb="10">
      <t>タイオウガタ</t>
    </rPh>
    <rPh sb="10" eb="12">
      <t>ツウショ</t>
    </rPh>
    <rPh sb="12" eb="14">
      <t>カイゴ</t>
    </rPh>
    <phoneticPr fontId="40"/>
  </si>
  <si>
    <t>（１）　事業所基本情報</t>
    <rPh sb="4" eb="7">
      <t>ジギョウショ</t>
    </rPh>
    <rPh sb="7" eb="9">
      <t>キホン</t>
    </rPh>
    <rPh sb="9" eb="11">
      <t>ジョウホウ</t>
    </rPh>
    <phoneticPr fontId="40"/>
  </si>
  <si>
    <t>規模区分　　　　現在⇒</t>
    <rPh sb="8" eb="10">
      <t>ゲンザイ</t>
    </rPh>
    <phoneticPr fontId="40"/>
  </si>
  <si>
    <t>事業所番号</t>
    <rPh sb="0" eb="3">
      <t>ジギョウショ</t>
    </rPh>
    <rPh sb="3" eb="5">
      <t>バンゴウ</t>
    </rPh>
    <phoneticPr fontId="40"/>
  </si>
  <si>
    <t>事業所名</t>
    <rPh sb="0" eb="3">
      <t>ジギョウショ</t>
    </rPh>
    <rPh sb="3" eb="4">
      <t>メイ</t>
    </rPh>
    <phoneticPr fontId="40"/>
  </si>
  <si>
    <t>通常規模型</t>
    <rPh sb="0" eb="2">
      <t>ツウジョウ</t>
    </rPh>
    <rPh sb="2" eb="4">
      <t>キボ</t>
    </rPh>
    <rPh sb="4" eb="5">
      <t>ガタ</t>
    </rPh>
    <phoneticPr fontId="40"/>
  </si>
  <si>
    <t>担当者氏名</t>
    <rPh sb="0" eb="3">
      <t>タントウシャ</t>
    </rPh>
    <rPh sb="3" eb="5">
      <t>シメイ</t>
    </rPh>
    <phoneticPr fontId="40"/>
  </si>
  <si>
    <t>電話番号</t>
    <rPh sb="0" eb="2">
      <t>デンワ</t>
    </rPh>
    <rPh sb="2" eb="4">
      <t>バンゴウ</t>
    </rPh>
    <phoneticPr fontId="40"/>
  </si>
  <si>
    <t>ﾒｰﾙｱﾄﾞﾚｽ</t>
    <phoneticPr fontId="40"/>
  </si>
  <si>
    <t>大規模型Ⅰ</t>
    <rPh sb="0" eb="3">
      <t>ダイキボ</t>
    </rPh>
    <rPh sb="3" eb="4">
      <t>ガタ</t>
    </rPh>
    <phoneticPr fontId="40"/>
  </si>
  <si>
    <t>サービス種別</t>
    <rPh sb="4" eb="6">
      <t>シュベツ</t>
    </rPh>
    <phoneticPr fontId="40"/>
  </si>
  <si>
    <t>規模区分</t>
    <rPh sb="0" eb="2">
      <t>キボ</t>
    </rPh>
    <rPh sb="2" eb="4">
      <t>クブン</t>
    </rPh>
    <phoneticPr fontId="40"/>
  </si>
  <si>
    <t>大規模型Ⅱ</t>
    <rPh sb="0" eb="3">
      <t>ダイキボ</t>
    </rPh>
    <rPh sb="3" eb="4">
      <t>ガタ</t>
    </rPh>
    <phoneticPr fontId="40"/>
  </si>
  <si>
    <t>※　青色セルは直接入力、緑色セルはプルダウン入力してください（以下同じ）。
※　サービス種別が通所介護及び通所リハビリテーションの場合には、規模区分欄も記載してください。</t>
    <rPh sb="2" eb="4">
      <t>アオイロ</t>
    </rPh>
    <rPh sb="7" eb="9">
      <t>チョクセツ</t>
    </rPh>
    <rPh sb="9" eb="11">
      <t>ニュウリョク</t>
    </rPh>
    <rPh sb="12" eb="14">
      <t>ミドリイロ</t>
    </rPh>
    <rPh sb="22" eb="24">
      <t>ニュウリョク</t>
    </rPh>
    <rPh sb="31" eb="33">
      <t>イカ</t>
    </rPh>
    <rPh sb="33" eb="34">
      <t>オナ</t>
    </rPh>
    <phoneticPr fontId="40"/>
  </si>
  <si>
    <t>（２）　加算算定・特例適用の届出</t>
    <rPh sb="4" eb="6">
      <t>カサン</t>
    </rPh>
    <rPh sb="6" eb="8">
      <t>サンテイ</t>
    </rPh>
    <rPh sb="9" eb="11">
      <t>トクレイ</t>
    </rPh>
    <rPh sb="11" eb="13">
      <t>テキヨウ</t>
    </rPh>
    <rPh sb="14" eb="16">
      <t>トドケデ</t>
    </rPh>
    <phoneticPr fontId="40"/>
  </si>
  <si>
    <t>減少月</t>
    <rPh sb="0" eb="2">
      <t>ゲンショウ</t>
    </rPh>
    <rPh sb="2" eb="3">
      <t>ツキ</t>
    </rPh>
    <phoneticPr fontId="40"/>
  </si>
  <si>
    <t>利用延人員数の減少が生じた月</t>
    <rPh sb="0" eb="2">
      <t>リヨウ</t>
    </rPh>
    <rPh sb="2" eb="5">
      <t>ノベジンイン</t>
    </rPh>
    <rPh sb="5" eb="6">
      <t>スウ</t>
    </rPh>
    <rPh sb="7" eb="9">
      <t>ゲンショウ</t>
    </rPh>
    <rPh sb="10" eb="11">
      <t>ショウ</t>
    </rPh>
    <rPh sb="13" eb="14">
      <t>ツキ</t>
    </rPh>
    <phoneticPr fontId="40"/>
  </si>
  <si>
    <t>令和</t>
    <rPh sb="0" eb="2">
      <t>レイワ</t>
    </rPh>
    <phoneticPr fontId="40"/>
  </si>
  <si>
    <t>年</t>
    <rPh sb="0" eb="1">
      <t>ネン</t>
    </rPh>
    <phoneticPr fontId="40"/>
  </si>
  <si>
    <t>月</t>
    <rPh sb="0" eb="1">
      <t>ガツ</t>
    </rPh>
    <phoneticPr fontId="40"/>
  </si>
  <si>
    <t>利用延人員数の減少が生じた月の利用延人員数</t>
    <rPh sb="0" eb="2">
      <t>リヨウ</t>
    </rPh>
    <rPh sb="2" eb="5">
      <t>ノベジンイン</t>
    </rPh>
    <rPh sb="5" eb="6">
      <t>スウ</t>
    </rPh>
    <rPh sb="7" eb="9">
      <t>ゲンショウ</t>
    </rPh>
    <rPh sb="10" eb="11">
      <t>ショウ</t>
    </rPh>
    <rPh sb="13" eb="14">
      <t>ツキ</t>
    </rPh>
    <rPh sb="15" eb="17">
      <t>リヨウ</t>
    </rPh>
    <rPh sb="17" eb="20">
      <t>ノベジンイン</t>
    </rPh>
    <rPh sb="20" eb="21">
      <t>スウ</t>
    </rPh>
    <phoneticPr fontId="40"/>
  </si>
  <si>
    <t>人</t>
    <rPh sb="0" eb="1">
      <t>ニン</t>
    </rPh>
    <phoneticPr fontId="40"/>
  </si>
  <si>
    <t>減少率（小数）</t>
    <rPh sb="0" eb="3">
      <t>ゲンショウリツ</t>
    </rPh>
    <rPh sb="4" eb="6">
      <t>ショウスウ</t>
    </rPh>
    <phoneticPr fontId="40"/>
  </si>
  <si>
    <t>減少率</t>
    <rPh sb="0" eb="3">
      <t>ゲンショウリツ</t>
    </rPh>
    <phoneticPr fontId="40"/>
  </si>
  <si>
    <t>加算算定の可否</t>
    <rPh sb="5" eb="7">
      <t>カヒ</t>
    </rPh>
    <phoneticPr fontId="40"/>
  </si>
  <si>
    <t>規模特例の可否↓</t>
    <rPh sb="0" eb="2">
      <t>キボ</t>
    </rPh>
    <rPh sb="2" eb="4">
      <t>トクレイ</t>
    </rPh>
    <rPh sb="5" eb="7">
      <t>カヒ</t>
    </rPh>
    <phoneticPr fontId="40"/>
  </si>
  <si>
    <t>↓R3.４月以降</t>
    <rPh sb="5" eb="6">
      <t>ガツ</t>
    </rPh>
    <rPh sb="6" eb="8">
      <t>イコウ</t>
    </rPh>
    <phoneticPr fontId="40"/>
  </si>
  <si>
    <t>特例適用の可否</t>
    <rPh sb="0" eb="2">
      <t>トクレイ</t>
    </rPh>
    <rPh sb="2" eb="4">
      <t>テキヨウ</t>
    </rPh>
    <rPh sb="5" eb="7">
      <t>カヒ</t>
    </rPh>
    <phoneticPr fontId="40"/>
  </si>
  <si>
    <t>※　黄色セルは自動計算されますので、入力しないでください（以下同じ）。
※　「利用延人員数の減少が生じた月の利用延人員数」「利用延人員数の減少が生じた月の前年度の１月当たりの利用延人員数」については、
　以下を準用し算定してください（以下、利用延人員数の計算にあたっては、すべてこれによることとします。）
・通所介護、地域密着型通所介護、(介護予防)認知症対応型通所介護については、「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第２の７（４）及び（５）
・通所リハビリテーションについては、同通知第２の８（２）及び（８）
※　「加算算定の可否」「特例適用の可否」欄のいずれかに「可」が表示された場合は、利用延人員数の減少が生じた月の翌月15日までに都道府県・市町村に本様式を提出することで、加算算定・特例適用の届出を行うことができます。（両欄とも「否」が表示された場合は、提出不要です。）</t>
    <rPh sb="46" eb="48">
      <t>ゲンショウ</t>
    </rPh>
    <rPh sb="49" eb="50">
      <t>ショウ</t>
    </rPh>
    <rPh sb="52" eb="53">
      <t>ツキ</t>
    </rPh>
    <rPh sb="69" eb="71">
      <t>ゲンショウ</t>
    </rPh>
    <rPh sb="72" eb="73">
      <t>ショウ</t>
    </rPh>
    <rPh sb="75" eb="76">
      <t>ツキ</t>
    </rPh>
    <rPh sb="77" eb="80">
      <t>ゼンネンド</t>
    </rPh>
    <rPh sb="117" eb="119">
      <t>イカ</t>
    </rPh>
    <rPh sb="127" eb="129">
      <t>ケイサン</t>
    </rPh>
    <rPh sb="170" eb="172">
      <t>カイゴ</t>
    </rPh>
    <rPh sb="172" eb="174">
      <t>ヨボウ</t>
    </rPh>
    <rPh sb="319" eb="320">
      <t>オヨ</t>
    </rPh>
    <rPh sb="353" eb="354">
      <t>オヨ</t>
    </rPh>
    <rPh sb="406" eb="408">
      <t>ゲンショウ</t>
    </rPh>
    <rPh sb="409" eb="410">
      <t>ショウ</t>
    </rPh>
    <rPh sb="412" eb="413">
      <t>ツキ</t>
    </rPh>
    <rPh sb="414" eb="416">
      <t>ヨクゲツ</t>
    </rPh>
    <rPh sb="418" eb="419">
      <t>ニチ</t>
    </rPh>
    <rPh sb="422" eb="426">
      <t>トドウフケン</t>
    </rPh>
    <rPh sb="427" eb="430">
      <t>シチョウソン</t>
    </rPh>
    <rPh sb="435" eb="437">
      <t>テイシュツ</t>
    </rPh>
    <rPh sb="445" eb="447">
      <t>サンテイ</t>
    </rPh>
    <rPh sb="453" eb="455">
      <t>トドケデ</t>
    </rPh>
    <rPh sb="472" eb="473">
      <t>ヒ</t>
    </rPh>
    <rPh sb="475" eb="477">
      <t>ヒョウジ</t>
    </rPh>
    <rPh sb="480" eb="482">
      <t>バアイ</t>
    </rPh>
    <rPh sb="484" eb="486">
      <t>テイシュツ</t>
    </rPh>
    <rPh sb="486" eb="488">
      <t>フヨウ</t>
    </rPh>
    <phoneticPr fontId="40"/>
  </si>
  <si>
    <t>加算算定事業所のみ</t>
    <rPh sb="0" eb="2">
      <t>カサン</t>
    </rPh>
    <rPh sb="2" eb="4">
      <t>サンテイ</t>
    </rPh>
    <rPh sb="4" eb="7">
      <t>ジギョウショ</t>
    </rPh>
    <phoneticPr fontId="40"/>
  </si>
  <si>
    <t>※ 加算算定開始後に記入してください。（加算を算定しない事業所は記入及び届出の必要はありません。）</t>
    <rPh sb="6" eb="8">
      <t>カイシ</t>
    </rPh>
    <rPh sb="8" eb="9">
      <t>アト</t>
    </rPh>
    <rPh sb="10" eb="12">
      <t>キニュウ</t>
    </rPh>
    <rPh sb="20" eb="22">
      <t>カサン</t>
    </rPh>
    <rPh sb="23" eb="25">
      <t>サンテイ</t>
    </rPh>
    <rPh sb="28" eb="31">
      <t>ジギョウショ</t>
    </rPh>
    <rPh sb="32" eb="34">
      <t>キニュウ</t>
    </rPh>
    <rPh sb="34" eb="35">
      <t>オヨ</t>
    </rPh>
    <rPh sb="36" eb="38">
      <t>トドケデ</t>
    </rPh>
    <rPh sb="39" eb="41">
      <t>ヒツヨウ</t>
    </rPh>
    <phoneticPr fontId="40"/>
  </si>
  <si>
    <t>（３）　加算算定後の各月の利用延人員数の確認</t>
    <rPh sb="10" eb="11">
      <t>カク</t>
    </rPh>
    <rPh sb="11" eb="12">
      <t>ツキ</t>
    </rPh>
    <rPh sb="13" eb="15">
      <t>リヨウ</t>
    </rPh>
    <rPh sb="15" eb="18">
      <t>ノベジンイン</t>
    </rPh>
    <rPh sb="18" eb="19">
      <t>スウ</t>
    </rPh>
    <rPh sb="20" eb="22">
      <t>カクニン</t>
    </rPh>
    <phoneticPr fontId="40"/>
  </si>
  <si>
    <t>年月</t>
    <rPh sb="0" eb="2">
      <t>ネンゲツ</t>
    </rPh>
    <phoneticPr fontId="40"/>
  </si>
  <si>
    <t>各月の
利用延人員数</t>
    <rPh sb="0" eb="2">
      <t>カクツキ</t>
    </rPh>
    <rPh sb="4" eb="6">
      <t>リヨウ</t>
    </rPh>
    <rPh sb="6" eb="9">
      <t>ノベジンイン</t>
    </rPh>
    <rPh sb="9" eb="10">
      <t>スウ</t>
    </rPh>
    <phoneticPr fontId="40"/>
  </si>
  <si>
    <t>減少割合</t>
    <rPh sb="0" eb="2">
      <t>ゲンショウ</t>
    </rPh>
    <rPh sb="2" eb="4">
      <t>ワリアイ</t>
    </rPh>
    <phoneticPr fontId="40"/>
  </si>
  <si>
    <t>加算
算定の可否</t>
    <rPh sb="0" eb="2">
      <t>カサン</t>
    </rPh>
    <rPh sb="3" eb="5">
      <t>サンテイ</t>
    </rPh>
    <rPh sb="6" eb="8">
      <t>カヒ</t>
    </rPh>
    <phoneticPr fontId="40"/>
  </si>
  <si>
    <t>加算算定届提出月</t>
    <rPh sb="4" eb="5">
      <t>トドケ</t>
    </rPh>
    <rPh sb="5" eb="7">
      <t>テイシュツ</t>
    </rPh>
    <rPh sb="7" eb="8">
      <t>ツキ</t>
    </rPh>
    <phoneticPr fontId="40"/>
  </si>
  <si>
    <t>加算算定開始月</t>
    <rPh sb="4" eb="6">
      <t>カイシ</t>
    </rPh>
    <rPh sb="6" eb="7">
      <t>ツキ</t>
    </rPh>
    <phoneticPr fontId="40"/>
  </si>
  <si>
    <t>加算延長判断月</t>
    <rPh sb="0" eb="2">
      <t>カサン</t>
    </rPh>
    <rPh sb="2" eb="4">
      <t>エンチョウ</t>
    </rPh>
    <rPh sb="4" eb="6">
      <t>ハンダン</t>
    </rPh>
    <rPh sb="6" eb="7">
      <t>ツキ</t>
    </rPh>
    <phoneticPr fontId="40"/>
  </si>
  <si>
    <t>加算終了／延長届提出月</t>
    <rPh sb="0" eb="2">
      <t>カサン</t>
    </rPh>
    <rPh sb="2" eb="4">
      <t>シュウリョウ</t>
    </rPh>
    <rPh sb="5" eb="8">
      <t>エンチョウトドケ</t>
    </rPh>
    <rPh sb="8" eb="10">
      <t>テイシュツ</t>
    </rPh>
    <rPh sb="10" eb="11">
      <t>ツキ</t>
    </rPh>
    <phoneticPr fontId="40"/>
  </si>
  <si>
    <t>減少の
２か月後
に算定
開始</t>
    <rPh sb="0" eb="2">
      <t>ゲンショウ</t>
    </rPh>
    <rPh sb="6" eb="7">
      <t>ゲツ</t>
    </rPh>
    <rPh sb="7" eb="8">
      <t>アト</t>
    </rPh>
    <rPh sb="10" eb="12">
      <t>サンテイ</t>
    </rPh>
    <rPh sb="13" eb="15">
      <t>カイシ</t>
    </rPh>
    <phoneticPr fontId="40"/>
  </si>
  <si>
    <t>延長適用開始月</t>
    <rPh sb="0" eb="2">
      <t>エンチョウ</t>
    </rPh>
    <rPh sb="2" eb="4">
      <t>テキヨウ</t>
    </rPh>
    <rPh sb="4" eb="6">
      <t>カイシ</t>
    </rPh>
    <rPh sb="6" eb="7">
      <t>ツキ</t>
    </rPh>
    <phoneticPr fontId="40"/>
  </si>
  <si>
    <t>延長適用終了月</t>
    <rPh sb="0" eb="2">
      <t>エンチョウ</t>
    </rPh>
    <rPh sb="2" eb="4">
      <t>テキヨウ</t>
    </rPh>
    <rPh sb="4" eb="6">
      <t>シュウリョウ</t>
    </rPh>
    <rPh sb="6" eb="7">
      <t>ツキ</t>
    </rPh>
    <phoneticPr fontId="40"/>
  </si>
  <si>
    <t>※　加算算定の届出を行った場合は、利用延人員数の減少が生じた月から適用(延長含む)終了月まで、各月の利用延人員数を入力してください。
※　「加算算定の可否」欄に「否」が表示された場合は、速やかに都道府県・市町村に本様式を提出してください。（提出を怠った場合は、加算に係る報酬について返還となる場合があり得るため、ご留意ください。なお、「可」が表示された場合は、本様式を提出する必要はありません。）</t>
    <rPh sb="7" eb="9">
      <t>トドケデ</t>
    </rPh>
    <rPh sb="10" eb="11">
      <t>オコナ</t>
    </rPh>
    <rPh sb="13" eb="15">
      <t>バアイ</t>
    </rPh>
    <rPh sb="17" eb="19">
      <t>リヨウ</t>
    </rPh>
    <rPh sb="19" eb="20">
      <t>ノ</t>
    </rPh>
    <rPh sb="20" eb="22">
      <t>ジンイン</t>
    </rPh>
    <rPh sb="22" eb="23">
      <t>スウ</t>
    </rPh>
    <rPh sb="24" eb="26">
      <t>ゲンショウ</t>
    </rPh>
    <rPh sb="27" eb="28">
      <t>ショウ</t>
    </rPh>
    <rPh sb="30" eb="31">
      <t>ツキ</t>
    </rPh>
    <rPh sb="33" eb="35">
      <t>テキヨウ</t>
    </rPh>
    <rPh sb="36" eb="38">
      <t>エンチョウ</t>
    </rPh>
    <rPh sb="38" eb="39">
      <t>フク</t>
    </rPh>
    <rPh sb="41" eb="43">
      <t>シュウリョウ</t>
    </rPh>
    <rPh sb="43" eb="44">
      <t>ツキ</t>
    </rPh>
    <rPh sb="47" eb="49">
      <t>カクツキ</t>
    </rPh>
    <rPh sb="57" eb="59">
      <t>ニュウリョク</t>
    </rPh>
    <rPh sb="75" eb="77">
      <t>カヒ</t>
    </rPh>
    <rPh sb="78" eb="79">
      <t>ラン</t>
    </rPh>
    <rPh sb="81" eb="82">
      <t>ヒ</t>
    </rPh>
    <rPh sb="84" eb="86">
      <t>ヒョウジ</t>
    </rPh>
    <rPh sb="89" eb="91">
      <t>バアイ</t>
    </rPh>
    <rPh sb="93" eb="94">
      <t>スミ</t>
    </rPh>
    <rPh sb="97" eb="101">
      <t>トドウフケン</t>
    </rPh>
    <rPh sb="102" eb="105">
      <t>シチョウソン</t>
    </rPh>
    <rPh sb="106" eb="107">
      <t>ホン</t>
    </rPh>
    <rPh sb="107" eb="109">
      <t>ヨウシキ</t>
    </rPh>
    <rPh sb="110" eb="112">
      <t>テイシュツ</t>
    </rPh>
    <rPh sb="120" eb="122">
      <t>テイシュツ</t>
    </rPh>
    <rPh sb="123" eb="124">
      <t>オコタ</t>
    </rPh>
    <rPh sb="126" eb="128">
      <t>バアイ</t>
    </rPh>
    <rPh sb="130" eb="132">
      <t>カサン</t>
    </rPh>
    <rPh sb="133" eb="134">
      <t>カカ</t>
    </rPh>
    <rPh sb="135" eb="137">
      <t>ホウシュウ</t>
    </rPh>
    <rPh sb="141" eb="143">
      <t>ヘンカン</t>
    </rPh>
    <rPh sb="146" eb="148">
      <t>バアイ</t>
    </rPh>
    <rPh sb="151" eb="152">
      <t>エ</t>
    </rPh>
    <rPh sb="157" eb="159">
      <t>リュウイ</t>
    </rPh>
    <rPh sb="168" eb="169">
      <t>カ</t>
    </rPh>
    <rPh sb="171" eb="173">
      <t>ヒョウジ</t>
    </rPh>
    <rPh sb="176" eb="178">
      <t>バアイ</t>
    </rPh>
    <rPh sb="180" eb="181">
      <t>ホン</t>
    </rPh>
    <rPh sb="181" eb="183">
      <t>ヨウシキ</t>
    </rPh>
    <rPh sb="184" eb="186">
      <t>テイシュツ</t>
    </rPh>
    <rPh sb="188" eb="190">
      <t>ヒツヨウ</t>
    </rPh>
    <phoneticPr fontId="40"/>
  </si>
  <si>
    <t>加算算定事業所であって、（３）オレンジセルに「可」が表示された事業所のみ</t>
    <rPh sb="4" eb="7">
      <t>ジギョウショ</t>
    </rPh>
    <rPh sb="23" eb="24">
      <t>カ</t>
    </rPh>
    <rPh sb="26" eb="28">
      <t>ヒョウジ</t>
    </rPh>
    <rPh sb="31" eb="34">
      <t>ジギョウショ</t>
    </rPh>
    <phoneticPr fontId="40"/>
  </si>
  <si>
    <t>※ 加算算定開始後に記入してください。</t>
    <rPh sb="6" eb="8">
      <t>カイシ</t>
    </rPh>
    <rPh sb="8" eb="9">
      <t>アト</t>
    </rPh>
    <rPh sb="10" eb="12">
      <t>キニュウ</t>
    </rPh>
    <phoneticPr fontId="40"/>
  </si>
  <si>
    <t>（４）　加算算定の延長の届出</t>
    <rPh sb="9" eb="11">
      <t>エンチョウ</t>
    </rPh>
    <rPh sb="12" eb="14">
      <t>トドケデ</t>
    </rPh>
    <phoneticPr fontId="40"/>
  </si>
  <si>
    <t>加算算定の延長を求める理由</t>
    <rPh sb="0" eb="2">
      <t>カサン</t>
    </rPh>
    <rPh sb="2" eb="4">
      <t>サンテイ</t>
    </rPh>
    <rPh sb="5" eb="7">
      <t>エンチョウ</t>
    </rPh>
    <rPh sb="8" eb="9">
      <t>モト</t>
    </rPh>
    <rPh sb="11" eb="13">
      <t>リユウ</t>
    </rPh>
    <phoneticPr fontId="40"/>
  </si>
  <si>
    <t>(例)利用延人員数の減少に対応するための経営改善に時間を要するため</t>
    <rPh sb="1" eb="2">
      <t>レイ</t>
    </rPh>
    <rPh sb="3" eb="5">
      <t>リヨウ</t>
    </rPh>
    <rPh sb="5" eb="6">
      <t>ノ</t>
    </rPh>
    <rPh sb="6" eb="8">
      <t>ジンイン</t>
    </rPh>
    <rPh sb="8" eb="9">
      <t>スウ</t>
    </rPh>
    <rPh sb="10" eb="12">
      <t>ゲンショウ</t>
    </rPh>
    <rPh sb="13" eb="15">
      <t>タイオウ</t>
    </rPh>
    <rPh sb="20" eb="22">
      <t>ケイエイ</t>
    </rPh>
    <rPh sb="22" eb="24">
      <t>カイゼン</t>
    </rPh>
    <rPh sb="25" eb="27">
      <t>ジカン</t>
    </rPh>
    <rPh sb="28" eb="29">
      <t>ヨウ</t>
    </rPh>
    <phoneticPr fontId="40"/>
  </si>
  <si>
    <t>※　加算算定の延長を求める場合は、その理由を入力し、延長届提出月の15日までに都道府県・市町村に本様式を提出することにより、加算算定の延長の届出をすることができます。</t>
    <rPh sb="7" eb="9">
      <t>エンチョウ</t>
    </rPh>
    <rPh sb="10" eb="11">
      <t>モト</t>
    </rPh>
    <rPh sb="13" eb="15">
      <t>バアイ</t>
    </rPh>
    <rPh sb="19" eb="21">
      <t>リユウ</t>
    </rPh>
    <rPh sb="22" eb="24">
      <t>ニュウリョク</t>
    </rPh>
    <rPh sb="26" eb="29">
      <t>エンチョウトドケ</t>
    </rPh>
    <rPh sb="29" eb="31">
      <t>テイシュツ</t>
    </rPh>
    <rPh sb="31" eb="32">
      <t>ツキ</t>
    </rPh>
    <rPh sb="35" eb="36">
      <t>ニチ</t>
    </rPh>
    <rPh sb="39" eb="43">
      <t>トドウフケン</t>
    </rPh>
    <rPh sb="44" eb="47">
      <t>シチョウソン</t>
    </rPh>
    <rPh sb="48" eb="49">
      <t>ホン</t>
    </rPh>
    <rPh sb="49" eb="51">
      <t>ヨウシキ</t>
    </rPh>
    <rPh sb="52" eb="54">
      <t>テイシュツ</t>
    </rPh>
    <rPh sb="62" eb="64">
      <t>カサン</t>
    </rPh>
    <rPh sb="64" eb="66">
      <t>サンテイ</t>
    </rPh>
    <rPh sb="67" eb="69">
      <t>エンチョウ</t>
    </rPh>
    <rPh sb="70" eb="72">
      <t>トドケデ</t>
    </rPh>
    <phoneticPr fontId="40"/>
  </si>
  <si>
    <t>特例適用事業所のみ</t>
    <rPh sb="0" eb="2">
      <t>トクレイ</t>
    </rPh>
    <rPh sb="2" eb="4">
      <t>テキヨウ</t>
    </rPh>
    <rPh sb="4" eb="7">
      <t>ジギョウショ</t>
    </rPh>
    <phoneticPr fontId="40"/>
  </si>
  <si>
    <t>※ 特例開始後に記入してください。（特例を適用しない事業所は記入及び届出の必要はありません。）</t>
    <rPh sb="2" eb="4">
      <t>トクレイ</t>
    </rPh>
    <rPh sb="4" eb="6">
      <t>カイシ</t>
    </rPh>
    <rPh sb="6" eb="7">
      <t>アト</t>
    </rPh>
    <rPh sb="8" eb="10">
      <t>キニュウ</t>
    </rPh>
    <rPh sb="18" eb="20">
      <t>トクレイ</t>
    </rPh>
    <rPh sb="21" eb="23">
      <t>テキヨウ</t>
    </rPh>
    <rPh sb="26" eb="29">
      <t>ジギョウショ</t>
    </rPh>
    <rPh sb="30" eb="32">
      <t>キニュウ</t>
    </rPh>
    <rPh sb="32" eb="33">
      <t>オヨ</t>
    </rPh>
    <rPh sb="34" eb="36">
      <t>トドケデ</t>
    </rPh>
    <rPh sb="37" eb="39">
      <t>ヒツヨウ</t>
    </rPh>
    <phoneticPr fontId="40"/>
  </si>
  <si>
    <t>（５）　特例適用後の各月の利用延人員数の確認</t>
    <rPh sb="4" eb="6">
      <t>トクレイ</t>
    </rPh>
    <rPh sb="6" eb="9">
      <t>テキヨウゴ</t>
    </rPh>
    <rPh sb="10" eb="11">
      <t>カク</t>
    </rPh>
    <rPh sb="11" eb="12">
      <t>ツキ</t>
    </rPh>
    <rPh sb="13" eb="15">
      <t>リヨウ</t>
    </rPh>
    <rPh sb="15" eb="18">
      <t>ノベジンイン</t>
    </rPh>
    <rPh sb="18" eb="19">
      <t>スウ</t>
    </rPh>
    <rPh sb="20" eb="22">
      <t>カクニン</t>
    </rPh>
    <phoneticPr fontId="40"/>
  </si>
  <si>
    <t>特例
適用の可否</t>
    <rPh sb="0" eb="2">
      <t>トクレイ</t>
    </rPh>
    <rPh sb="3" eb="5">
      <t>テキヨウ</t>
    </rPh>
    <rPh sb="6" eb="8">
      <t>カヒ</t>
    </rPh>
    <phoneticPr fontId="40"/>
  </si>
  <si>
    <t>特例適用届提出月</t>
    <rPh sb="0" eb="2">
      <t>トクレイ</t>
    </rPh>
    <rPh sb="2" eb="4">
      <t>テキヨウ</t>
    </rPh>
    <rPh sb="4" eb="5">
      <t>トドケ</t>
    </rPh>
    <rPh sb="5" eb="7">
      <t>テイシュツ</t>
    </rPh>
    <rPh sb="7" eb="8">
      <t>ツキ</t>
    </rPh>
    <phoneticPr fontId="40"/>
  </si>
  <si>
    <t>特例適用開始月</t>
    <rPh sb="0" eb="2">
      <t>トクレイ</t>
    </rPh>
    <rPh sb="2" eb="4">
      <t>テキヨウ</t>
    </rPh>
    <rPh sb="4" eb="6">
      <t>カイシ</t>
    </rPh>
    <rPh sb="6" eb="7">
      <t>ツキ</t>
    </rPh>
    <phoneticPr fontId="40"/>
  </si>
  <si>
    <t>※　特例適用の届出を行った場合は、特例適用届を提出した月から適用終了月まで、各月の利用延人員数を入力してください。
※　「特例適用の可否」欄に「否」が表示された場合は、速やかに都道府県・市町村に本様式を届け出てください。（届出を怠った場合は、特例に係る報酬について返還となる場合があり得るため、ご留意ください。なお、「可」が表示された場合は、本様式を提出する必要はありません。）</t>
    <rPh sb="2" eb="4">
      <t>トクレイ</t>
    </rPh>
    <rPh sb="4" eb="6">
      <t>テキヨウ</t>
    </rPh>
    <rPh sb="7" eb="9">
      <t>トドケデ</t>
    </rPh>
    <rPh sb="10" eb="11">
      <t>オコナ</t>
    </rPh>
    <rPh sb="13" eb="15">
      <t>バアイ</t>
    </rPh>
    <rPh sb="17" eb="19">
      <t>トクレイ</t>
    </rPh>
    <rPh sb="19" eb="21">
      <t>テキヨウ</t>
    </rPh>
    <rPh sb="21" eb="22">
      <t>トドケ</t>
    </rPh>
    <rPh sb="23" eb="25">
      <t>テイシュツ</t>
    </rPh>
    <rPh sb="27" eb="28">
      <t>ツキ</t>
    </rPh>
    <rPh sb="30" eb="32">
      <t>テキヨウ</t>
    </rPh>
    <rPh sb="32" eb="34">
      <t>シュウリョウ</t>
    </rPh>
    <rPh sb="34" eb="35">
      <t>ツキ</t>
    </rPh>
    <rPh sb="38" eb="39">
      <t>カク</t>
    </rPh>
    <rPh sb="39" eb="40">
      <t>ツキ</t>
    </rPh>
    <rPh sb="48" eb="50">
      <t>ニュウリョク</t>
    </rPh>
    <rPh sb="61" eb="63">
      <t>トクレイ</t>
    </rPh>
    <rPh sb="88" eb="92">
      <t>トドウフケン</t>
    </rPh>
    <rPh sb="93" eb="96">
      <t>シチョウソン</t>
    </rPh>
    <rPh sb="121" eb="123">
      <t>トクレイ</t>
    </rPh>
    <rPh sb="137" eb="139">
      <t>バアイ</t>
    </rPh>
    <rPh sb="142" eb="143">
      <t>エ</t>
    </rPh>
    <rPh sb="148" eb="150">
      <t>リュウイ</t>
    </rPh>
    <rPh sb="159" eb="160">
      <t>カ</t>
    </rPh>
    <rPh sb="167" eb="169">
      <t>バアイ</t>
    </rPh>
    <phoneticPr fontId="40"/>
  </si>
  <si>
    <t>（参考）</t>
    <rPh sb="1" eb="3">
      <t>サンコウ</t>
    </rPh>
    <phoneticPr fontId="40"/>
  </si>
  <si>
    <t>利用延人員数計算シート（通所リハビリテーション）</t>
    <rPh sb="0" eb="2">
      <t>リヨウ</t>
    </rPh>
    <rPh sb="2" eb="3">
      <t>ノ</t>
    </rPh>
    <rPh sb="3" eb="5">
      <t>ジンイン</t>
    </rPh>
    <rPh sb="5" eb="6">
      <t>スウ</t>
    </rPh>
    <rPh sb="6" eb="8">
      <t>ケイサン</t>
    </rPh>
    <rPh sb="12" eb="14">
      <t>ツウショ</t>
    </rPh>
    <phoneticPr fontId="3"/>
  </si>
  <si>
    <t>　本シートは、「通所介護等において感染症又は災害の発生を理由とする利用者数の減少が一定以上生じている場合の評価に係る基本的な考え方並びに事務処理手順及び様式例の提示について」（老認発0316第４号・老老発0316第３号令和３年３月16日厚生労働省老健局認知症施策・地域介護推進課長、老人保健課長連名通知）に基づき、各月の利用延人員数及び前年度の１月当たりの平均利用延人員数を算定するにあたり、補助的に活用いただくことを想定して作成したものです。
　※　各都道府県・市町村において、本シートとは別に、利用延人員数を計算するための様式等が準備されている場合は、そちらを使用してください。
　※　青色セルには数値を入力し、緑色セルにはプルダウンから選択して入力してください。入力された数値等に基づき、黄色セルに算定結果が表示されます。</t>
    <rPh sb="1" eb="2">
      <t>ホン</t>
    </rPh>
    <rPh sb="153" eb="154">
      <t>モト</t>
    </rPh>
    <rPh sb="157" eb="159">
      <t>カクツキ</t>
    </rPh>
    <rPh sb="160" eb="162">
      <t>リヨウ</t>
    </rPh>
    <rPh sb="162" eb="163">
      <t>ノ</t>
    </rPh>
    <rPh sb="163" eb="166">
      <t>ジンインスウ</t>
    </rPh>
    <rPh sb="166" eb="167">
      <t>オヨ</t>
    </rPh>
    <rPh sb="168" eb="171">
      <t>ゼンネンド</t>
    </rPh>
    <rPh sb="173" eb="174">
      <t>ツキ</t>
    </rPh>
    <rPh sb="174" eb="175">
      <t>ア</t>
    </rPh>
    <rPh sb="178" eb="180">
      <t>ヘイキン</t>
    </rPh>
    <rPh sb="180" eb="182">
      <t>リヨウ</t>
    </rPh>
    <rPh sb="182" eb="183">
      <t>ノ</t>
    </rPh>
    <rPh sb="183" eb="186">
      <t>ジンインスウ</t>
    </rPh>
    <rPh sb="187" eb="189">
      <t>サンテイ</t>
    </rPh>
    <rPh sb="196" eb="199">
      <t>ホジョテキ</t>
    </rPh>
    <rPh sb="200" eb="202">
      <t>カツヨウ</t>
    </rPh>
    <rPh sb="209" eb="211">
      <t>ソウテイ</t>
    </rPh>
    <rPh sb="213" eb="215">
      <t>サクセイ</t>
    </rPh>
    <rPh sb="226" eb="227">
      <t>カク</t>
    </rPh>
    <rPh sb="227" eb="231">
      <t>トドウフケン</t>
    </rPh>
    <rPh sb="232" eb="235">
      <t>シチョウソン</t>
    </rPh>
    <rPh sb="240" eb="241">
      <t>ホン</t>
    </rPh>
    <rPh sb="246" eb="247">
      <t>ベツ</t>
    </rPh>
    <rPh sb="249" eb="251">
      <t>リヨウ</t>
    </rPh>
    <rPh sb="251" eb="252">
      <t>ノ</t>
    </rPh>
    <rPh sb="252" eb="255">
      <t>ジンインスウ</t>
    </rPh>
    <rPh sb="256" eb="258">
      <t>ケイサン</t>
    </rPh>
    <rPh sb="263" eb="265">
      <t>ヨウシキ</t>
    </rPh>
    <rPh sb="265" eb="266">
      <t>トウ</t>
    </rPh>
    <rPh sb="267" eb="269">
      <t>ジュンビ</t>
    </rPh>
    <rPh sb="274" eb="276">
      <t>バアイ</t>
    </rPh>
    <rPh sb="282" eb="284">
      <t>シヨウ</t>
    </rPh>
    <rPh sb="295" eb="297">
      <t>アオイロ</t>
    </rPh>
    <rPh sb="301" eb="303">
      <t>スウチ</t>
    </rPh>
    <rPh sb="304" eb="306">
      <t>ニュウリョク</t>
    </rPh>
    <rPh sb="308" eb="310">
      <t>ミドリイロ</t>
    </rPh>
    <rPh sb="321" eb="323">
      <t>センタク</t>
    </rPh>
    <rPh sb="325" eb="327">
      <t>ニュウリョク</t>
    </rPh>
    <rPh sb="334" eb="336">
      <t>ニュウリョク</t>
    </rPh>
    <rPh sb="339" eb="341">
      <t>スウチ</t>
    </rPh>
    <rPh sb="341" eb="342">
      <t>トウ</t>
    </rPh>
    <rPh sb="343" eb="344">
      <t>モト</t>
    </rPh>
    <rPh sb="347" eb="349">
      <t>キイロ</t>
    </rPh>
    <rPh sb="352" eb="354">
      <t>サンテイ</t>
    </rPh>
    <rPh sb="354" eb="356">
      <t>ケッカ</t>
    </rPh>
    <rPh sb="357" eb="359">
      <t>ヒョウジ</t>
    </rPh>
    <phoneticPr fontId="40"/>
  </si>
  <si>
    <t>○</t>
    <phoneticPr fontId="43"/>
  </si>
  <si>
    <t>○前年度の実績が６月以上の場合の前年度の１月当たりの平均利用延人員数・各月の利用延人員数</t>
    <rPh sb="1" eb="4">
      <t>ゼンネンド</t>
    </rPh>
    <rPh sb="2" eb="3">
      <t>ジゼン</t>
    </rPh>
    <rPh sb="5" eb="7">
      <t>ジッセキ</t>
    </rPh>
    <rPh sb="9" eb="10">
      <t>ツキ</t>
    </rPh>
    <rPh sb="10" eb="12">
      <t>イジョウ</t>
    </rPh>
    <rPh sb="13" eb="15">
      <t>バアイ</t>
    </rPh>
    <rPh sb="16" eb="19">
      <t>ゼンネンド</t>
    </rPh>
    <rPh sb="21" eb="23">
      <t>ツキア</t>
    </rPh>
    <rPh sb="26" eb="28">
      <t>ヘイキン</t>
    </rPh>
    <rPh sb="28" eb="30">
      <t>リヨウ</t>
    </rPh>
    <rPh sb="30" eb="31">
      <t>ノベ</t>
    </rPh>
    <rPh sb="31" eb="34">
      <t>ジンインスウ</t>
    </rPh>
    <rPh sb="35" eb="37">
      <t>カクツキ</t>
    </rPh>
    <rPh sb="38" eb="40">
      <t>リヨウ</t>
    </rPh>
    <rPh sb="40" eb="41">
      <t>ノベ</t>
    </rPh>
    <rPh sb="41" eb="44">
      <t>ジンインスウノベジンイン</t>
    </rPh>
    <phoneticPr fontId="40"/>
  </si>
  <si>
    <t>率</t>
    <rPh sb="0" eb="1">
      <t>リツ</t>
    </rPh>
    <phoneticPr fontId="3"/>
  </si>
  <si>
    <t>４月～２月
合計 ※６</t>
    <rPh sb="1" eb="2">
      <t>ガツ</t>
    </rPh>
    <rPh sb="4" eb="5">
      <t>ガツ</t>
    </rPh>
    <rPh sb="6" eb="8">
      <t>ゴウケイ</t>
    </rPh>
    <rPh sb="7" eb="8">
      <t>ケイ</t>
    </rPh>
    <phoneticPr fontId="3"/>
  </si>
  <si>
    <t>10月</t>
    <rPh sb="2" eb="3">
      <t>ガツ</t>
    </rPh>
    <phoneticPr fontId="3"/>
  </si>
  <si>
    <t>通所リハビリテーション
※１</t>
    <rPh sb="0" eb="2">
      <t>ツウショ</t>
    </rPh>
    <phoneticPr fontId="46"/>
  </si>
  <si>
    <t>１時間以上２時間未満</t>
    <rPh sb="1" eb="3">
      <t>ジカン</t>
    </rPh>
    <rPh sb="3" eb="5">
      <t>イジョウ</t>
    </rPh>
    <rPh sb="6" eb="8">
      <t>ジカン</t>
    </rPh>
    <rPh sb="8" eb="10">
      <t>ミマン</t>
    </rPh>
    <phoneticPr fontId="3"/>
  </si>
  <si>
    <t>２時間以上３時間未満及び
３時間以上４時間未満</t>
    <rPh sb="1" eb="3">
      <t>ジカン</t>
    </rPh>
    <rPh sb="3" eb="5">
      <t>イジョウ</t>
    </rPh>
    <rPh sb="6" eb="8">
      <t>ジカン</t>
    </rPh>
    <rPh sb="8" eb="10">
      <t>ミマン</t>
    </rPh>
    <rPh sb="10" eb="11">
      <t>オヨ</t>
    </rPh>
    <rPh sb="14" eb="16">
      <t>ジカン</t>
    </rPh>
    <rPh sb="16" eb="18">
      <t>イジョウ</t>
    </rPh>
    <rPh sb="19" eb="21">
      <t>ジカン</t>
    </rPh>
    <rPh sb="21" eb="23">
      <t>ミマン</t>
    </rPh>
    <phoneticPr fontId="3"/>
  </si>
  <si>
    <t>４時間以上５時間未満及び
５時間以上６時間未満</t>
    <rPh sb="10" eb="11">
      <t>オヨ</t>
    </rPh>
    <rPh sb="14" eb="16">
      <t>ジカン</t>
    </rPh>
    <rPh sb="16" eb="18">
      <t>イジョウ</t>
    </rPh>
    <rPh sb="19" eb="21">
      <t>ジカン</t>
    </rPh>
    <rPh sb="21" eb="23">
      <t>ミマン</t>
    </rPh>
    <phoneticPr fontId="3"/>
  </si>
  <si>
    <t>６時間以上７時間未満及び
７時間以上８時間未満</t>
    <rPh sb="10" eb="11">
      <t>オヨ</t>
    </rPh>
    <rPh sb="14" eb="16">
      <t>ジカン</t>
    </rPh>
    <rPh sb="16" eb="18">
      <t>イジョウ</t>
    </rPh>
    <rPh sb="19" eb="21">
      <t>ジカン</t>
    </rPh>
    <rPh sb="21" eb="23">
      <t>ミマン</t>
    </rPh>
    <phoneticPr fontId="3"/>
  </si>
  <si>
    <t>介護予防
通所リハビリテーション
※２</t>
    <rPh sb="0" eb="2">
      <t>カイゴ</t>
    </rPh>
    <rPh sb="2" eb="4">
      <t>ヨボウ</t>
    </rPh>
    <rPh sb="5" eb="7">
      <t>ツウショ</t>
    </rPh>
    <phoneticPr fontId="46"/>
  </si>
  <si>
    <t>①</t>
  </si>
  <si>
    <t>２時間未満</t>
    <rPh sb="1" eb="3">
      <t>ジカン</t>
    </rPh>
    <rPh sb="3" eb="5">
      <t>ミマン</t>
    </rPh>
    <phoneticPr fontId="3"/>
  </si>
  <si>
    <t>２時間以上４時間未満</t>
    <rPh sb="1" eb="3">
      <t>ジカン</t>
    </rPh>
    <rPh sb="3" eb="5">
      <t>イジョウ</t>
    </rPh>
    <rPh sb="6" eb="8">
      <t>ジカン</t>
    </rPh>
    <rPh sb="8" eb="10">
      <t>ミマン</t>
    </rPh>
    <phoneticPr fontId="3"/>
  </si>
  <si>
    <t>４時間以上６時間未満</t>
    <rPh sb="1" eb="3">
      <t>ジカン</t>
    </rPh>
    <rPh sb="3" eb="5">
      <t>イジョウ</t>
    </rPh>
    <rPh sb="6" eb="8">
      <t>ジカン</t>
    </rPh>
    <rPh sb="8" eb="10">
      <t>ミマン</t>
    </rPh>
    <phoneticPr fontId="3"/>
  </si>
  <si>
    <t>６時間以上</t>
    <rPh sb="1" eb="3">
      <t>ジカン</t>
    </rPh>
    <rPh sb="3" eb="5">
      <t>イジョウ</t>
    </rPh>
    <phoneticPr fontId="40"/>
  </si>
  <si>
    <t>②</t>
  </si>
  <si>
    <t>同時にサービスの提供を受けた者の最大数を営業日ごとに加えた数</t>
    <rPh sb="20" eb="23">
      <t>エイギョウビ</t>
    </rPh>
    <rPh sb="26" eb="27">
      <t>クワ</t>
    </rPh>
    <rPh sb="29" eb="30">
      <t>カズ</t>
    </rPh>
    <phoneticPr fontId="43"/>
  </si>
  <si>
    <t>各月の利用延人員数</t>
    <rPh sb="0" eb="2">
      <t>カクツキ</t>
    </rPh>
    <rPh sb="3" eb="5">
      <t>リヨウ</t>
    </rPh>
    <rPh sb="5" eb="6">
      <t>ノ</t>
    </rPh>
    <rPh sb="6" eb="9">
      <t>ジンインスウ</t>
    </rPh>
    <phoneticPr fontId="46"/>
  </si>
  <si>
    <r>
      <t>毎日事業を実施した月（</t>
    </r>
    <r>
      <rPr>
        <sz val="10"/>
        <rFont val="ＭＳ Ｐゴシック"/>
        <family val="3"/>
        <charset val="128"/>
      </rPr>
      <t>○印）　※３</t>
    </r>
    <rPh sb="0" eb="2">
      <t>マイニチ</t>
    </rPh>
    <rPh sb="2" eb="4">
      <t>ジギョウ</t>
    </rPh>
    <rPh sb="5" eb="7">
      <t>ジッシ</t>
    </rPh>
    <rPh sb="9" eb="10">
      <t>ツキ</t>
    </rPh>
    <rPh sb="12" eb="13">
      <t>シルシ</t>
    </rPh>
    <phoneticPr fontId="46"/>
  </si>
  <si>
    <t>合計</t>
    <rPh sb="0" eb="2">
      <t>ゴウケイ</t>
    </rPh>
    <phoneticPr fontId="46"/>
  </si>
  <si>
    <t>（ａ）</t>
    <phoneticPr fontId="43"/>
  </si>
  <si>
    <r>
      <t>【留意事項】
※１　各月の通所リハビリテーションを利用した人数を、算定している報酬の時間区分別に記入してください。
※２　通所リハビリテーションと介護予防通所リハビリテーションの指定をあわせて受け、通所リハビリテーションと一体的に実施している場合は、
　　　以下の</t>
    </r>
    <r>
      <rPr>
        <b/>
        <u/>
        <sz val="11"/>
        <rFont val="ＭＳ Ｐゴシック"/>
        <family val="3"/>
        <charset val="128"/>
      </rPr>
      <t>いずれか</t>
    </r>
    <r>
      <rPr>
        <sz val="11"/>
        <rFont val="ＭＳ Ｐゴシック"/>
        <family val="3"/>
        <charset val="128"/>
      </rPr>
      <t>を行ってください。
　　　・①に、各月の介護予防通所リハビリテーションを利用した人数を、利用時間ごとに記入。
　　　・②に、同時にサービスの提供を受けた者の最大数を営業日ごとに加えた数を記入。
　　　（例：ある営業日について、９時～12時に同時にサービス提供を受けた者が４人、12時～15時に同時にサービス提供を受けた者が６人である場合、
　　　　　当該日の「同時にサービスの提供を受けた者の最大数」は「６人」となる。また、１月間の営業日が22日であり、すべての営業日の「同時にサービス
　　　　　の提供を受けた者の最大数」が「６人」であった場合、「同時にサービスの提供を受けた者の最大数を営業日ごとに加えた数は「132人」となる。）
※３　１月間（暦月）、正月等の特別な期間を除いて毎日事業を実施した月は○を記入してください。（利用延人員数が6/7になります。）</t>
    </r>
    <rPh sb="1" eb="3">
      <t>リュウイ</t>
    </rPh>
    <rPh sb="3" eb="5">
      <t>ジコウ</t>
    </rPh>
    <rPh sb="10" eb="12">
      <t>カクツキ</t>
    </rPh>
    <rPh sb="13" eb="15">
      <t>ツウショ</t>
    </rPh>
    <rPh sb="25" eb="27">
      <t>リヨウ</t>
    </rPh>
    <rPh sb="29" eb="31">
      <t>ニンズウ</t>
    </rPh>
    <rPh sb="33" eb="35">
      <t>サンテイ</t>
    </rPh>
    <rPh sb="39" eb="41">
      <t>ホウシュウ</t>
    </rPh>
    <rPh sb="42" eb="44">
      <t>ジカン</t>
    </rPh>
    <rPh sb="44" eb="46">
      <t>クブン</t>
    </rPh>
    <rPh sb="46" eb="47">
      <t>ベツ</t>
    </rPh>
    <rPh sb="48" eb="50">
      <t>キニュウ</t>
    </rPh>
    <rPh sb="61" eb="63">
      <t>ツウショ</t>
    </rPh>
    <rPh sb="73" eb="79">
      <t>カイゴヨボウツウショ</t>
    </rPh>
    <rPh sb="89" eb="91">
      <t>シテイ</t>
    </rPh>
    <rPh sb="96" eb="97">
      <t>ウ</t>
    </rPh>
    <rPh sb="99" eb="101">
      <t>ツウショ</t>
    </rPh>
    <rPh sb="115" eb="117">
      <t>ジッシ</t>
    </rPh>
    <rPh sb="121" eb="123">
      <t>バアイ</t>
    </rPh>
    <rPh sb="129" eb="131">
      <t>イカ</t>
    </rPh>
    <rPh sb="137" eb="138">
      <t>オコナ</t>
    </rPh>
    <rPh sb="153" eb="155">
      <t>カクツキ</t>
    </rPh>
    <rPh sb="156" eb="162">
      <t>カイゴヨボウツウショ</t>
    </rPh>
    <rPh sb="172" eb="174">
      <t>リヨウ</t>
    </rPh>
    <rPh sb="176" eb="178">
      <t>ニンズウ</t>
    </rPh>
    <rPh sb="198" eb="200">
      <t>ドウジ</t>
    </rPh>
    <rPh sb="206" eb="208">
      <t>テイキョウ</t>
    </rPh>
    <rPh sb="209" eb="210">
      <t>ウ</t>
    </rPh>
    <rPh sb="212" eb="213">
      <t>モノ</t>
    </rPh>
    <rPh sb="214" eb="217">
      <t>サイダイスウ</t>
    </rPh>
    <rPh sb="218" eb="221">
      <t>エイギョウビ</t>
    </rPh>
    <rPh sb="224" eb="225">
      <t>クワ</t>
    </rPh>
    <rPh sb="227" eb="228">
      <t>カズ</t>
    </rPh>
    <rPh sb="229" eb="231">
      <t>キニュウ</t>
    </rPh>
    <rPh sb="237" eb="238">
      <t>レイ</t>
    </rPh>
    <rPh sb="241" eb="244">
      <t>エイギョウビ</t>
    </rPh>
    <rPh sb="250" eb="251">
      <t>トキ</t>
    </rPh>
    <rPh sb="254" eb="255">
      <t>トキ</t>
    </rPh>
    <rPh sb="256" eb="258">
      <t>ドウジ</t>
    </rPh>
    <rPh sb="263" eb="265">
      <t>テイキョウ</t>
    </rPh>
    <rPh sb="266" eb="267">
      <t>ウ</t>
    </rPh>
    <rPh sb="269" eb="270">
      <t>モノ</t>
    </rPh>
    <rPh sb="272" eb="273">
      <t>ニン</t>
    </rPh>
    <rPh sb="276" eb="277">
      <t>トキ</t>
    </rPh>
    <rPh sb="280" eb="281">
      <t>トキ</t>
    </rPh>
    <rPh sb="282" eb="284">
      <t>ドウジ</t>
    </rPh>
    <rPh sb="289" eb="291">
      <t>テイキョウ</t>
    </rPh>
    <rPh sb="292" eb="293">
      <t>ウ</t>
    </rPh>
    <rPh sb="295" eb="296">
      <t>モノ</t>
    </rPh>
    <rPh sb="298" eb="299">
      <t>ニン</t>
    </rPh>
    <rPh sb="302" eb="304">
      <t>バアイ</t>
    </rPh>
    <rPh sb="311" eb="313">
      <t>トウガイ</t>
    </rPh>
    <rPh sb="313" eb="314">
      <t>ビ</t>
    </rPh>
    <rPh sb="316" eb="318">
      <t>ドウジ</t>
    </rPh>
    <rPh sb="324" eb="326">
      <t>テイキョウ</t>
    </rPh>
    <rPh sb="327" eb="328">
      <t>ウ</t>
    </rPh>
    <rPh sb="330" eb="331">
      <t>モノ</t>
    </rPh>
    <rPh sb="332" eb="335">
      <t>サイダイスウ</t>
    </rPh>
    <rPh sb="339" eb="340">
      <t>ニン</t>
    </rPh>
    <rPh sb="349" eb="350">
      <t>ツキ</t>
    </rPh>
    <rPh sb="350" eb="351">
      <t>アイダ</t>
    </rPh>
    <rPh sb="352" eb="355">
      <t>エイギョウビ</t>
    </rPh>
    <rPh sb="358" eb="359">
      <t>ニチ</t>
    </rPh>
    <rPh sb="367" eb="370">
      <t>エイギョウビ</t>
    </rPh>
    <rPh sb="372" eb="374">
      <t>ドウジ</t>
    </rPh>
    <rPh sb="386" eb="388">
      <t>テイキョウ</t>
    </rPh>
    <rPh sb="389" eb="390">
      <t>ウ</t>
    </rPh>
    <rPh sb="392" eb="393">
      <t>モノ</t>
    </rPh>
    <rPh sb="394" eb="397">
      <t>サイダイスウ</t>
    </rPh>
    <rPh sb="401" eb="402">
      <t>ニン</t>
    </rPh>
    <rPh sb="407" eb="409">
      <t>バアイ</t>
    </rPh>
    <rPh sb="411" eb="413">
      <t>ドウジ</t>
    </rPh>
    <rPh sb="419" eb="421">
      <t>テイキョウ</t>
    </rPh>
    <rPh sb="422" eb="423">
      <t>ウ</t>
    </rPh>
    <rPh sb="425" eb="426">
      <t>モノ</t>
    </rPh>
    <rPh sb="427" eb="430">
      <t>サイダイスウ</t>
    </rPh>
    <rPh sb="431" eb="434">
      <t>エイギョウビ</t>
    </rPh>
    <rPh sb="437" eb="438">
      <t>クワ</t>
    </rPh>
    <rPh sb="440" eb="441">
      <t>カズ</t>
    </rPh>
    <rPh sb="446" eb="447">
      <t>ニン</t>
    </rPh>
    <rPh sb="458" eb="460">
      <t>ゲッカン</t>
    </rPh>
    <rPh sb="461" eb="462">
      <t>コヨミ</t>
    </rPh>
    <rPh sb="462" eb="463">
      <t>ツキ</t>
    </rPh>
    <rPh sb="465" eb="467">
      <t>ショウガツ</t>
    </rPh>
    <rPh sb="467" eb="468">
      <t>トウ</t>
    </rPh>
    <rPh sb="469" eb="471">
      <t>トクベツ</t>
    </rPh>
    <rPh sb="472" eb="474">
      <t>キカン</t>
    </rPh>
    <rPh sb="475" eb="476">
      <t>ノゾ</t>
    </rPh>
    <rPh sb="478" eb="480">
      <t>マイニチ</t>
    </rPh>
    <rPh sb="480" eb="482">
      <t>ジギョウ</t>
    </rPh>
    <rPh sb="483" eb="485">
      <t>ジッシ</t>
    </rPh>
    <rPh sb="487" eb="488">
      <t>ツキ</t>
    </rPh>
    <rPh sb="491" eb="493">
      <t>キニュウ</t>
    </rPh>
    <phoneticPr fontId="3"/>
  </si>
  <si>
    <t>通所リハビリテーション費を
算定している月数
(３月を除く）</t>
    <rPh sb="0" eb="2">
      <t>ツウショ</t>
    </rPh>
    <rPh sb="11" eb="12">
      <t>ヒ</t>
    </rPh>
    <rPh sb="14" eb="16">
      <t>サンテイ</t>
    </rPh>
    <rPh sb="20" eb="21">
      <t>ツキ</t>
    </rPh>
    <rPh sb="21" eb="22">
      <t>スウ</t>
    </rPh>
    <rPh sb="25" eb="26">
      <t>ガツ</t>
    </rPh>
    <rPh sb="27" eb="28">
      <t>ノゾ</t>
    </rPh>
    <phoneticPr fontId="46"/>
  </si>
  <si>
    <t>（ｂ）</t>
    <phoneticPr fontId="43"/>
  </si>
  <si>
    <t>平均利用延人員数
 （a÷b）　　※４</t>
    <rPh sb="0" eb="2">
      <t>ヘイキン</t>
    </rPh>
    <rPh sb="2" eb="4">
      <t>リヨウ</t>
    </rPh>
    <rPh sb="4" eb="5">
      <t>ノベ</t>
    </rPh>
    <rPh sb="5" eb="8">
      <t>ジンインスウ</t>
    </rPh>
    <phoneticPr fontId="46"/>
  </si>
  <si>
    <t>（ｃ）</t>
    <phoneticPr fontId="40"/>
  </si>
  <si>
    <t>※４　（c）の値を、申請様式の（２）の「利用延人員数の減少が生じた月の前年度の１月当たりの平均利用延人員数」に記入してください。（令和３年２月又は３月の利用延人員数の減少に係る届出を行う場合は、（ｃ）の値のほか、前年同月（令和２年２月又は３月）の利用延人員数を記入することもできます。）
　ただし、３％加算の算定を希望する場合は、（ｃ）の値を小数第３位で四捨五入した値を、申請様式の（２）の「利用延人員数の減少が生じた月の前年度の１月当たりの平均利用延人員数」に記入してください。</t>
    <rPh sb="7" eb="8">
      <t>アタイ</t>
    </rPh>
    <rPh sb="10" eb="12">
      <t>シンセイ</t>
    </rPh>
    <rPh sb="12" eb="14">
      <t>ヨウシキ</t>
    </rPh>
    <rPh sb="55" eb="57">
      <t>キニュウ</t>
    </rPh>
    <rPh sb="151" eb="153">
      <t>カサン</t>
    </rPh>
    <rPh sb="154" eb="156">
      <t>サンテイ</t>
    </rPh>
    <rPh sb="157" eb="159">
      <t>キボウ</t>
    </rPh>
    <rPh sb="161" eb="163">
      <t>バアイ</t>
    </rPh>
    <rPh sb="169" eb="170">
      <t>アタイ</t>
    </rPh>
    <rPh sb="171" eb="173">
      <t>ショウスウ</t>
    </rPh>
    <rPh sb="173" eb="174">
      <t>ダイ</t>
    </rPh>
    <rPh sb="175" eb="176">
      <t>イ</t>
    </rPh>
    <rPh sb="177" eb="181">
      <t>シシャゴニュウ</t>
    </rPh>
    <rPh sb="183" eb="184">
      <t>アタイ</t>
    </rPh>
    <rPh sb="186" eb="188">
      <t>シンセイ</t>
    </rPh>
    <rPh sb="188" eb="190">
      <t>ヨウシキ</t>
    </rPh>
    <rPh sb="196" eb="198">
      <t>リヨウ</t>
    </rPh>
    <rPh sb="198" eb="199">
      <t>ノ</t>
    </rPh>
    <rPh sb="199" eb="202">
      <t>ジンインスウ</t>
    </rPh>
    <rPh sb="203" eb="205">
      <t>ゲンショウ</t>
    </rPh>
    <rPh sb="206" eb="207">
      <t>ショウ</t>
    </rPh>
    <rPh sb="209" eb="210">
      <t>ツキ</t>
    </rPh>
    <rPh sb="211" eb="214">
      <t>ゼンネンド</t>
    </rPh>
    <rPh sb="216" eb="217">
      <t>ツキ</t>
    </rPh>
    <rPh sb="217" eb="218">
      <t>ア</t>
    </rPh>
    <rPh sb="221" eb="223">
      <t>ヘイキン</t>
    </rPh>
    <rPh sb="223" eb="225">
      <t>リヨウ</t>
    </rPh>
    <rPh sb="225" eb="226">
      <t>ノ</t>
    </rPh>
    <rPh sb="226" eb="229">
      <t>ジンインスウ</t>
    </rPh>
    <rPh sb="231" eb="233">
      <t>キニュウ</t>
    </rPh>
    <phoneticPr fontId="40"/>
  </si>
  <si>
    <t>○前年度の実績が６月に満たない場合（新たに事業を開始・再開した場合を含む）及び前年度から定員を概ね25％以上変更しようとする場合の前年度の１月当たりの平均利用延人員数</t>
    <rPh sb="1" eb="4">
      <t>ゼンネンド</t>
    </rPh>
    <rPh sb="2" eb="3">
      <t>ジゼン</t>
    </rPh>
    <rPh sb="5" eb="7">
      <t>ジッセキ</t>
    </rPh>
    <rPh sb="9" eb="10">
      <t>ツキ</t>
    </rPh>
    <rPh sb="11" eb="12">
      <t>ミ</t>
    </rPh>
    <rPh sb="15" eb="17">
      <t>バアイ</t>
    </rPh>
    <rPh sb="18" eb="19">
      <t>アラ</t>
    </rPh>
    <rPh sb="21" eb="23">
      <t>ジギョウ</t>
    </rPh>
    <rPh sb="24" eb="26">
      <t>カイシ</t>
    </rPh>
    <rPh sb="27" eb="29">
      <t>サイカイ</t>
    </rPh>
    <rPh sb="31" eb="33">
      <t>バアイ</t>
    </rPh>
    <rPh sb="34" eb="35">
      <t>フク</t>
    </rPh>
    <rPh sb="37" eb="38">
      <t>オヨ</t>
    </rPh>
    <rPh sb="39" eb="42">
      <t>ゼンネンド</t>
    </rPh>
    <rPh sb="44" eb="46">
      <t>テイイン</t>
    </rPh>
    <rPh sb="47" eb="48">
      <t>オオム</t>
    </rPh>
    <rPh sb="52" eb="54">
      <t>イジョウ</t>
    </rPh>
    <rPh sb="54" eb="56">
      <t>ヘンコウ</t>
    </rPh>
    <rPh sb="62" eb="64">
      <t>バアイ</t>
    </rPh>
    <phoneticPr fontId="40"/>
  </si>
  <si>
    <t>利用定員　※６</t>
    <rPh sb="0" eb="2">
      <t>リヨウ</t>
    </rPh>
    <rPh sb="2" eb="4">
      <t>テイイン</t>
    </rPh>
    <phoneticPr fontId="40"/>
  </si>
  <si>
    <t>１月当たりの営業日数　※７</t>
    <rPh sb="1" eb="3">
      <t>ツキア</t>
    </rPh>
    <rPh sb="6" eb="8">
      <t>エイギョウ</t>
    </rPh>
    <rPh sb="8" eb="10">
      <t>ニッスウ</t>
    </rPh>
    <phoneticPr fontId="40"/>
  </si>
  <si>
    <t>平均利用延人員数　※８</t>
    <rPh sb="0" eb="2">
      <t>ヘイキン</t>
    </rPh>
    <rPh sb="2" eb="4">
      <t>リヨウ</t>
    </rPh>
    <rPh sb="4" eb="5">
      <t>ノベ</t>
    </rPh>
    <rPh sb="5" eb="8">
      <t>ジンインスウ</t>
    </rPh>
    <phoneticPr fontId="40"/>
  </si>
  <si>
    <t>×</t>
    <phoneticPr fontId="40"/>
  </si>
  <si>
    <t>=</t>
    <phoneticPr fontId="40"/>
  </si>
  <si>
    <t>【留意事項】
※６　都道府県知事等に届け出た利用定員数を記入してください。
※７　予定される１月当たりの営業日数を記入してください。
※８　（ｄ）の値を、申請様式の（２）の「利用延人員数の減少が生じた月の前年度の１月当たりの平均利用延人員数」に記入してください。
　　　ただし、３％加算の算定を希望する場合は、（ｄ）の値を小数第３位で四捨五入した値を、申請様式の（２）の「利用延人員数の減少が生じた月の前年度の１月当たりの平均利用延人員数」に記入してください。</t>
    <rPh sb="1" eb="3">
      <t>リュウイ</t>
    </rPh>
    <rPh sb="3" eb="5">
      <t>ジコウ</t>
    </rPh>
    <rPh sb="10" eb="14">
      <t>トドウフケン</t>
    </rPh>
    <rPh sb="14" eb="16">
      <t>チジ</t>
    </rPh>
    <rPh sb="16" eb="17">
      <t>トウ</t>
    </rPh>
    <rPh sb="18" eb="19">
      <t>トド</t>
    </rPh>
    <rPh sb="20" eb="21">
      <t>デ</t>
    </rPh>
    <rPh sb="22" eb="24">
      <t>リヨウ</t>
    </rPh>
    <rPh sb="24" eb="27">
      <t>テイインスウ</t>
    </rPh>
    <rPh sb="28" eb="30">
      <t>キニュウ</t>
    </rPh>
    <rPh sb="41" eb="43">
      <t>ヨテイ</t>
    </rPh>
    <rPh sb="47" eb="49">
      <t>ツキア</t>
    </rPh>
    <rPh sb="52" eb="54">
      <t>エイギョウ</t>
    </rPh>
    <rPh sb="54" eb="56">
      <t>ニッスウ</t>
    </rPh>
    <rPh sb="57" eb="59">
      <t>キニュウ</t>
    </rPh>
    <phoneticPr fontId="40"/>
  </si>
  <si>
    <t>（別紙７）</t>
    <phoneticPr fontId="3"/>
  </si>
  <si>
    <t>従業者の勤務の体制及び勤務形態一覧表　（　　　　年　　　月分）</t>
    <phoneticPr fontId="3"/>
  </si>
  <si>
    <t>サービス種類（　　　　　　　　　　　　　　　　　　　　　）</t>
    <phoneticPr fontId="3"/>
  </si>
  <si>
    <t>事業所・施設名（　　　　　　　　　　　　　　　　　　　　）</t>
    <phoneticPr fontId="3"/>
  </si>
  <si>
    <t>「人員配置区分―　　型」又は「該当する体制等―　　　　　」</t>
    <phoneticPr fontId="3"/>
  </si>
  <si>
    <t>［入所（利用）定員（見込）数等　　　　　名］</t>
    <phoneticPr fontId="3"/>
  </si>
  <si>
    <t>職　種</t>
    <phoneticPr fontId="3"/>
  </si>
  <si>
    <t>勤務　　　　　　　　　　形態</t>
    <phoneticPr fontId="3"/>
  </si>
  <si>
    <t>氏　名</t>
    <phoneticPr fontId="3"/>
  </si>
  <si>
    <t>第1週</t>
  </si>
  <si>
    <t>第2週</t>
  </si>
  <si>
    <t>第3週</t>
  </si>
  <si>
    <t>第4週</t>
  </si>
  <si>
    <t>4週の　　　　　　　　　　合計</t>
    <phoneticPr fontId="3"/>
  </si>
  <si>
    <t>週平均　　　　　　　　　の勤務　　　　　　　　　　　　　時間</t>
    <phoneticPr fontId="3"/>
  </si>
  <si>
    <t>常勤換　　　　　　　　　算後の　　　　　　　　　　　　人数　</t>
    <rPh sb="27" eb="29">
      <t>ニンズウ</t>
    </rPh>
    <phoneticPr fontId="3"/>
  </si>
  <si>
    <t>＊</t>
  </si>
  <si>
    <t>（記載例―1）</t>
    <phoneticPr fontId="3"/>
  </si>
  <si>
    <t>③</t>
  </si>
  <si>
    <t>④</t>
  </si>
  <si>
    <t>（記載例―2）</t>
    <phoneticPr fontId="3"/>
  </si>
  <si>
    <t>ab</t>
  </si>
  <si>
    <t>cd</t>
  </si>
  <si>
    <t>e</t>
  </si>
  <si>
    <t>（再掲）
夜勤職員</t>
    <rPh sb="1" eb="3">
      <t>サイケイ</t>
    </rPh>
    <rPh sb="5" eb="7">
      <t>ヤキン</t>
    </rPh>
    <rPh sb="7" eb="9">
      <t>ショクイン</t>
    </rPh>
    <phoneticPr fontId="3"/>
  </si>
  <si>
    <t>１日の夜勤の合計時間</t>
    <rPh sb="1" eb="2">
      <t>ニチ</t>
    </rPh>
    <rPh sb="3" eb="5">
      <t>ヤキン</t>
    </rPh>
    <rPh sb="6" eb="8">
      <t>ゴウケイ</t>
    </rPh>
    <rPh sb="8" eb="10">
      <t>ジカン</t>
    </rPh>
    <phoneticPr fontId="3"/>
  </si>
  <si>
    <t>常勤換算後の人数
（16h換算）</t>
    <rPh sb="0" eb="2">
      <t>ジョウキン</t>
    </rPh>
    <rPh sb="2" eb="4">
      <t>カンザン</t>
    </rPh>
    <rPh sb="4" eb="5">
      <t>ウシ</t>
    </rPh>
    <rPh sb="6" eb="8">
      <t>ニンズウ</t>
    </rPh>
    <rPh sb="13" eb="15">
      <t>カンザン</t>
    </rPh>
    <phoneticPr fontId="3"/>
  </si>
  <si>
    <t>＜配置状況＞</t>
  </si>
  <si>
    <t>看護職員：介護職員</t>
  </si>
  <si>
    <t>　（　　　　：　　　　)</t>
    <phoneticPr fontId="3"/>
  </si>
  <si>
    <t>看護師：准看護師　(日中)</t>
    <rPh sb="2" eb="3">
      <t>シ</t>
    </rPh>
    <rPh sb="7" eb="8">
      <t>シ</t>
    </rPh>
    <phoneticPr fontId="3"/>
  </si>
  <si>
    <t>看護師：准看護師 （夜間）</t>
    <rPh sb="2" eb="3">
      <t>シ</t>
    </rPh>
    <rPh sb="7" eb="8">
      <t>シ</t>
    </rPh>
    <rPh sb="10" eb="12">
      <t>ヤカン</t>
    </rPh>
    <phoneticPr fontId="3"/>
  </si>
  <si>
    <t>備考1　＊欄には、当該月の曜日を記入してください。</t>
    <phoneticPr fontId="3"/>
  </si>
  <si>
    <t>　　2　「人員配置区分」又は「該当する体制等」欄には、別紙「介護給付費算定に係る体制等状況一覧表」に掲げる人員配置区分の類型又は該当する</t>
    <phoneticPr fontId="3"/>
  </si>
  <si>
    <t>　　　体制加算の内容をそのまま記載してください。</t>
    <phoneticPr fontId="3"/>
  </si>
  <si>
    <t>　　3　届出を行う従業者について、4週間分の勤務すべき時間数を記入してください。勤務時間ごとあるいはサービス提供時間単位ごとに区分して</t>
    <phoneticPr fontId="3"/>
  </si>
  <si>
    <t>　　　番号を付し、その番号を記入してください。</t>
    <phoneticPr fontId="3"/>
  </si>
  <si>
    <t>　　　　（記載例2―サービス提供時間 a 9：00～12：00、b 13：00～16：00、c 10：30～13：30、d 14：30～17：30、e 休日）</t>
    <phoneticPr fontId="3"/>
  </si>
  <si>
    <t>　　　　　※複数単位実施の場合、その全てを記入のこと。</t>
    <phoneticPr fontId="3"/>
  </si>
  <si>
    <t>　　4　届出する従業者の職種ごとに下記の勤務形態の区分の順にまとめて記載し、「週平均の勤務時間」については、職種ごとのAの小計と、</t>
    <phoneticPr fontId="3"/>
  </si>
  <si>
    <t>　　　Ｂ～Ｄまでを加えた数の小計の行を挿入してください。</t>
    <phoneticPr fontId="3"/>
  </si>
  <si>
    <t>　　　　　勤務形態の区分　Ａ：常勤で専従　Ｂ：常勤で兼務　Ｃ：常勤以外で専従　Ｄ：常勤以外で兼務</t>
    <phoneticPr fontId="3"/>
  </si>
  <si>
    <t>　　5　常勤換算が必要なものについては、Ａ～Ｄの「週平均の勤務時間」をすべて足し、常勤の従業者が週に勤務すべき時間数で割って、</t>
    <phoneticPr fontId="3"/>
  </si>
  <si>
    <t>　　　「常勤換算後の人数」を算出してください。</t>
    <phoneticPr fontId="3"/>
  </si>
  <si>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3"/>
  </si>
  <si>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3"/>
  </si>
  <si>
    <t>　　7　算出にあたっては、小数点以下第2位を切り捨ててください。</t>
    <phoneticPr fontId="3"/>
  </si>
  <si>
    <t>　　8　当該事業所・施設に係る組織体制図を添付してください。</t>
    <phoneticPr fontId="3"/>
  </si>
  <si>
    <t>　　9　各事業所・施設において使用している勤務割表等（変更の届出の場合は変更後の予定勤務割表等）により、届出の対象となる従業者の職種、</t>
    <phoneticPr fontId="3"/>
  </si>
  <si>
    <t>　　　勤務形態、氏名、当該業務の勤務時間及び看護職員と介護職員の配置状況(関係する場合)が確認できる場合はその書類をもって添付書類として</t>
    <phoneticPr fontId="3"/>
  </si>
  <si>
    <t>　　　差し支えありません。</t>
    <phoneticPr fontId="3"/>
  </si>
  <si>
    <t>LIFEへの登録</t>
    <rPh sb="6" eb="8">
      <t>トウロク</t>
    </rPh>
    <phoneticPr fontId="3"/>
  </si>
  <si>
    <t>栄養マネジメント体制に関する届出書</t>
    <rPh sb="8" eb="10">
      <t>タイセイ</t>
    </rPh>
    <rPh sb="11" eb="12">
      <t>カン</t>
    </rPh>
    <phoneticPr fontId="3"/>
  </si>
  <si>
    <t>サービス提供体制強化加算に関する届出書（(介護予防）通所リハビリテーション事業所）</t>
    <phoneticPr fontId="3"/>
  </si>
  <si>
    <t>サービス提供体制強化加算に関する届出書（(介護予防）短期入所療養介護・介護老人保健施設）</t>
    <rPh sb="21" eb="23">
      <t>カイゴ</t>
    </rPh>
    <rPh sb="28" eb="30">
      <t>ニュウショ</t>
    </rPh>
    <rPh sb="32" eb="34">
      <t>カイゴ</t>
    </rPh>
    <rPh sb="35" eb="37">
      <t>カイゴ</t>
    </rPh>
    <rPh sb="37" eb="39">
      <t>ロウジン</t>
    </rPh>
    <rPh sb="39" eb="41">
      <t>ホケン</t>
    </rPh>
    <rPh sb="41" eb="43">
      <t>シセツ</t>
    </rPh>
    <phoneticPr fontId="3"/>
  </si>
  <si>
    <t>通所リハビリテーション事業所における移行支援加算に係る届出</t>
    <rPh sb="18" eb="20">
      <t>イコウ</t>
    </rPh>
    <rPh sb="20" eb="22">
      <t>シエン</t>
    </rPh>
    <phoneticPr fontId="3"/>
  </si>
  <si>
    <t>◎勤務形態一覧は、通リハ職員分のみ（算定月）</t>
    <phoneticPr fontId="3"/>
  </si>
  <si>
    <r>
      <t>　介護給付費算定に係る体制等（介護報酬加算等）に関する情報については、介護報酬の留意事項通知、届出等の留意事項通知（</t>
    </r>
    <r>
      <rPr>
        <sz val="11"/>
        <color indexed="10"/>
        <rFont val="HGPｺﾞｼｯｸM"/>
        <family val="3"/>
        <charset val="128"/>
      </rPr>
      <t>※</t>
    </r>
    <r>
      <rPr>
        <sz val="11"/>
        <rFont val="HGPｺﾞｼｯｸM"/>
        <family val="3"/>
        <charset val="128"/>
      </rPr>
      <t>）により届出が必要です。「届出先及び算定時期について」「算定要件」「必要書類」を確認し、届出してください（郵送可）。</t>
    </r>
    <rPh sb="112" eb="114">
      <t>ユウソウ</t>
    </rPh>
    <rPh sb="114" eb="115">
      <t>カ</t>
    </rPh>
    <phoneticPr fontId="3"/>
  </si>
  <si>
    <t>※届出に際しては、事前に連絡の上、届出先に提出してください（郵送可）。</t>
    <rPh sb="9" eb="11">
      <t>ジゼン</t>
    </rPh>
    <rPh sb="12" eb="14">
      <t>レンラク</t>
    </rPh>
    <rPh sb="17" eb="19">
      <t>トドケデ</t>
    </rPh>
    <rPh sb="19" eb="20">
      <t>サキ</t>
    </rPh>
    <rPh sb="21" eb="23">
      <t>テイシュツ</t>
    </rPh>
    <rPh sb="30" eb="32">
      <t>ユウソウ</t>
    </rPh>
    <rPh sb="32" eb="33">
      <t>カ</t>
    </rPh>
    <phoneticPr fontId="3"/>
  </si>
  <si>
    <r>
      <t>　　〇返信用封筒（返信先のあて名を記入し、切手を貼付してください。）</t>
    </r>
    <r>
      <rPr>
        <sz val="11"/>
        <color indexed="10"/>
        <rFont val="HGPｺﾞｼｯｸM"/>
        <family val="3"/>
        <charset val="128"/>
      </rPr>
      <t>※来庁にて受付した場合は不要です。</t>
    </r>
    <rPh sb="3" eb="6">
      <t>ヘンシンヨウ</t>
    </rPh>
    <rPh sb="6" eb="8">
      <t>フウトウ</t>
    </rPh>
    <rPh sb="9" eb="11">
      <t>ヘンシン</t>
    </rPh>
    <rPh sb="11" eb="12">
      <t>サキ</t>
    </rPh>
    <rPh sb="15" eb="16">
      <t>ナ</t>
    </rPh>
    <rPh sb="17" eb="19">
      <t>キニュウ</t>
    </rPh>
    <rPh sb="21" eb="23">
      <t>キッテ</t>
    </rPh>
    <rPh sb="24" eb="26">
      <t>チョウフ</t>
    </rPh>
    <rPh sb="35" eb="37">
      <t>ライチョウ</t>
    </rPh>
    <rPh sb="39" eb="41">
      <t>ウケツケ</t>
    </rPh>
    <rPh sb="43" eb="45">
      <t>バアイ</t>
    </rPh>
    <rPh sb="46" eb="48">
      <t>フヨウ</t>
    </rPh>
    <phoneticPr fontId="3"/>
  </si>
  <si>
    <t>老健26</t>
    <rPh sb="0" eb="2">
      <t>ロウケン</t>
    </rPh>
    <phoneticPr fontId="3"/>
  </si>
  <si>
    <t>老健27</t>
    <rPh sb="0" eb="2">
      <t>ロウケン</t>
    </rPh>
    <phoneticPr fontId="3"/>
  </si>
  <si>
    <t>老健28</t>
    <rPh sb="0" eb="2">
      <t>ロウケン</t>
    </rPh>
    <phoneticPr fontId="3"/>
  </si>
  <si>
    <t>老健29</t>
    <rPh sb="0" eb="2">
      <t>ロウケン</t>
    </rPh>
    <phoneticPr fontId="3"/>
  </si>
  <si>
    <t>老健30</t>
    <rPh sb="0" eb="2">
      <t>ロウケン</t>
    </rPh>
    <phoneticPr fontId="3"/>
  </si>
  <si>
    <t>老健31</t>
    <rPh sb="0" eb="2">
      <t>ロウケン</t>
    </rPh>
    <phoneticPr fontId="3"/>
  </si>
  <si>
    <t>老健32</t>
    <rPh sb="0" eb="2">
      <t>ロウケン</t>
    </rPh>
    <phoneticPr fontId="3"/>
  </si>
  <si>
    <t>老健33</t>
    <rPh sb="0" eb="2">
      <t>ロウケン</t>
    </rPh>
    <phoneticPr fontId="3"/>
  </si>
  <si>
    <t>（Ⅰ）～（Ⅲ）</t>
    <phoneticPr fontId="3"/>
  </si>
  <si>
    <t>認知症介護実践リーダー研修修了証（写）、認知症介護指導者養成研修修了証（写）又は認知症看護に係る適切な研修の修了証（写）</t>
    <rPh sb="17" eb="18">
      <t>ウツ</t>
    </rPh>
    <rPh sb="36" eb="37">
      <t>ウツ</t>
    </rPh>
    <rPh sb="38" eb="39">
      <t>マタ</t>
    </rPh>
    <rPh sb="40" eb="43">
      <t>ニンチショウ</t>
    </rPh>
    <rPh sb="43" eb="45">
      <t>カンゴ</t>
    </rPh>
    <rPh sb="46" eb="47">
      <t>カカ</t>
    </rPh>
    <rPh sb="48" eb="50">
      <t>テキセツ</t>
    </rPh>
    <rPh sb="51" eb="53">
      <t>ケンシュウ</t>
    </rPh>
    <rPh sb="54" eb="56">
      <t>シュウリョウ</t>
    </rPh>
    <rPh sb="56" eb="57">
      <t>ショウ</t>
    </rPh>
    <rPh sb="58" eb="59">
      <t>ウツ</t>
    </rPh>
    <phoneticPr fontId="3"/>
  </si>
  <si>
    <t>通リハ16</t>
    <rPh sb="0" eb="1">
      <t>ツウ</t>
    </rPh>
    <phoneticPr fontId="3"/>
  </si>
  <si>
    <t>通リハ17</t>
    <rPh sb="0" eb="1">
      <t>ツウ</t>
    </rPh>
    <phoneticPr fontId="3"/>
  </si>
  <si>
    <t>予通リ11</t>
    <rPh sb="0" eb="1">
      <t>ヨ</t>
    </rPh>
    <rPh sb="1" eb="2">
      <t>ツウ</t>
    </rPh>
    <phoneticPr fontId="3"/>
  </si>
  <si>
    <t>栄養アセスメント・栄養改善体制</t>
    <rPh sb="0" eb="2">
      <t>エイヨウ</t>
    </rPh>
    <rPh sb="9" eb="11">
      <t>エイヨウ</t>
    </rPh>
    <rPh sb="11" eb="13">
      <t>カイゼン</t>
    </rPh>
    <rPh sb="13" eb="15">
      <t>タイセイ</t>
    </rPh>
    <phoneticPr fontId="3"/>
  </si>
  <si>
    <t>ロ ①100人以下の場合　1以上
　 ②100人を超える場合 1＋端数を増すごとに1以上</t>
    <rPh sb="6" eb="7">
      <t>ニン</t>
    </rPh>
    <rPh sb="7" eb="9">
      <t>イカ</t>
    </rPh>
    <rPh sb="10" eb="12">
      <t>バアイ</t>
    </rPh>
    <rPh sb="14" eb="16">
      <t>イジョウ</t>
    </rPh>
    <rPh sb="23" eb="24">
      <t>ニン</t>
    </rPh>
    <rPh sb="25" eb="26">
      <t>コ</t>
    </rPh>
    <rPh sb="28" eb="30">
      <t>バアイ</t>
    </rPh>
    <rPh sb="33" eb="35">
      <t>ハスウ</t>
    </rPh>
    <rPh sb="36" eb="37">
      <t>マ</t>
    </rPh>
    <rPh sb="42" eb="44">
      <t>イジョウ</t>
    </rPh>
    <phoneticPr fontId="3"/>
  </si>
  <si>
    <t>栄養マネジメント強化加算を算定している場合は、管理栄養士を常勤換算で入所者の数を50（施設に常勤栄養士を1人以上配置し、給食管理を行っている場合は70）で除して得た数以上配置が必要。</t>
    <rPh sb="0" eb="2">
      <t>エイヨウ</t>
    </rPh>
    <rPh sb="8" eb="10">
      <t>キョウカ</t>
    </rPh>
    <rPh sb="10" eb="12">
      <t>カサン</t>
    </rPh>
    <rPh sb="13" eb="15">
      <t>サンテイ</t>
    </rPh>
    <rPh sb="19" eb="21">
      <t>バアイ</t>
    </rPh>
    <rPh sb="23" eb="25">
      <t>カンリ</t>
    </rPh>
    <rPh sb="25" eb="28">
      <t>エイヨウシ</t>
    </rPh>
    <rPh sb="29" eb="31">
      <t>ジョウキン</t>
    </rPh>
    <rPh sb="31" eb="33">
      <t>カンサン</t>
    </rPh>
    <rPh sb="34" eb="36">
      <t>ニュウショ</t>
    </rPh>
    <rPh sb="36" eb="37">
      <t>シャ</t>
    </rPh>
    <rPh sb="38" eb="39">
      <t>カズ</t>
    </rPh>
    <rPh sb="43" eb="45">
      <t>シセツ</t>
    </rPh>
    <rPh sb="46" eb="48">
      <t>ジョウキン</t>
    </rPh>
    <rPh sb="48" eb="51">
      <t>エイヨウシ</t>
    </rPh>
    <rPh sb="53" eb="54">
      <t>ニン</t>
    </rPh>
    <rPh sb="54" eb="56">
      <t>イジョウ</t>
    </rPh>
    <rPh sb="56" eb="58">
      <t>ハイチ</t>
    </rPh>
    <rPh sb="60" eb="62">
      <t>キュウショク</t>
    </rPh>
    <rPh sb="62" eb="64">
      <t>カンリ</t>
    </rPh>
    <rPh sb="65" eb="66">
      <t>オコナ</t>
    </rPh>
    <rPh sb="70" eb="72">
      <t>バアイ</t>
    </rPh>
    <rPh sb="77" eb="78">
      <t>ジョ</t>
    </rPh>
    <rPh sb="80" eb="81">
      <t>エ</t>
    </rPh>
    <rPh sb="82" eb="83">
      <t>カズ</t>
    </rPh>
    <rPh sb="83" eb="85">
      <t>イジョウ</t>
    </rPh>
    <rPh sb="85" eb="87">
      <t>ハイチ</t>
    </rPh>
    <rPh sb="88" eb="90">
      <t>ヒツヨウ</t>
    </rPh>
    <phoneticPr fontId="3"/>
  </si>
  <si>
    <t>注：</t>
    <rPh sb="0" eb="1">
      <t>チュウ</t>
    </rPh>
    <phoneticPr fontId="3"/>
  </si>
  <si>
    <r>
      <t>「１」の標榜診療科は、</t>
    </r>
    <r>
      <rPr>
        <sz val="11"/>
        <rFont val="HGSｺﾞｼｯｸM"/>
        <family val="3"/>
        <charset val="128"/>
      </rPr>
      <t>皮膚科又は形成外科のいずれかであること。</t>
    </r>
    <rPh sb="4" eb="6">
      <t>ヒョウボウ</t>
    </rPh>
    <rPh sb="6" eb="9">
      <t>シンリョウカ</t>
    </rPh>
    <rPh sb="11" eb="14">
      <t>ヒフカ</t>
    </rPh>
    <rPh sb="14" eb="15">
      <t>マタ</t>
    </rPh>
    <rPh sb="16" eb="18">
      <t>ケイセイ</t>
    </rPh>
    <rPh sb="18" eb="20">
      <t>ゲカ</t>
    </rPh>
    <phoneticPr fontId="3"/>
  </si>
  <si>
    <t>介護事業者課</t>
    <rPh sb="0" eb="2">
      <t>カイゴ</t>
    </rPh>
    <rPh sb="2" eb="5">
      <t>ジギョウシャ</t>
    </rPh>
    <rPh sb="5" eb="6">
      <t>カ</t>
    </rPh>
    <phoneticPr fontId="3"/>
  </si>
  <si>
    <t>居宅グループ</t>
    <rPh sb="0" eb="2">
      <t>キョタク</t>
    </rPh>
    <phoneticPr fontId="3"/>
  </si>
  <si>
    <t>感染症又は災害の発生を理由とする通所介護等の介護報酬による評価届出様式</t>
    <rPh sb="0" eb="3">
      <t>カンセンショウ</t>
    </rPh>
    <rPh sb="3" eb="4">
      <t>マタ</t>
    </rPh>
    <rPh sb="5" eb="7">
      <t>サイガイ</t>
    </rPh>
    <rPh sb="8" eb="10">
      <t>ハッセイ</t>
    </rPh>
    <rPh sb="11" eb="13">
      <t>リユウ</t>
    </rPh>
    <rPh sb="16" eb="18">
      <t>ツウショ</t>
    </rPh>
    <rPh sb="18" eb="20">
      <t>カイゴ</t>
    </rPh>
    <rPh sb="20" eb="21">
      <t>トウ</t>
    </rPh>
    <rPh sb="22" eb="24">
      <t>カイゴ</t>
    </rPh>
    <rPh sb="24" eb="26">
      <t>ホウシュウ</t>
    </rPh>
    <rPh sb="29" eb="31">
      <t>ヒョウカ</t>
    </rPh>
    <rPh sb="31" eb="33">
      <t>トドケデ</t>
    </rPh>
    <rPh sb="33" eb="35">
      <t>ヨウシキ</t>
    </rPh>
    <phoneticPr fontId="3"/>
  </si>
  <si>
    <r>
      <t>参考２</t>
    </r>
    <r>
      <rPr>
        <i/>
        <sz val="10"/>
        <rFont val="HGPｺﾞｼｯｸM"/>
        <family val="3"/>
        <charset val="128"/>
      </rPr>
      <t>　</t>
    </r>
    <rPh sb="0" eb="2">
      <t>サンコウ</t>
    </rPh>
    <phoneticPr fontId="3"/>
  </si>
  <si>
    <t>参考１</t>
    <rPh sb="0" eb="2">
      <t>サンコウ</t>
    </rPh>
    <phoneticPr fontId="3"/>
  </si>
  <si>
    <t>◎勤務形態一覧は、看護・介護職員分（算定月）、参考1「人員基準確認表」、参考2「夜勤職員配置及び夜勤職員配置加算算定表」</t>
    <phoneticPr fontId="3"/>
  </si>
  <si>
    <t>◎勤務形態一覧は、職員全員分（算定月）、参考1「人員基準確認表」、参考2「夜勤職員配置及び夜勤職員配置加算算定表」</t>
    <phoneticPr fontId="3"/>
  </si>
  <si>
    <t>◎勤務形態一覧は、栄養士・管理栄養士分（算定月）、参考1「人員基準確認表」、管理栄養士の免許証（写）</t>
    <rPh sb="9" eb="12">
      <t>エイヨウシ</t>
    </rPh>
    <rPh sb="13" eb="15">
      <t>カンリ</t>
    </rPh>
    <rPh sb="15" eb="18">
      <t>エイヨウシ</t>
    </rPh>
    <phoneticPr fontId="3"/>
  </si>
  <si>
    <t>参考1「人員基準確認表」</t>
    <phoneticPr fontId="3"/>
  </si>
  <si>
    <t>参考1「人員基準確認表」</t>
    <rPh sb="0" eb="2">
      <t>サンコウ</t>
    </rPh>
    <rPh sb="4" eb="6">
      <t>ジンイン</t>
    </rPh>
    <rPh sb="6" eb="8">
      <t>キジュン</t>
    </rPh>
    <rPh sb="8" eb="10">
      <t>カクニン</t>
    </rPh>
    <rPh sb="10" eb="11">
      <t>ヒョウ</t>
    </rPh>
    <phoneticPr fontId="3"/>
  </si>
  <si>
    <t>◎勤務形態一覧は、職員全員分（算定月）、参考1「人員基準確認表」</t>
    <phoneticPr fontId="3"/>
  </si>
  <si>
    <t>◎勤務形態一覧は、通リハ職員分のみ（算定月）、参考1「人員基準確認表」</t>
    <phoneticPr fontId="3"/>
  </si>
  <si>
    <t>◎勤務形態一覧は、通リハ職員分のみ（算定月）、参考1「人員基準確認表」、理学療法士・作業療法士又は言語聴覚士の免許証（写）</t>
    <phoneticPr fontId="3"/>
  </si>
  <si>
    <t>◎勤務形態一覧は、通リハ職員分のみ（算定月）、参考1「人員基準確認表」、理学療法士・作業療法士又は言語聴覚士の免許証（写）、生活行為の内容の充実を図るための研修の修了証（写）</t>
    <phoneticPr fontId="3"/>
  </si>
  <si>
    <t>◎勤務形態一覧は、通リハ職員分のみ（算定月）、参考1「人員基準確認表」、管理栄養士の免許証（写）</t>
    <phoneticPr fontId="3"/>
  </si>
  <si>
    <t>◎勤務形態一覧は、通リハ職員分のみ（算定月）、参考1「人員基準確認表」、言語聴覚士、歯科衛生士又は看護職員の免許証（写）</t>
    <phoneticPr fontId="3"/>
  </si>
  <si>
    <t>◎勤務形態一覧は、通リハ職員分のみ（算定月）、参考1「人員基準確認表」、看護職員の免許証（写）</t>
    <phoneticPr fontId="3"/>
  </si>
  <si>
    <t>◎勤務形態一覧は、通リハ職員分のみ（算定月）、参考1「人員基準確認表」、言語聴覚士・歯科衛生士又は看護職員の免許証（写）</t>
    <phoneticPr fontId="3"/>
  </si>
  <si>
    <t>◎勤務形態一覧は、入所職員全員分（算定月）、参考1「人員基準確認表」、参考2「夜勤職員配置及び夜勤職員配置加算算定表」、ユニットリーダー研修修了証（写）、平面図、室別面積表</t>
    <rPh sb="9" eb="11">
      <t>ニュウショ</t>
    </rPh>
    <rPh sb="74" eb="75">
      <t>ウツ</t>
    </rPh>
    <phoneticPr fontId="3"/>
  </si>
  <si>
    <t>◎勤務形態一覧は、通リハ職員分のみ、参考1「人員基準確認表」</t>
    <phoneticPr fontId="3"/>
  </si>
  <si>
    <t>特別療養費項目
（薬剤管理指導）</t>
    <rPh sb="0" eb="2">
      <t>トクベツ</t>
    </rPh>
    <rPh sb="2" eb="5">
      <t>リョウヨウヒ</t>
    </rPh>
    <rPh sb="5" eb="7">
      <t>コウモク</t>
    </rPh>
    <phoneticPr fontId="3"/>
  </si>
  <si>
    <t>特別療養費項目
（薬剤管理指導）</t>
    <rPh sb="0" eb="2">
      <t>トクベツ</t>
    </rPh>
    <rPh sb="2" eb="4">
      <t>リョウヨウ</t>
    </rPh>
    <rPh sb="4" eb="5">
      <t>ヒ</t>
    </rPh>
    <rPh sb="5" eb="7">
      <t>コウモク</t>
    </rPh>
    <phoneticPr fontId="3"/>
  </si>
  <si>
    <t>特別療養費項目
（重症皮膚潰瘍管理指導）</t>
    <rPh sb="0" eb="2">
      <t>トクベツ</t>
    </rPh>
    <rPh sb="2" eb="4">
      <t>リョウヨウ</t>
    </rPh>
    <rPh sb="4" eb="5">
      <t>ヒ</t>
    </rPh>
    <rPh sb="5" eb="7">
      <t>コウモク</t>
    </rPh>
    <rPh sb="17" eb="19">
      <t>シドウ</t>
    </rPh>
    <phoneticPr fontId="3"/>
  </si>
  <si>
    <t>特別療養費項目
（重症皮膚潰瘍管理指導）</t>
    <rPh sb="0" eb="2">
      <t>トクベツ</t>
    </rPh>
    <rPh sb="2" eb="5">
      <t>リョウヨウヒ</t>
    </rPh>
    <rPh sb="5" eb="7">
      <t>コウモク</t>
    </rPh>
    <rPh sb="17" eb="19">
      <t>シドウ</t>
    </rPh>
    <phoneticPr fontId="3"/>
  </si>
  <si>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3"/>
  </si>
  <si>
    <t>通所リハビリテーション算定区分確認表
　</t>
    <rPh sb="0" eb="1">
      <t>ツウ</t>
    </rPh>
    <rPh sb="1" eb="2">
      <t>ジョ</t>
    </rPh>
    <rPh sb="11" eb="13">
      <t>サンテイ</t>
    </rPh>
    <rPh sb="13" eb="15">
      <t>クブン</t>
    </rPh>
    <rPh sb="15" eb="17">
      <t>カクニン</t>
    </rPh>
    <rPh sb="17" eb="18">
      <t>ヒョウ</t>
    </rPh>
    <phoneticPr fontId="3"/>
  </si>
  <si>
    <t>　通所リハビリテーション事業の事業実績を基に下記（ア）、（イ）いずれかの延べ利用者数算出方法により、算定区分を確認してください。</t>
    <rPh sb="1" eb="3">
      <t>ツウショ</t>
    </rPh>
    <rPh sb="12" eb="14">
      <t>ジギョウ</t>
    </rPh>
    <rPh sb="15" eb="17">
      <t>ジギョウ</t>
    </rPh>
    <rPh sb="17" eb="19">
      <t>ジッセキ</t>
    </rPh>
    <rPh sb="20" eb="21">
      <t>モト</t>
    </rPh>
    <rPh sb="22" eb="24">
      <t>カキ</t>
    </rPh>
    <rPh sb="36" eb="37">
      <t>ノ</t>
    </rPh>
    <rPh sb="38" eb="41">
      <t>リヨウシャ</t>
    </rPh>
    <rPh sb="41" eb="42">
      <t>スウ</t>
    </rPh>
    <rPh sb="42" eb="44">
      <t>サンシュツ</t>
    </rPh>
    <rPh sb="44" eb="46">
      <t>ホウホウ</t>
    </rPh>
    <rPh sb="50" eb="52">
      <t>サンテイ</t>
    </rPh>
    <rPh sb="52" eb="54">
      <t>クブン</t>
    </rPh>
    <rPh sb="55" eb="57">
      <t>カクニン</t>
    </rPh>
    <phoneticPr fontId="3"/>
  </si>
  <si>
    <t>（ア）当該年４月１日現在、前年度事業実績が６か月以上ある事業所用</t>
    <rPh sb="3" eb="5">
      <t>トウガイ</t>
    </rPh>
    <rPh sb="5" eb="6">
      <t>ネン</t>
    </rPh>
    <rPh sb="13" eb="16">
      <t>ゼンネンド</t>
    </rPh>
    <phoneticPr fontId="3"/>
  </si>
  <si>
    <t>注：新規指定の場合前年１０月１日指定分までが６か月以上実績のある事業所になります。</t>
    <rPh sb="0" eb="1">
      <t>チュウ</t>
    </rPh>
    <rPh sb="2" eb="4">
      <t>シンキ</t>
    </rPh>
    <rPh sb="4" eb="6">
      <t>シテイ</t>
    </rPh>
    <rPh sb="7" eb="9">
      <t>バアイ</t>
    </rPh>
    <rPh sb="9" eb="11">
      <t>ゼンネン</t>
    </rPh>
    <rPh sb="13" eb="14">
      <t>ガツ</t>
    </rPh>
    <rPh sb="15" eb="16">
      <t>ニチ</t>
    </rPh>
    <rPh sb="16" eb="18">
      <t>シテイ</t>
    </rPh>
    <rPh sb="18" eb="19">
      <t>ブン</t>
    </rPh>
    <rPh sb="24" eb="25">
      <t>ゲツ</t>
    </rPh>
    <rPh sb="25" eb="27">
      <t>イジョウ</t>
    </rPh>
    <rPh sb="27" eb="29">
      <t>ジッセキ</t>
    </rPh>
    <rPh sb="32" eb="35">
      <t>ジギョウショ</t>
    </rPh>
    <phoneticPr fontId="3"/>
  </si>
  <si>
    <t>●平均利用延人員数確認表（前年４月１日～当該年２月末日）</t>
    <rPh sb="1" eb="3">
      <t>ヘイキン</t>
    </rPh>
    <rPh sb="3" eb="5">
      <t>リヨウ</t>
    </rPh>
    <rPh sb="5" eb="6">
      <t>ノ</t>
    </rPh>
    <rPh sb="6" eb="8">
      <t>ジンイン</t>
    </rPh>
    <rPh sb="8" eb="9">
      <t>スウ</t>
    </rPh>
    <rPh sb="9" eb="11">
      <t>カクニン</t>
    </rPh>
    <rPh sb="11" eb="12">
      <t>ヒョウ</t>
    </rPh>
    <rPh sb="13" eb="15">
      <t>ゼンネン</t>
    </rPh>
    <rPh sb="16" eb="17">
      <t>ガツ</t>
    </rPh>
    <rPh sb="18" eb="19">
      <t>ヒ</t>
    </rPh>
    <rPh sb="20" eb="22">
      <t>トウガイ</t>
    </rPh>
    <rPh sb="22" eb="23">
      <t>ネン</t>
    </rPh>
    <rPh sb="24" eb="25">
      <t>ガツ</t>
    </rPh>
    <rPh sb="25" eb="27">
      <t>マツジツ</t>
    </rPh>
    <phoneticPr fontId="3"/>
  </si>
  <si>
    <t>計（a)</t>
    <rPh sb="0" eb="1">
      <t>ケイ</t>
    </rPh>
    <phoneticPr fontId="3"/>
  </si>
  <si>
    <t>平均(ｂ）</t>
    <rPh sb="0" eb="2">
      <t>ヘイキン</t>
    </rPh>
    <phoneticPr fontId="3"/>
  </si>
  <si>
    <t>１０月</t>
    <rPh sb="2" eb="3">
      <t>ガツ</t>
    </rPh>
    <phoneticPr fontId="3"/>
  </si>
  <si>
    <t>１１月</t>
    <rPh sb="2" eb="3">
      <t>ガツ</t>
    </rPh>
    <phoneticPr fontId="3"/>
  </si>
  <si>
    <t>１２月</t>
    <rPh sb="2" eb="3">
      <t>ガツ</t>
    </rPh>
    <phoneticPr fontId="3"/>
  </si>
  <si>
    <t>３月分の実績は除きます。</t>
    <rPh sb="1" eb="2">
      <t>ガツ</t>
    </rPh>
    <rPh sb="2" eb="3">
      <t>ブン</t>
    </rPh>
    <rPh sb="4" eb="6">
      <t>ジッセキ</t>
    </rPh>
    <rPh sb="7" eb="8">
      <t>ノゾ</t>
    </rPh>
    <phoneticPr fontId="3"/>
  </si>
  <si>
    <t>（a)÷（月数）=(ｂ）</t>
    <rPh sb="5" eb="6">
      <t>ヅキ</t>
    </rPh>
    <rPh sb="6" eb="7">
      <t>スウ</t>
    </rPh>
    <phoneticPr fontId="3"/>
  </si>
  <si>
    <t>※　５月以降に新規指定（または再開）している場合は当該月から２月までを記載してください。</t>
    <rPh sb="3" eb="4">
      <t>ガツ</t>
    </rPh>
    <rPh sb="4" eb="6">
      <t>イコウ</t>
    </rPh>
    <rPh sb="7" eb="9">
      <t>シンキ</t>
    </rPh>
    <rPh sb="9" eb="11">
      <t>シテイ</t>
    </rPh>
    <rPh sb="15" eb="17">
      <t>サイカイ</t>
    </rPh>
    <rPh sb="22" eb="24">
      <t>バアイ</t>
    </rPh>
    <rPh sb="25" eb="27">
      <t>トウガイ</t>
    </rPh>
    <rPh sb="27" eb="28">
      <t>ツキ</t>
    </rPh>
    <rPh sb="31" eb="32">
      <t>ガツ</t>
    </rPh>
    <rPh sb="35" eb="37">
      <t>キサイ</t>
    </rPh>
    <phoneticPr fontId="3"/>
  </si>
  <si>
    <t>【平均利用延人員数の計算方法】</t>
    <rPh sb="1" eb="3">
      <t>ヘイキン</t>
    </rPh>
    <rPh sb="3" eb="5">
      <t>リヨウ</t>
    </rPh>
    <rPh sb="5" eb="6">
      <t>ノ</t>
    </rPh>
    <rPh sb="6" eb="8">
      <t>ジンイン</t>
    </rPh>
    <rPh sb="8" eb="9">
      <t>スウ</t>
    </rPh>
    <rPh sb="10" eb="12">
      <t>ケイサン</t>
    </rPh>
    <rPh sb="12" eb="14">
      <t>ホウホウ</t>
    </rPh>
    <phoneticPr fontId="3"/>
  </si>
  <si>
    <t>通所リハ</t>
    <rPh sb="0" eb="1">
      <t>ツウ</t>
    </rPh>
    <rPh sb="1" eb="2">
      <t>ショ</t>
    </rPh>
    <phoneticPr fontId="3"/>
  </si>
  <si>
    <t>介護予防通所リハ</t>
    <rPh sb="0" eb="2">
      <t>カイゴ</t>
    </rPh>
    <rPh sb="2" eb="4">
      <t>ヨボウ</t>
    </rPh>
    <rPh sb="4" eb="6">
      <t>ツウショ</t>
    </rPh>
    <phoneticPr fontId="3"/>
  </si>
  <si>
    <t>１～2時間未満</t>
    <rPh sb="3" eb="5">
      <t>ジカン</t>
    </rPh>
    <rPh sb="5" eb="7">
      <t>ミマン</t>
    </rPh>
    <phoneticPr fontId="3"/>
  </si>
  <si>
    <t>利用者数　×　1/4</t>
    <rPh sb="0" eb="2">
      <t>リヨウ</t>
    </rPh>
    <rPh sb="2" eb="3">
      <t>シャ</t>
    </rPh>
    <rPh sb="3" eb="4">
      <t>スウ</t>
    </rPh>
    <phoneticPr fontId="3"/>
  </si>
  <si>
    <t>2時間未満</t>
    <rPh sb="1" eb="3">
      <t>ジカン</t>
    </rPh>
    <rPh sb="3" eb="5">
      <t>ミマン</t>
    </rPh>
    <phoneticPr fontId="3"/>
  </si>
  <si>
    <t>3～4時間未満（2～3時間を含む）</t>
    <rPh sb="3" eb="5">
      <t>ジカン</t>
    </rPh>
    <rPh sb="5" eb="7">
      <t>ミマン</t>
    </rPh>
    <rPh sb="11" eb="13">
      <t>ジカン</t>
    </rPh>
    <rPh sb="14" eb="15">
      <t>フク</t>
    </rPh>
    <phoneticPr fontId="3"/>
  </si>
  <si>
    <t>利用者数　×　1/2</t>
    <rPh sb="0" eb="2">
      <t>リヨウ</t>
    </rPh>
    <rPh sb="2" eb="3">
      <t>シャ</t>
    </rPh>
    <rPh sb="3" eb="4">
      <t>スウ</t>
    </rPh>
    <phoneticPr fontId="3"/>
  </si>
  <si>
    <t>2～4時間未満</t>
    <rPh sb="3" eb="5">
      <t>ジカン</t>
    </rPh>
    <rPh sb="5" eb="7">
      <t>ミマン</t>
    </rPh>
    <phoneticPr fontId="3"/>
  </si>
  <si>
    <t>5～6時間未満（4～5時間を含む）</t>
    <rPh sb="3" eb="5">
      <t>ジカン</t>
    </rPh>
    <rPh sb="5" eb="7">
      <t>ミマン</t>
    </rPh>
    <phoneticPr fontId="3"/>
  </si>
  <si>
    <t>利用者数　×　3/4</t>
    <rPh sb="0" eb="2">
      <t>リヨウ</t>
    </rPh>
    <rPh sb="2" eb="3">
      <t>シャ</t>
    </rPh>
    <rPh sb="3" eb="4">
      <t>スウ</t>
    </rPh>
    <phoneticPr fontId="3"/>
  </si>
  <si>
    <t>4～6時間未満</t>
    <rPh sb="3" eb="5">
      <t>ジカン</t>
    </rPh>
    <rPh sb="5" eb="7">
      <t>ミマン</t>
    </rPh>
    <phoneticPr fontId="3"/>
  </si>
  <si>
    <t>6～8時間</t>
    <rPh sb="3" eb="5">
      <t>ジカン</t>
    </rPh>
    <phoneticPr fontId="3"/>
  </si>
  <si>
    <r>
      <t>利用者数　×　1</t>
    </r>
    <r>
      <rPr>
        <sz val="11"/>
        <rFont val="ＭＳ Ｐゴシック"/>
        <family val="3"/>
        <charset val="128"/>
      </rPr>
      <t/>
    </r>
    <rPh sb="0" eb="2">
      <t>リヨウ</t>
    </rPh>
    <rPh sb="2" eb="3">
      <t>シャ</t>
    </rPh>
    <rPh sb="3" eb="4">
      <t>スウ</t>
    </rPh>
    <phoneticPr fontId="3"/>
  </si>
  <si>
    <t>利用者数　×　1</t>
    <rPh sb="0" eb="2">
      <t>リヨウ</t>
    </rPh>
    <rPh sb="2" eb="3">
      <t>シャ</t>
    </rPh>
    <rPh sb="3" eb="4">
      <t>スウ</t>
    </rPh>
    <phoneticPr fontId="3"/>
  </si>
  <si>
    <t>※　ただし、介護予防通所リハビリテーションの利用者については、同時にサービスを提供を受けた者の最大数を営業日ごとに加えていく方法によって計算しても差し支えありません。</t>
    <rPh sb="6" eb="8">
      <t>カイゴ</t>
    </rPh>
    <rPh sb="8" eb="10">
      <t>ヨボウ</t>
    </rPh>
    <rPh sb="10" eb="12">
      <t>ツウショ</t>
    </rPh>
    <rPh sb="22" eb="25">
      <t>リヨウシャ</t>
    </rPh>
    <rPh sb="31" eb="33">
      <t>ドウジ</t>
    </rPh>
    <rPh sb="39" eb="41">
      <t>テイキョウ</t>
    </rPh>
    <rPh sb="42" eb="43">
      <t>ウ</t>
    </rPh>
    <rPh sb="45" eb="46">
      <t>モノ</t>
    </rPh>
    <rPh sb="47" eb="49">
      <t>サイダイ</t>
    </rPh>
    <rPh sb="49" eb="50">
      <t>スウ</t>
    </rPh>
    <rPh sb="51" eb="54">
      <t>エイギョウビ</t>
    </rPh>
    <rPh sb="57" eb="58">
      <t>クワ</t>
    </rPh>
    <rPh sb="62" eb="64">
      <t>ホウホウ</t>
    </rPh>
    <rPh sb="68" eb="70">
      <t>ケイサン</t>
    </rPh>
    <rPh sb="73" eb="74">
      <t>サ</t>
    </rPh>
    <rPh sb="75" eb="76">
      <t>ツカ</t>
    </rPh>
    <phoneticPr fontId="3"/>
  </si>
  <si>
    <t>※　災害その他のやむを得ない理由により受け入れた利用者については、その利用者を明確に区分した上で、平均利用延人員数に含まないこととします。</t>
    <rPh sb="2" eb="4">
      <t>サイガイ</t>
    </rPh>
    <rPh sb="6" eb="7">
      <t>タ</t>
    </rPh>
    <rPh sb="11" eb="12">
      <t>エ</t>
    </rPh>
    <rPh sb="14" eb="16">
      <t>リユウ</t>
    </rPh>
    <rPh sb="19" eb="20">
      <t>ウ</t>
    </rPh>
    <rPh sb="21" eb="22">
      <t>イ</t>
    </rPh>
    <rPh sb="24" eb="27">
      <t>リヨウシャ</t>
    </rPh>
    <rPh sb="35" eb="38">
      <t>リヨウシャ</t>
    </rPh>
    <rPh sb="39" eb="41">
      <t>メイカク</t>
    </rPh>
    <rPh sb="42" eb="44">
      <t>クブン</t>
    </rPh>
    <rPh sb="46" eb="47">
      <t>ウエ</t>
    </rPh>
    <rPh sb="49" eb="51">
      <t>ヘイキン</t>
    </rPh>
    <rPh sb="51" eb="53">
      <t>リヨウ</t>
    </rPh>
    <rPh sb="53" eb="54">
      <t>ノ</t>
    </rPh>
    <rPh sb="54" eb="55">
      <t>ジン</t>
    </rPh>
    <rPh sb="55" eb="57">
      <t>インスウ</t>
    </rPh>
    <rPh sb="58" eb="59">
      <t>フク</t>
    </rPh>
    <phoneticPr fontId="3"/>
  </si>
  <si>
    <t>※　正月等の特別な期間以外毎日実施する事業所にあっては、1週当たりの利用延人員数に6/7を乗じた数を合算したものにより、月当たりの平均利用者数を計算してください。</t>
    <rPh sb="2" eb="5">
      <t>ショウガツトウ</t>
    </rPh>
    <rPh sb="6" eb="8">
      <t>トクベツ</t>
    </rPh>
    <rPh sb="9" eb="11">
      <t>キカン</t>
    </rPh>
    <rPh sb="11" eb="13">
      <t>イガイ</t>
    </rPh>
    <rPh sb="13" eb="15">
      <t>マイニチ</t>
    </rPh>
    <rPh sb="15" eb="17">
      <t>ジッシ</t>
    </rPh>
    <rPh sb="19" eb="21">
      <t>ジギョウ</t>
    </rPh>
    <rPh sb="21" eb="22">
      <t>ショ</t>
    </rPh>
    <rPh sb="29" eb="30">
      <t>シュウ</t>
    </rPh>
    <rPh sb="30" eb="31">
      <t>ア</t>
    </rPh>
    <rPh sb="34" eb="36">
      <t>リヨウ</t>
    </rPh>
    <rPh sb="36" eb="37">
      <t>ノ</t>
    </rPh>
    <rPh sb="37" eb="38">
      <t>ジン</t>
    </rPh>
    <rPh sb="38" eb="39">
      <t>イン</t>
    </rPh>
    <rPh sb="39" eb="40">
      <t>スウ</t>
    </rPh>
    <rPh sb="45" eb="46">
      <t>ジョウ</t>
    </rPh>
    <rPh sb="48" eb="49">
      <t>カズ</t>
    </rPh>
    <rPh sb="50" eb="52">
      <t>ガッサン</t>
    </rPh>
    <rPh sb="60" eb="61">
      <t>ツキ</t>
    </rPh>
    <rPh sb="61" eb="62">
      <t>ア</t>
    </rPh>
    <rPh sb="65" eb="67">
      <t>ヘイキン</t>
    </rPh>
    <rPh sb="67" eb="70">
      <t>リヨウシャ</t>
    </rPh>
    <rPh sb="70" eb="71">
      <t>スウ</t>
    </rPh>
    <rPh sb="72" eb="74">
      <t>ケイサン</t>
    </rPh>
    <phoneticPr fontId="3"/>
  </si>
  <si>
    <t>（イ）当該年４月１日現在、事業実績が６か月に満たない事業所用</t>
    <rPh sb="3" eb="5">
      <t>トウガイ</t>
    </rPh>
    <rPh sb="5" eb="6">
      <t>ネン</t>
    </rPh>
    <rPh sb="22" eb="23">
      <t>ミ</t>
    </rPh>
    <phoneticPr fontId="3"/>
  </si>
  <si>
    <t>(前年から定員を２５％以上変更する場合も含む）</t>
    <rPh sb="1" eb="3">
      <t>ゼンネン</t>
    </rPh>
    <rPh sb="5" eb="7">
      <t>テイイン</t>
    </rPh>
    <rPh sb="11" eb="13">
      <t>イジョウ</t>
    </rPh>
    <rPh sb="13" eb="15">
      <t>ヘンコウ</t>
    </rPh>
    <rPh sb="17" eb="19">
      <t>バアイ</t>
    </rPh>
    <rPh sb="20" eb="21">
      <t>フク</t>
    </rPh>
    <phoneticPr fontId="3"/>
  </si>
  <si>
    <t>※新規指定の場合、前年１０月２日指定分以降が事業実績６か月に満たない事業所になります。</t>
    <rPh sb="1" eb="3">
      <t>シンキ</t>
    </rPh>
    <rPh sb="3" eb="5">
      <t>シテイ</t>
    </rPh>
    <rPh sb="6" eb="8">
      <t>バアイ</t>
    </rPh>
    <rPh sb="9" eb="11">
      <t>ゼンネン</t>
    </rPh>
    <rPh sb="10" eb="11">
      <t>ネン</t>
    </rPh>
    <rPh sb="13" eb="14">
      <t>ガツ</t>
    </rPh>
    <rPh sb="15" eb="16">
      <t>ニチ</t>
    </rPh>
    <rPh sb="16" eb="18">
      <t>シテイ</t>
    </rPh>
    <rPh sb="18" eb="19">
      <t>ブン</t>
    </rPh>
    <rPh sb="19" eb="21">
      <t>イコウ</t>
    </rPh>
    <rPh sb="22" eb="24">
      <t>ジギョウ</t>
    </rPh>
    <rPh sb="24" eb="26">
      <t>ジッセキ</t>
    </rPh>
    <rPh sb="28" eb="29">
      <t>ゲツ</t>
    </rPh>
    <rPh sb="30" eb="31">
      <t>ミ</t>
    </rPh>
    <rPh sb="34" eb="37">
      <t>ジギョウショ</t>
    </rPh>
    <phoneticPr fontId="3"/>
  </si>
  <si>
    <t>●平均利用延人員見込み数推計</t>
    <rPh sb="8" eb="10">
      <t>ミコ</t>
    </rPh>
    <rPh sb="12" eb="14">
      <t>スイケイ</t>
    </rPh>
    <phoneticPr fontId="3"/>
  </si>
  <si>
    <t>計算方法・・・（運営規程の定員）×90%×（営業日数／月）＝(ｂ)</t>
    <rPh sb="0" eb="2">
      <t>ケイサン</t>
    </rPh>
    <rPh sb="2" eb="4">
      <t>ホウホウ</t>
    </rPh>
    <phoneticPr fontId="3"/>
  </si>
  <si>
    <t>（ｂ）</t>
    <phoneticPr fontId="3"/>
  </si>
  <si>
    <t>（人）</t>
    <phoneticPr fontId="3"/>
  </si>
  <si>
    <t>×</t>
    <phoneticPr fontId="3"/>
  </si>
  <si>
    <t>（日）</t>
    <phoneticPr fontId="3"/>
  </si>
  <si>
    <t>（人）</t>
    <rPh sb="1" eb="2">
      <t>ニン</t>
    </rPh>
    <phoneticPr fontId="3"/>
  </si>
  <si>
    <t>営業日数は、当該年４月１日から来年３月３１日までの見込み平均営業日数を用いてください</t>
    <rPh sb="0" eb="3">
      <t>エイギョウビ</t>
    </rPh>
    <rPh sb="3" eb="4">
      <t>スウ</t>
    </rPh>
    <rPh sb="6" eb="8">
      <t>トウガイ</t>
    </rPh>
    <rPh sb="8" eb="9">
      <t>ネン</t>
    </rPh>
    <rPh sb="10" eb="11">
      <t>ガツ</t>
    </rPh>
    <rPh sb="12" eb="13">
      <t>ニチ</t>
    </rPh>
    <rPh sb="15" eb="17">
      <t>ライネン</t>
    </rPh>
    <rPh sb="16" eb="17">
      <t>ネン</t>
    </rPh>
    <rPh sb="18" eb="19">
      <t>ガツ</t>
    </rPh>
    <rPh sb="21" eb="22">
      <t>ニチ</t>
    </rPh>
    <rPh sb="28" eb="30">
      <t>ヘイキン</t>
    </rPh>
    <rPh sb="30" eb="32">
      <t>エイギョウ</t>
    </rPh>
    <rPh sb="32" eb="34">
      <t>ニッスウ</t>
    </rPh>
    <rPh sb="35" eb="36">
      <t>モチ</t>
    </rPh>
    <phoneticPr fontId="3"/>
  </si>
  <si>
    <t>●算定区分</t>
    <rPh sb="1" eb="3">
      <t>サンテイ</t>
    </rPh>
    <rPh sb="3" eb="5">
      <t>クブン</t>
    </rPh>
    <phoneticPr fontId="3"/>
  </si>
  <si>
    <t>　（ｂ）≦７５０人</t>
    <phoneticPr fontId="3"/>
  </si>
  <si>
    <r>
      <t>・・・</t>
    </r>
    <r>
      <rPr>
        <b/>
        <sz val="11"/>
        <rFont val="HGSｺﾞｼｯｸM"/>
        <family val="3"/>
        <charset val="128"/>
      </rPr>
      <t>通常規模</t>
    </r>
    <rPh sb="3" eb="5">
      <t>ツウジョウ</t>
    </rPh>
    <rPh sb="5" eb="7">
      <t>キボ</t>
    </rPh>
    <phoneticPr fontId="3"/>
  </si>
  <si>
    <t>-</t>
    <phoneticPr fontId="3"/>
  </si>
  <si>
    <t>参考様式３</t>
    <rPh sb="0" eb="2">
      <t>サンコウ</t>
    </rPh>
    <rPh sb="2" eb="4">
      <t>ヨウシキ</t>
    </rPh>
    <phoneticPr fontId="3"/>
  </si>
  <si>
    <t>認知症専門ケア加算に係る届出書</t>
    <rPh sb="0" eb="3">
      <t>ニンチショウ</t>
    </rPh>
    <rPh sb="3" eb="5">
      <t>センモン</t>
    </rPh>
    <rPh sb="7" eb="9">
      <t>カサン</t>
    </rPh>
    <rPh sb="10" eb="11">
      <t>カカ</t>
    </rPh>
    <rPh sb="12" eb="15">
      <t>トドケデショ</t>
    </rPh>
    <phoneticPr fontId="3"/>
  </si>
  <si>
    <t>中重度者ケア体制加算に係る届出書</t>
    <rPh sb="0" eb="4">
      <t>チュウジュウドシャ</t>
    </rPh>
    <rPh sb="6" eb="8">
      <t>タイセイ</t>
    </rPh>
    <rPh sb="8" eb="10">
      <t>カサン</t>
    </rPh>
    <rPh sb="11" eb="12">
      <t>カカ</t>
    </rPh>
    <rPh sb="13" eb="16">
      <t>トドケデショ</t>
    </rPh>
    <phoneticPr fontId="3"/>
  </si>
  <si>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3"/>
  </si>
  <si>
    <t>月</t>
    <rPh sb="0" eb="1">
      <t>ガツ</t>
    </rPh>
    <phoneticPr fontId="3"/>
  </si>
  <si>
    <t>事 業 所 名</t>
    <phoneticPr fontId="3"/>
  </si>
  <si>
    <t>異動等区分</t>
    <phoneticPr fontId="3"/>
  </si>
  <si>
    <t>１　新規</t>
    <phoneticPr fontId="3"/>
  </si>
  <si>
    <t>２　変更</t>
    <phoneticPr fontId="3"/>
  </si>
  <si>
    <t>３　終了</t>
    <phoneticPr fontId="3"/>
  </si>
  <si>
    <t>施 設 種 別</t>
    <rPh sb="0" eb="1">
      <t>セ</t>
    </rPh>
    <rPh sb="2" eb="3">
      <t>セツ</t>
    </rPh>
    <rPh sb="4" eb="5">
      <t>シュ</t>
    </rPh>
    <rPh sb="6" eb="7">
      <t>ベツ</t>
    </rPh>
    <phoneticPr fontId="3"/>
  </si>
  <si>
    <t>届 出 項 目</t>
    <phoneticPr fontId="3"/>
  </si>
  <si>
    <t>１　認知症専門ケア加算（Ⅰ）　　　</t>
    <phoneticPr fontId="3"/>
  </si>
  <si>
    <t>２　認知症専門ケア加算（Ⅱ）</t>
  </si>
  <si>
    <t>有</t>
    <rPh sb="0" eb="1">
      <t>ア</t>
    </rPh>
    <phoneticPr fontId="3"/>
  </si>
  <si>
    <t>１．認知症専門ケア加算（Ⅰ）に係る届出内容</t>
    <rPh sb="15" eb="16">
      <t>カカ</t>
    </rPh>
    <rPh sb="17" eb="18">
      <t>トド</t>
    </rPh>
    <rPh sb="18" eb="19">
      <t>デ</t>
    </rPh>
    <rPh sb="19" eb="21">
      <t>ナイヨウ</t>
    </rPh>
    <phoneticPr fontId="3"/>
  </si>
  <si>
    <t>(1)</t>
    <phoneticPr fontId="3"/>
  </si>
  <si>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3"/>
  </si>
  <si>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</si>
  <si>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3"/>
  </si>
  <si>
    <t>人</t>
    <rPh sb="0" eb="1">
      <t>ヒト</t>
    </rPh>
    <phoneticPr fontId="3"/>
  </si>
  <si>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3"/>
  </si>
  <si>
    <t>③　②÷①×100</t>
    <phoneticPr fontId="3"/>
  </si>
  <si>
    <t>注　届出日の属する月の前３月の各月末時点の利用者又は入所者の数（訪問サービスでは</t>
    <rPh sb="24" eb="25">
      <t>マタ</t>
    </rPh>
    <rPh sb="26" eb="29">
      <t>ニュウショシャ</t>
    </rPh>
    <rPh sb="32" eb="34">
      <t>ホウモン</t>
    </rPh>
    <phoneticPr fontId="3"/>
  </si>
  <si>
    <t>前３月間の利用実人員数又は利用延べ人数）の平均で算定。</t>
    <phoneticPr fontId="3"/>
  </si>
  <si>
    <t>(2)</t>
    <phoneticPr fontId="3"/>
  </si>
  <si>
    <t>認知症介護に係る専門的な研修を修了している者を、日常生活自立度のランクⅢ、</t>
    <phoneticPr fontId="3"/>
  </si>
  <si>
    <t>Ⅳ又はMに該当する者の数に応じて必要数以上配置し、チームとして専門的な</t>
    <phoneticPr fontId="3"/>
  </si>
  <si>
    <t>認知症ケアを実施している</t>
    <rPh sb="0" eb="3">
      <t>ニンチショウ</t>
    </rPh>
    <rPh sb="6" eb="8">
      <t>ジッシ</t>
    </rPh>
    <phoneticPr fontId="3"/>
  </si>
  <si>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3"/>
  </si>
  <si>
    <t>【参考】</t>
    <rPh sb="1" eb="3">
      <t>サンコウ</t>
    </rPh>
    <phoneticPr fontId="3"/>
  </si>
  <si>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3"/>
  </si>
  <si>
    <t>研修修了者の必要数</t>
    <rPh sb="0" eb="2">
      <t>ケンシュウ</t>
    </rPh>
    <rPh sb="2" eb="5">
      <t>シュウリョウシャ</t>
    </rPh>
    <rPh sb="6" eb="9">
      <t>ヒツヨウスウ</t>
    </rPh>
    <phoneticPr fontId="3"/>
  </si>
  <si>
    <t>20人未満</t>
    <rPh sb="2" eb="3">
      <t>ニン</t>
    </rPh>
    <rPh sb="3" eb="5">
      <t>ミマン</t>
    </rPh>
    <phoneticPr fontId="3"/>
  </si>
  <si>
    <t>１以上</t>
    <rPh sb="1" eb="3">
      <t>イジョウ</t>
    </rPh>
    <phoneticPr fontId="3"/>
  </si>
  <si>
    <t>20以上30未満</t>
    <rPh sb="2" eb="4">
      <t>イジョウ</t>
    </rPh>
    <rPh sb="6" eb="8">
      <t>ミマン</t>
    </rPh>
    <phoneticPr fontId="3"/>
  </si>
  <si>
    <t>２以上</t>
    <rPh sb="1" eb="3">
      <t>イジョウ</t>
    </rPh>
    <phoneticPr fontId="3"/>
  </si>
  <si>
    <t>30以上40未満</t>
    <rPh sb="2" eb="4">
      <t>イジョウ</t>
    </rPh>
    <rPh sb="6" eb="8">
      <t>ミマン</t>
    </rPh>
    <phoneticPr fontId="3"/>
  </si>
  <si>
    <t>40以上50未満</t>
    <rPh sb="2" eb="4">
      <t>イジョウ</t>
    </rPh>
    <rPh sb="6" eb="8">
      <t>ミマン</t>
    </rPh>
    <phoneticPr fontId="3"/>
  </si>
  <si>
    <t>４以上</t>
    <rPh sb="1" eb="3">
      <t>イジョウ</t>
    </rPh>
    <phoneticPr fontId="3"/>
  </si>
  <si>
    <t>50以上60未満</t>
    <rPh sb="2" eb="4">
      <t>イジョウ</t>
    </rPh>
    <rPh sb="6" eb="8">
      <t>ミマン</t>
    </rPh>
    <phoneticPr fontId="3"/>
  </si>
  <si>
    <t>60以上70未満</t>
    <rPh sb="2" eb="4">
      <t>イジョウ</t>
    </rPh>
    <rPh sb="6" eb="8">
      <t>ミマン</t>
    </rPh>
    <phoneticPr fontId="3"/>
  </si>
  <si>
    <t>６以上</t>
    <rPh sb="1" eb="3">
      <t>イジョウ</t>
    </rPh>
    <phoneticPr fontId="3"/>
  </si>
  <si>
    <t>(3)</t>
    <phoneticPr fontId="3"/>
  </si>
  <si>
    <t>従業者に対して、認知症ケアに関する留意事項の伝達又は技術的指導に係る会議を</t>
    <phoneticPr fontId="3"/>
  </si>
  <si>
    <t>定期的に開催している</t>
    <phoneticPr fontId="3"/>
  </si>
  <si>
    <t>２．認知症専門ケア加算（Ⅱ）に係る届出内容</t>
    <rPh sb="15" eb="16">
      <t>カカ</t>
    </rPh>
    <rPh sb="17" eb="18">
      <t>トド</t>
    </rPh>
    <rPh sb="18" eb="19">
      <t>デ</t>
    </rPh>
    <rPh sb="19" eb="21">
      <t>ナイヨウ</t>
    </rPh>
    <phoneticPr fontId="3"/>
  </si>
  <si>
    <t>認知症専門ケア加算（Ⅰ）の基準のいずれにも該当している</t>
    <phoneticPr fontId="3"/>
  </si>
  <si>
    <t>※認知症専門ケア加算（Ⅰ）に係る届出内容(1)～(3)も記入すること。</t>
    <rPh sb="14" eb="15">
      <t>カカ</t>
    </rPh>
    <rPh sb="16" eb="18">
      <t>トドケデ</t>
    </rPh>
    <rPh sb="18" eb="20">
      <t>ナイヨウ</t>
    </rPh>
    <rPh sb="28" eb="30">
      <t>キニュウ</t>
    </rPh>
    <phoneticPr fontId="3"/>
  </si>
  <si>
    <t>認知症介護の指導に係る専門的な研修を修了している者を１名以上配置し、</t>
    <phoneticPr fontId="3"/>
  </si>
  <si>
    <t>事業所又は施設全体の認知症ケアの指導等を実施している</t>
    <rPh sb="0" eb="3">
      <t>ジギョウショ</t>
    </rPh>
    <rPh sb="3" eb="4">
      <t>マタ</t>
    </rPh>
    <phoneticPr fontId="3"/>
  </si>
  <si>
    <t>事業所又は施設において介護職員、看護職員ごとの認知症ケアに関する研修計画を</t>
    <rPh sb="3" eb="4">
      <t>マタ</t>
    </rPh>
    <rPh sb="5" eb="7">
      <t>シセツ</t>
    </rPh>
    <phoneticPr fontId="3"/>
  </si>
  <si>
    <t>作成し、当該計画に従い、研修を実施又は実施を予定している</t>
    <phoneticPr fontId="3"/>
  </si>
  <si>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3"/>
  </si>
  <si>
    <t>すること。</t>
  </si>
  <si>
    <t>備考２　「認知症介護に係る専門的な研修」とは、認知症介護実践リーダー研修及び認知症看護に係る適切な</t>
    <rPh sb="0" eb="2">
      <t>ビコウ</t>
    </rPh>
    <phoneticPr fontId="3"/>
  </si>
  <si>
    <t>研修を、「認知症介護の指導に係る専門的な研修」とは、認知症介護指導者養成研修及び認知症看護に係る</t>
    <phoneticPr fontId="3"/>
  </si>
  <si>
    <t>適切な研修を指す。</t>
    <phoneticPr fontId="3"/>
  </si>
  <si>
    <t>※認知症看護に係る適切な研修：</t>
    <rPh sb="1" eb="4">
      <t>ニンチショウ</t>
    </rPh>
    <rPh sb="4" eb="6">
      <t>カンゴ</t>
    </rPh>
    <rPh sb="7" eb="8">
      <t>カカ</t>
    </rPh>
    <rPh sb="9" eb="11">
      <t>テキセツ</t>
    </rPh>
    <rPh sb="12" eb="14">
      <t>ケンシュウ</t>
    </rPh>
    <phoneticPr fontId="3"/>
  </si>
  <si>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</si>
  <si>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3"/>
  </si>
  <si>
    <t>　「精神看護」の専門看護師教育課程</t>
    <phoneticPr fontId="3"/>
  </si>
  <si>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3"/>
  </si>
  <si>
    <t>　（認定証が発行されている者に限る）</t>
    <phoneticPr fontId="3"/>
  </si>
  <si>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3"/>
  </si>
  <si>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3"/>
  </si>
  <si>
    <t>護に係る専門的な研修」及び「認知症介護の指導に係る専門的な研修」の修了者をそれぞれ１名配置したこ</t>
    <phoneticPr fontId="3"/>
  </si>
  <si>
    <t>とになる。</t>
    <phoneticPr fontId="3"/>
  </si>
  <si>
    <t>事 業 所 名</t>
  </si>
  <si>
    <t>1　新規</t>
    <phoneticPr fontId="3"/>
  </si>
  <si>
    <t>2　変更</t>
    <phoneticPr fontId="3"/>
  </si>
  <si>
    <t>3　終了</t>
    <phoneticPr fontId="3"/>
  </si>
  <si>
    <t>事業所等の区分</t>
    <rPh sb="0" eb="3">
      <t>ジギョウショ</t>
    </rPh>
    <phoneticPr fontId="3"/>
  </si>
  <si>
    <t>1　通所介護事業所</t>
    <rPh sb="2" eb="4">
      <t>ツウショ</t>
    </rPh>
    <rPh sb="4" eb="6">
      <t>カイゴ</t>
    </rPh>
    <rPh sb="6" eb="9">
      <t>ジギョウショ</t>
    </rPh>
    <phoneticPr fontId="3"/>
  </si>
  <si>
    <t>2　地域密着型通所介護事業所</t>
    <rPh sb="2" eb="4">
      <t>チイキ</t>
    </rPh>
    <rPh sb="4" eb="7">
      <t>ミッチャクガタ</t>
    </rPh>
    <rPh sb="7" eb="9">
      <t>ツウショ</t>
    </rPh>
    <rPh sb="9" eb="11">
      <t>カイゴ</t>
    </rPh>
    <rPh sb="11" eb="14">
      <t>ジギョウショ</t>
    </rPh>
    <phoneticPr fontId="3"/>
  </si>
  <si>
    <t>3　通所リハビリテーション事業所</t>
    <rPh sb="2" eb="4">
      <t>ツウショ</t>
    </rPh>
    <rPh sb="13" eb="16">
      <t>ジギョウショ</t>
    </rPh>
    <phoneticPr fontId="3"/>
  </si>
  <si>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3"/>
  </si>
  <si>
    <t>通所介護</t>
    <rPh sb="0" eb="2">
      <t>ツウショ</t>
    </rPh>
    <rPh sb="2" eb="4">
      <t>カイゴ</t>
    </rPh>
    <phoneticPr fontId="3"/>
  </si>
  <si>
    <t>指定居宅サービス等基準第93条第１項第２号又は第３号に規定する看護職員又は介護職員の員数に加え、看護職員又は介護職員を常勤換算方法で２以上確保している。</t>
    <phoneticPr fontId="3"/>
  </si>
  <si>
    <t>指定通所介護事業所における前年度又は算定日が属する月の前３月間の利用者の総数のうち、要介護状態区分が要介護３、要介護４又は要介護５である者の占める割合が100分の30以上である。</t>
    <phoneticPr fontId="3"/>
  </si>
  <si>
    <t>指定通所介護を行う時間帯を通じて専ら当該指定通所介護の提供に当たる看護職員を１名以上配置している。</t>
    <phoneticPr fontId="3"/>
  </si>
  <si>
    <t>共生型通所介護費を算定していない。</t>
    <rPh sb="0" eb="3">
      <t>キョウセイガタ</t>
    </rPh>
    <rPh sb="3" eb="5">
      <t>ツウショ</t>
    </rPh>
    <rPh sb="5" eb="8">
      <t>カイゴヒ</t>
    </rPh>
    <rPh sb="9" eb="11">
      <t>サンテイ</t>
    </rPh>
    <phoneticPr fontId="3"/>
  </si>
  <si>
    <t>地域密着型
通所介護</t>
    <rPh sb="0" eb="5">
      <t>チイキミッチャクガタ</t>
    </rPh>
    <rPh sb="6" eb="8">
      <t>ツウショ</t>
    </rPh>
    <rPh sb="8" eb="10">
      <t>カイゴ</t>
    </rPh>
    <phoneticPr fontId="3"/>
  </si>
  <si>
    <t>指定地域密着型サービス基準第20条第１項第２号又は第３号に規定する看護職員又は介護職員の員数に加え、看護職員又は介護職員を常勤換算方法で２以上確保している。</t>
    <phoneticPr fontId="3"/>
  </si>
  <si>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3"/>
  </si>
  <si>
    <t>指定地域密着型通所介護を行う時間帯を通じて専ら当該指定地域密着型通所介護の提供に当たる看護職員を１名以上配置している。</t>
    <phoneticPr fontId="3"/>
  </si>
  <si>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3"/>
  </si>
  <si>
    <t>通所
リハビリ
テーション</t>
    <rPh sb="0" eb="2">
      <t>ツウショ</t>
    </rPh>
    <phoneticPr fontId="3"/>
  </si>
  <si>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3"/>
  </si>
  <si>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3"/>
  </si>
  <si>
    <t>指定通所リハビリテーションを行う時間帯を通じて専ら当該指定通所リハビリテーションの提供に当たる看護職員を１名以上配置している。</t>
    <rPh sb="2" eb="4">
      <t>ツウショ</t>
    </rPh>
    <rPh sb="29" eb="31">
      <t>ツウショ</t>
    </rPh>
    <phoneticPr fontId="3"/>
  </si>
  <si>
    <t>備考　要件を満たすことが分かる根拠書類を準備し、指定権者からの求めがあった場合には、</t>
    <phoneticPr fontId="3"/>
  </si>
  <si>
    <t>　　速やかに提出すること。</t>
    <rPh sb="2" eb="3">
      <t>スミ</t>
    </rPh>
    <rPh sb="6" eb="8">
      <t>テイシュツ</t>
    </rPh>
    <phoneticPr fontId="3"/>
  </si>
  <si>
    <t>ア．前年度（３月を除く）の実績の平均</t>
  </si>
  <si>
    <t>イ．届出日の属する月の前３月</t>
  </si>
  <si>
    <t>月</t>
  </si>
  <si>
    <t>前年度（３月を除く）</t>
  </si>
  <si>
    <t>5月</t>
  </si>
  <si>
    <t>6月</t>
  </si>
  <si>
    <t>7月</t>
  </si>
  <si>
    <t>8月</t>
  </si>
  <si>
    <t>9月</t>
  </si>
  <si>
    <t>10月</t>
  </si>
  <si>
    <t>1月</t>
  </si>
  <si>
    <t>2月</t>
  </si>
  <si>
    <t>◎勤務形態一覧は、職員全員分（算定月）※入所と通所を兼務している場合は入所に配置している時間を記入すること。
参考1「人員基準確認表」、参考2「夜勤職員配置及び夜勤職員配置加算算定表」</t>
    <rPh sb="89" eb="91">
      <t>サンコウ</t>
    </rPh>
    <phoneticPr fontId="3"/>
  </si>
  <si>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3"/>
  </si>
  <si>
    <t>事 業 所 番 号</t>
  </si>
  <si>
    <t>提供サービス</t>
    <phoneticPr fontId="3"/>
  </si>
  <si>
    <t>人員配置区分</t>
  </si>
  <si>
    <t>そ　 　　の　 　　他　　 　該　　 　当　　 　す 　　　る 　　　体 　　　制 　　　等</t>
    <phoneticPr fontId="3"/>
  </si>
  <si>
    <t>割 引</t>
  </si>
  <si>
    <t>各サービス共通</t>
  </si>
  <si>
    <t>地域区分</t>
  </si>
  <si>
    <t>１　１級地</t>
  </si>
  <si>
    <t>６　２級地</t>
  </si>
  <si>
    <t>７　３級地</t>
  </si>
  <si>
    <t>２　４級地</t>
  </si>
  <si>
    <t>３　５級地</t>
  </si>
  <si>
    <t>４　６級地</t>
  </si>
  <si>
    <t>９　７級地</t>
  </si>
  <si>
    <t>５　その他</t>
  </si>
  <si>
    <t>夜間勤務条件基準</t>
  </si>
  <si>
    <t>１ 基準型</t>
    <rPh sb="2" eb="4">
      <t>キジュン</t>
    </rPh>
    <rPh sb="4" eb="5">
      <t>ガタ</t>
    </rPh>
    <phoneticPr fontId="3"/>
  </si>
  <si>
    <t>６ 減算型</t>
    <rPh sb="2" eb="4">
      <t>ゲンサン</t>
    </rPh>
    <rPh sb="4" eb="5">
      <t>ガタ</t>
    </rPh>
    <phoneticPr fontId="3"/>
  </si>
  <si>
    <t>１　なし</t>
  </si>
  <si>
    <t>１ なし</t>
    <phoneticPr fontId="3"/>
  </si>
  <si>
    <t>２ 医師</t>
    <rPh sb="2" eb="4">
      <t>イシ</t>
    </rPh>
    <phoneticPr fontId="3"/>
  </si>
  <si>
    <t>３ 看護職員</t>
    <rPh sb="2" eb="4">
      <t>カンゴ</t>
    </rPh>
    <rPh sb="4" eb="6">
      <t>ショクイン</t>
    </rPh>
    <phoneticPr fontId="3"/>
  </si>
  <si>
    <t>４ 介護職員</t>
    <rPh sb="2" eb="4">
      <t>カイゴ</t>
    </rPh>
    <rPh sb="4" eb="6">
      <t>ショクイン</t>
    </rPh>
    <phoneticPr fontId="3"/>
  </si>
  <si>
    <t>２　あり</t>
  </si>
  <si>
    <t>５ 理学療法士</t>
    <rPh sb="2" eb="4">
      <t>リガク</t>
    </rPh>
    <rPh sb="4" eb="7">
      <t>リョウホウシ</t>
    </rPh>
    <phoneticPr fontId="3"/>
  </si>
  <si>
    <t>６ 作業療法士</t>
    <rPh sb="2" eb="4">
      <t>サギョウ</t>
    </rPh>
    <rPh sb="4" eb="7">
      <t>リョウホウシ</t>
    </rPh>
    <phoneticPr fontId="3"/>
  </si>
  <si>
    <t>７ 介護支援専門員</t>
    <rPh sb="2" eb="4">
      <t>カイゴ</t>
    </rPh>
    <rPh sb="4" eb="6">
      <t>シエン</t>
    </rPh>
    <rPh sb="6" eb="9">
      <t>センモンイン</t>
    </rPh>
    <phoneticPr fontId="3"/>
  </si>
  <si>
    <t>８ 言語聴覚士</t>
    <rPh sb="2" eb="4">
      <t>ゲンゴ</t>
    </rPh>
    <rPh sb="4" eb="7">
      <t>チョウカクシ</t>
    </rPh>
    <phoneticPr fontId="3"/>
  </si>
  <si>
    <t>１ 対応不可</t>
    <rPh sb="2" eb="4">
      <t>タイオウ</t>
    </rPh>
    <rPh sb="4" eb="6">
      <t>フカ</t>
    </rPh>
    <phoneticPr fontId="3"/>
  </si>
  <si>
    <t>２ 対応可</t>
    <phoneticPr fontId="3"/>
  </si>
  <si>
    <t>身体拘束廃止取組の有無</t>
  </si>
  <si>
    <t>１ 減算型</t>
    <phoneticPr fontId="3"/>
  </si>
  <si>
    <t>２ 基準型</t>
    <rPh sb="2" eb="4">
      <t>キジュン</t>
    </rPh>
    <rPh sb="4" eb="5">
      <t>ガタ</t>
    </rPh>
    <phoneticPr fontId="3"/>
  </si>
  <si>
    <t>高齢者虐待防止措置実施の有無</t>
    <phoneticPr fontId="3"/>
  </si>
  <si>
    <t>２ 基準型</t>
    <phoneticPr fontId="3"/>
  </si>
  <si>
    <t>業務継続計画策定の有無</t>
    <phoneticPr fontId="3"/>
  </si>
  <si>
    <t>栄養ケア・マネジメントの
実施の有無</t>
    <rPh sb="0" eb="2">
      <t>エイヨウ</t>
    </rPh>
    <rPh sb="13" eb="15">
      <t>ジッシ</t>
    </rPh>
    <rPh sb="16" eb="18">
      <t>ウム</t>
    </rPh>
    <phoneticPr fontId="3"/>
  </si>
  <si>
    <t>２ あり</t>
    <phoneticPr fontId="3"/>
  </si>
  <si>
    <t>認知症短期集中ﾘﾊﾋﾞﾘﾃｰｼｮﾝ実施加算</t>
    <rPh sb="0" eb="3">
      <t>ニンチショウ</t>
    </rPh>
    <rPh sb="3" eb="5">
      <t>タンキ</t>
    </rPh>
    <rPh sb="5" eb="7">
      <t>シュウチュウ</t>
    </rPh>
    <rPh sb="17" eb="19">
      <t>ジッシ</t>
    </rPh>
    <rPh sb="19" eb="21">
      <t>カサン</t>
    </rPh>
    <phoneticPr fontId="3"/>
  </si>
  <si>
    <t>認知症ケア加算</t>
    <rPh sb="0" eb="2">
      <t>ニンチ</t>
    </rPh>
    <rPh sb="2" eb="3">
      <t>ショウ</t>
    </rPh>
    <rPh sb="5" eb="7">
      <t>カサン</t>
    </rPh>
    <phoneticPr fontId="3"/>
  </si>
  <si>
    <t>若年性認知症入所者受入加算</t>
    <rPh sb="6" eb="9">
      <t>ニュウショシャ</t>
    </rPh>
    <rPh sb="9" eb="11">
      <t>ウケイレ</t>
    </rPh>
    <rPh sb="11" eb="13">
      <t>カサン</t>
    </rPh>
    <phoneticPr fontId="3"/>
  </si>
  <si>
    <t>介護保健施設サービス</t>
    <phoneticPr fontId="3"/>
  </si>
  <si>
    <t>１　介護保健施設（Ⅰ）</t>
  </si>
  <si>
    <t>１　基本型</t>
  </si>
  <si>
    <t>在宅復帰・在宅療養支援機能加算</t>
    <phoneticPr fontId="3"/>
  </si>
  <si>
    <t>２ 加算Ⅰ</t>
    <phoneticPr fontId="3"/>
  </si>
  <si>
    <t>３ 加算Ⅱ</t>
    <phoneticPr fontId="3"/>
  </si>
  <si>
    <t>２　ユニット型介護保健施設（Ⅰ）</t>
  </si>
  <si>
    <t>２　在宅強化型</t>
  </si>
  <si>
    <t>認知症専門ケア加算</t>
    <rPh sb="0" eb="3">
      <t>ニンチショウ</t>
    </rPh>
    <rPh sb="3" eb="5">
      <t>センモン</t>
    </rPh>
    <rPh sb="7" eb="9">
      <t>カサン</t>
    </rPh>
    <phoneticPr fontId="3"/>
  </si>
  <si>
    <t>認知症チームケア推進加算</t>
    <phoneticPr fontId="3"/>
  </si>
  <si>
    <t>リハビリ計画書情報加算</t>
    <rPh sb="4" eb="6">
      <t>ケイカク</t>
    </rPh>
    <rPh sb="6" eb="7">
      <t>ショ</t>
    </rPh>
    <rPh sb="7" eb="9">
      <t>ジョウホウ</t>
    </rPh>
    <rPh sb="9" eb="11">
      <t>カサン</t>
    </rPh>
    <phoneticPr fontId="3"/>
  </si>
  <si>
    <t>３ 加算Ⅰ</t>
    <phoneticPr fontId="3"/>
  </si>
  <si>
    <t>褥瘡マネジメント加算</t>
    <phoneticPr fontId="3"/>
  </si>
  <si>
    <t>生産性向上推進体制加算</t>
    <phoneticPr fontId="3"/>
  </si>
  <si>
    <t>サービス提供体制強化加算</t>
    <rPh sb="4" eb="6">
      <t>テイキョウ</t>
    </rPh>
    <rPh sb="6" eb="8">
      <t>タイセイ</t>
    </rPh>
    <rPh sb="8" eb="10">
      <t>キョウカ</t>
    </rPh>
    <rPh sb="10" eb="12">
      <t>カサン</t>
    </rPh>
    <phoneticPr fontId="3"/>
  </si>
  <si>
    <t>６ 加算Ⅰ</t>
    <phoneticPr fontId="3"/>
  </si>
  <si>
    <t>５ 加算Ⅱ</t>
    <phoneticPr fontId="3"/>
  </si>
  <si>
    <t>７ 加算Ⅲ</t>
    <phoneticPr fontId="3"/>
  </si>
  <si>
    <t>５　介護保健施設（Ⅱ）</t>
  </si>
  <si>
    <t>６　ユニット型介護保健施設（Ⅱ）</t>
  </si>
  <si>
    <t>特別療養費加算項目</t>
    <rPh sb="0" eb="2">
      <t>トクベツ</t>
    </rPh>
    <rPh sb="2" eb="5">
      <t>リョウヨウヒ</t>
    </rPh>
    <rPh sb="5" eb="7">
      <t>カサン</t>
    </rPh>
    <rPh sb="7" eb="9">
      <t>コウモク</t>
    </rPh>
    <phoneticPr fontId="3"/>
  </si>
  <si>
    <t>１ 重症皮膚潰瘍管理指導</t>
    <phoneticPr fontId="3"/>
  </si>
  <si>
    <t>２ 薬剤管理指導</t>
    <phoneticPr fontId="3"/>
  </si>
  <si>
    <t>介護保健施設サービス</t>
  </si>
  <si>
    <t>７　介護保健施設（Ⅲ）</t>
  </si>
  <si>
    <t>療養体制維持特別加算Ⅰ</t>
    <rPh sb="0" eb="2">
      <t>リョウヨウ</t>
    </rPh>
    <rPh sb="2" eb="4">
      <t>タイセイ</t>
    </rPh>
    <rPh sb="4" eb="6">
      <t>イジ</t>
    </rPh>
    <rPh sb="6" eb="8">
      <t>トクベツ</t>
    </rPh>
    <rPh sb="8" eb="10">
      <t>カサン</t>
    </rPh>
    <phoneticPr fontId="3"/>
  </si>
  <si>
    <t>８　ユニット型介護保健施設（Ⅲ）</t>
  </si>
  <si>
    <t>療養体制維持特別加算Ⅱ</t>
    <rPh sb="0" eb="10">
      <t>リョウヨウタイセイイジトクベツカサン</t>
    </rPh>
    <phoneticPr fontId="3"/>
  </si>
  <si>
    <t>ﾘﾊﾋﾞﾘﾃｰｼｮﾝ提供体制</t>
  </si>
  <si>
    <t>１ ﾘﾊﾋﾞﾘﾃｰｼｮﾝ指導管理</t>
    <rPh sb="12" eb="14">
      <t>シドウ</t>
    </rPh>
    <rPh sb="14" eb="16">
      <t>カンリ</t>
    </rPh>
    <phoneticPr fontId="3"/>
  </si>
  <si>
    <t>２ 言語聴覚療法</t>
    <rPh sb="2" eb="4">
      <t>ゲンゴ</t>
    </rPh>
    <rPh sb="4" eb="6">
      <t>チョウカク</t>
    </rPh>
    <rPh sb="6" eb="8">
      <t>リョウホウ</t>
    </rPh>
    <phoneticPr fontId="3"/>
  </si>
  <si>
    <t>３ 精神科作業療法</t>
    <rPh sb="2" eb="5">
      <t>セイシンカ</t>
    </rPh>
    <rPh sb="5" eb="7">
      <t>サギョウ</t>
    </rPh>
    <rPh sb="7" eb="9">
      <t>リョウホウ</t>
    </rPh>
    <phoneticPr fontId="3"/>
  </si>
  <si>
    <t>４ その他</t>
    <rPh sb="4" eb="5">
      <t>タ</t>
    </rPh>
    <phoneticPr fontId="3"/>
  </si>
  <si>
    <t>９　介護保健施設（Ⅳ）</t>
  </si>
  <si>
    <t>Ａ　ユニット型介護保健施設（Ⅳ）</t>
  </si>
  <si>
    <t>２ 加算Ⅱ</t>
    <phoneticPr fontId="3"/>
  </si>
  <si>
    <t>高齢者施設等感染対策向上加算Ⅰ</t>
    <phoneticPr fontId="3"/>
  </si>
  <si>
    <t>高齢者施設等感染対策向上加算Ⅱ</t>
    <phoneticPr fontId="3"/>
  </si>
  <si>
    <t>職員の欠員による減算の状況</t>
    <phoneticPr fontId="3"/>
  </si>
  <si>
    <t>７ 言語聴覚士</t>
    <rPh sb="2" eb="4">
      <t>ゲンゴ</t>
    </rPh>
    <rPh sb="4" eb="7">
      <t>チョウカクシ</t>
    </rPh>
    <phoneticPr fontId="3"/>
  </si>
  <si>
    <t>感染症又は災害の発生を理由とする利用者数の減少が一定以上生じている場合の対応</t>
    <phoneticPr fontId="3"/>
  </si>
  <si>
    <t>４　通常規模の事業所(病院・診療所)</t>
  </si>
  <si>
    <t>７　通常規模の事業所(介護老人保健施設)</t>
  </si>
  <si>
    <t>ﾘﾊﾋﾞﾘﾃｰｼｮﾝ提供体制加算</t>
    <rPh sb="10" eb="12">
      <t>テイキョウ</t>
    </rPh>
    <rPh sb="12" eb="14">
      <t>タイセイ</t>
    </rPh>
    <rPh sb="14" eb="16">
      <t>カサン</t>
    </rPh>
    <phoneticPr fontId="3"/>
  </si>
  <si>
    <t>Ａ　通常規模の事業所(介護医療院)</t>
  </si>
  <si>
    <t>入浴介助加算</t>
    <phoneticPr fontId="3"/>
  </si>
  <si>
    <t>ﾘﾊﾋﾞﾘﾃｰｼｮﾝマネジメント加算</t>
    <rPh sb="16" eb="18">
      <t>カサン</t>
    </rPh>
    <phoneticPr fontId="5"/>
  </si>
  <si>
    <t>８ 加算ハ</t>
    <rPh sb="2" eb="4">
      <t>カサン</t>
    </rPh>
    <phoneticPr fontId="3"/>
  </si>
  <si>
    <t>ﾘﾊﾋﾞﾘﾃｰｼｮﾝマネジメント加算に係る医師による説明</t>
    <phoneticPr fontId="3"/>
  </si>
  <si>
    <t>Ｇ　大規模の事業所(特例)(病院・診療所)</t>
    <rPh sb="10" eb="12">
      <t>トクレイ</t>
    </rPh>
    <phoneticPr fontId="3"/>
  </si>
  <si>
    <t>Ｈ　大規模の事業所(特例)(介護老人保健施設)</t>
    <phoneticPr fontId="3"/>
  </si>
  <si>
    <t>生活行為向上ﾘﾊﾋﾞﾘﾃｰｼｮﾝ実施加算</t>
    <rPh sb="0" eb="2">
      <t>セイカツ</t>
    </rPh>
    <rPh sb="2" eb="4">
      <t>コウイ</t>
    </rPh>
    <rPh sb="4" eb="6">
      <t>コウジョウ</t>
    </rPh>
    <rPh sb="16" eb="18">
      <t>ジッシ</t>
    </rPh>
    <rPh sb="19" eb="20">
      <t>カサン</t>
    </rPh>
    <phoneticPr fontId="3"/>
  </si>
  <si>
    <t>Ｊ　大規模の事業所(特例)(介護医療院)</t>
    <phoneticPr fontId="3"/>
  </si>
  <si>
    <t>若年性認知症利用者受入加算</t>
    <rPh sb="6" eb="9">
      <t>リヨウシャ</t>
    </rPh>
    <rPh sb="9" eb="11">
      <t>ウケイレ</t>
    </rPh>
    <rPh sb="11" eb="13">
      <t>カサン</t>
    </rPh>
    <phoneticPr fontId="3"/>
  </si>
  <si>
    <t>栄養アセスメント・栄養改善体制</t>
    <phoneticPr fontId="3"/>
  </si>
  <si>
    <t>口腔機能向上加算</t>
    <rPh sb="6" eb="8">
      <t>カサン</t>
    </rPh>
    <phoneticPr fontId="3"/>
  </si>
  <si>
    <t>中重度者ケア体制加算</t>
    <phoneticPr fontId="3"/>
  </si>
  <si>
    <t>移行支援加算</t>
    <rPh sb="0" eb="2">
      <t>イコウ</t>
    </rPh>
    <rPh sb="4" eb="6">
      <t>カサン</t>
    </rPh>
    <phoneticPr fontId="5"/>
  </si>
  <si>
    <t>５ 加算Ⅰ</t>
    <phoneticPr fontId="3"/>
  </si>
  <si>
    <t>４ 加算Ⅱ</t>
    <phoneticPr fontId="3"/>
  </si>
  <si>
    <t>６ 加算Ⅲ</t>
    <phoneticPr fontId="3"/>
  </si>
  <si>
    <t>介護予防通所</t>
  </si>
  <si>
    <t>１　病院又は診療所</t>
  </si>
  <si>
    <t>生活行為向上ﾘﾊﾋﾞﾘﾃｰｼｮﾝ実施加算</t>
    <rPh sb="0" eb="2">
      <t>セイカツ</t>
    </rPh>
    <rPh sb="2" eb="4">
      <t>コウイ</t>
    </rPh>
    <rPh sb="4" eb="6">
      <t>コウジョウ</t>
    </rPh>
    <rPh sb="16" eb="18">
      <t>ジッシ</t>
    </rPh>
    <rPh sb="18" eb="20">
      <t>カサン</t>
    </rPh>
    <phoneticPr fontId="3"/>
  </si>
  <si>
    <t>リハビリテーション</t>
  </si>
  <si>
    <t>２　介護老人保健施設</t>
  </si>
  <si>
    <t>若年性認知症利用者受入加算</t>
    <rPh sb="0" eb="3">
      <t>ジャクネンセイ</t>
    </rPh>
    <rPh sb="3" eb="6">
      <t>ニンチショウ</t>
    </rPh>
    <rPh sb="6" eb="9">
      <t>リヨウシャ</t>
    </rPh>
    <rPh sb="9" eb="11">
      <t>ウケイレ</t>
    </rPh>
    <rPh sb="11" eb="13">
      <t>カサン</t>
    </rPh>
    <phoneticPr fontId="3"/>
  </si>
  <si>
    <t>３　介護医療院</t>
  </si>
  <si>
    <t>一体的サービス提供加算</t>
    <rPh sb="0" eb="2">
      <t>イッタイ</t>
    </rPh>
    <rPh sb="9" eb="11">
      <t>カサン</t>
    </rPh>
    <phoneticPr fontId="3"/>
  </si>
  <si>
    <t>短期入所療養介護</t>
    <phoneticPr fontId="3"/>
  </si>
  <si>
    <t>１　介護老人保健施設（Ⅰ）</t>
  </si>
  <si>
    <t>２　ユニット型介護老人保健施設（Ⅰ）</t>
  </si>
  <si>
    <t>送迎体制</t>
  </si>
  <si>
    <t>口腔連携強化加算</t>
    <rPh sb="0" eb="2">
      <t>コウクウ</t>
    </rPh>
    <rPh sb="2" eb="4">
      <t>レンケイ</t>
    </rPh>
    <rPh sb="4" eb="6">
      <t>キョウカ</t>
    </rPh>
    <rPh sb="6" eb="8">
      <t>カサン</t>
    </rPh>
    <phoneticPr fontId="3"/>
  </si>
  <si>
    <t>認知症専門ケア加算</t>
    <phoneticPr fontId="3"/>
  </si>
  <si>
    <t>ﾘﾊﾋﾞﾘﾃｰｼｮﾝ提供体制</t>
    <rPh sb="10" eb="12">
      <t>テイキョウ</t>
    </rPh>
    <rPh sb="12" eb="14">
      <t>タイセイ</t>
    </rPh>
    <phoneticPr fontId="3"/>
  </si>
  <si>
    <t>１ 言語聴覚療法</t>
    <rPh sb="2" eb="4">
      <t>ゲンゴ</t>
    </rPh>
    <rPh sb="4" eb="6">
      <t>チョウカク</t>
    </rPh>
    <rPh sb="6" eb="8">
      <t>リョウホウ</t>
    </rPh>
    <phoneticPr fontId="3"/>
  </si>
  <si>
    <t>２ 精神科作業療法</t>
    <rPh sb="2" eb="5">
      <t>セイシンカ</t>
    </rPh>
    <rPh sb="5" eb="7">
      <t>サギョウ</t>
    </rPh>
    <rPh sb="7" eb="9">
      <t>リョウホウ</t>
    </rPh>
    <phoneticPr fontId="3"/>
  </si>
  <si>
    <t>３ その他</t>
    <rPh sb="4" eb="5">
      <t>タ</t>
    </rPh>
    <phoneticPr fontId="3"/>
  </si>
  <si>
    <t>５　介護老人保健施設（Ⅱ）</t>
  </si>
  <si>
    <t>６　ユニット型介護老人保健施設（Ⅱ）</t>
  </si>
  <si>
    <t>７　介護老人保健施設（Ⅲ）</t>
  </si>
  <si>
    <t>８　ユニット型介護老人保健施設（Ⅲ）</t>
  </si>
  <si>
    <t>特別療養費加算項目</t>
    <rPh sb="0" eb="2">
      <t>トクベツ</t>
    </rPh>
    <rPh sb="2" eb="4">
      <t>リョウヨウ</t>
    </rPh>
    <rPh sb="4" eb="5">
      <t>ヒ</t>
    </rPh>
    <rPh sb="5" eb="7">
      <t>カサン</t>
    </rPh>
    <rPh sb="7" eb="9">
      <t>コウモク</t>
    </rPh>
    <phoneticPr fontId="3"/>
  </si>
  <si>
    <t>療養体制維持特別加算Ⅱ</t>
    <rPh sb="0" eb="2">
      <t>リョウヨウ</t>
    </rPh>
    <rPh sb="2" eb="4">
      <t>タイセイ</t>
    </rPh>
    <rPh sb="4" eb="6">
      <t>イジ</t>
    </rPh>
    <rPh sb="6" eb="8">
      <t>トクベツ</t>
    </rPh>
    <rPh sb="8" eb="10">
      <t>カサン</t>
    </rPh>
    <phoneticPr fontId="3"/>
  </si>
  <si>
    <t>療養体制維持特別加算Ⅰ</t>
    <rPh sb="0" eb="10">
      <t>リョウヨウタイセイイジトクベツカサン</t>
    </rPh>
    <phoneticPr fontId="3"/>
  </si>
  <si>
    <t>９　介護老人保健施設（Ⅳ）</t>
  </si>
  <si>
    <t>Ａ　ユニット型介護老人保健施設（Ⅳ）</t>
  </si>
  <si>
    <t>介護予防短期入所療養介護</t>
    <phoneticPr fontId="3"/>
  </si>
  <si>
    <t>特別地域加算</t>
    <rPh sb="0" eb="2">
      <t>トクベツ</t>
    </rPh>
    <rPh sb="2" eb="4">
      <t>チイキ</t>
    </rPh>
    <rPh sb="4" eb="6">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</si>
  <si>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</si>
  <si>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１　非該当</t>
    <phoneticPr fontId="3"/>
  </si>
  <si>
    <t>２　該当</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</si>
  <si>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</si>
  <si>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１　病院又は診療所</t>
    <phoneticPr fontId="3"/>
  </si>
  <si>
    <t>訪問リハビリテーション</t>
  </si>
  <si>
    <t>サービス提供体制強化加算</t>
    <rPh sb="4" eb="6">
      <t>テイキョウ</t>
    </rPh>
    <rPh sb="6" eb="8">
      <t>タイセイ</t>
    </rPh>
    <rPh sb="8" eb="10">
      <t>キョウカ</t>
    </rPh>
    <rPh sb="10" eb="12">
      <t>カサン</t>
    </rPh>
    <phoneticPr fontId="5"/>
  </si>
  <si>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</si>
  <si>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</si>
  <si>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</si>
  <si>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（別紙29）</t>
    <phoneticPr fontId="3"/>
  </si>
  <si>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3"/>
  </si>
  <si>
    <t>1　介護老人保健施設（在宅強化型）</t>
    <rPh sb="2" eb="4">
      <t>カイゴ</t>
    </rPh>
    <rPh sb="4" eb="6">
      <t>ロウジン</t>
    </rPh>
    <rPh sb="6" eb="8">
      <t>ホケン</t>
    </rPh>
    <rPh sb="8" eb="10">
      <t>シセツ</t>
    </rPh>
    <rPh sb="11" eb="13">
      <t>ザイタク</t>
    </rPh>
    <rPh sb="13" eb="15">
      <t>キョウカ</t>
    </rPh>
    <rPh sb="15" eb="16">
      <t>ガタ</t>
    </rPh>
    <phoneticPr fontId="3"/>
  </si>
  <si>
    <t>2　介護老人保健施設（基本型）</t>
    <rPh sb="2" eb="4">
      <t>カイゴ</t>
    </rPh>
    <rPh sb="4" eb="6">
      <t>ロウジン</t>
    </rPh>
    <rPh sb="6" eb="8">
      <t>ホケン</t>
    </rPh>
    <rPh sb="8" eb="10">
      <t>シセツ</t>
    </rPh>
    <rPh sb="11" eb="13">
      <t>キホン</t>
    </rPh>
    <rPh sb="13" eb="14">
      <t>ガタ</t>
    </rPh>
    <phoneticPr fontId="3"/>
  </si>
  <si>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3"/>
  </si>
  <si>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3"/>
  </si>
  <si>
    <t>　医師の詳細な指示の実施（注２８）</t>
    <phoneticPr fontId="3"/>
  </si>
  <si>
    <t>（別紙29－2）</t>
    <phoneticPr fontId="3"/>
  </si>
  <si>
    <t>１５％以上３５％未満</t>
    <rPh sb="3" eb="5">
      <t>イジョウ</t>
    </rPh>
    <phoneticPr fontId="3"/>
  </si>
  <si>
    <t>１５％未満</t>
    <phoneticPr fontId="3"/>
  </si>
  <si>
    <t>３以上かつ社会福祉士１以上</t>
    <rPh sb="1" eb="3">
      <t>イジョウ</t>
    </rPh>
    <rPh sb="5" eb="7">
      <t>シャカイ</t>
    </rPh>
    <rPh sb="7" eb="10">
      <t>フクシシ</t>
    </rPh>
    <rPh sb="11" eb="13">
      <t>イジョウ</t>
    </rPh>
    <phoneticPr fontId="3"/>
  </si>
  <si>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3"/>
  </si>
  <si>
    <t>（別紙29－3）</t>
    <phoneticPr fontId="3"/>
  </si>
  <si>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3"/>
  </si>
  <si>
    <t>1　介護老人保健施設（療養型）</t>
    <rPh sb="2" eb="4">
      <t>カイゴ</t>
    </rPh>
    <rPh sb="4" eb="6">
      <t>ロウジン</t>
    </rPh>
    <rPh sb="6" eb="8">
      <t>ホケン</t>
    </rPh>
    <rPh sb="8" eb="10">
      <t>シセツ</t>
    </rPh>
    <rPh sb="11" eb="14">
      <t>リョウヨウガタ</t>
    </rPh>
    <phoneticPr fontId="3"/>
  </si>
  <si>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3"/>
  </si>
  <si>
    <t>29(2)</t>
    <phoneticPr fontId="3"/>
  </si>
  <si>
    <t>29(3)</t>
    <phoneticPr fontId="3"/>
  </si>
  <si>
    <t>介護老人保健施設（基本型・在宅強化型）基本施設サービス費及び在宅復帰・在宅療養支援機能加算に係る届出　　　　　　（令和６年10月以降）</t>
    <rPh sb="46" eb="47">
      <t>カカ</t>
    </rPh>
    <rPh sb="57" eb="59">
      <t>レイワ</t>
    </rPh>
    <rPh sb="60" eb="61">
      <t>ネン</t>
    </rPh>
    <rPh sb="63" eb="66">
      <t>ガツイコウ</t>
    </rPh>
    <phoneticPr fontId="3"/>
  </si>
  <si>
    <t>介護老人保健施設（基本型・在宅強化型）基本施設サービス費及び在宅復帰・在宅療養支援機能加算に係る届出　　　　　　（令和6年9月まで）</t>
    <rPh sb="46" eb="47">
      <t>カカ</t>
    </rPh>
    <rPh sb="57" eb="59">
      <t>レイワ</t>
    </rPh>
    <rPh sb="60" eb="61">
      <t>ネン</t>
    </rPh>
    <rPh sb="62" eb="63">
      <t>ガツ</t>
    </rPh>
    <phoneticPr fontId="3"/>
  </si>
  <si>
    <t>高齢者虐待防止措置実施の有無</t>
    <rPh sb="0" eb="5">
      <t>コウレイシャギャクタイ</t>
    </rPh>
    <rPh sb="5" eb="9">
      <t>ボウシソチ</t>
    </rPh>
    <rPh sb="9" eb="11">
      <t>ジッシ</t>
    </rPh>
    <rPh sb="12" eb="14">
      <t>ウム</t>
    </rPh>
    <phoneticPr fontId="3"/>
  </si>
  <si>
    <t>業務継続計画策定の有無</t>
    <rPh sb="0" eb="6">
      <t>ギョウムケイゾクケイカク</t>
    </rPh>
    <rPh sb="6" eb="8">
      <t>サクテイ</t>
    </rPh>
    <rPh sb="9" eb="11">
      <t>ウム</t>
    </rPh>
    <phoneticPr fontId="3"/>
  </si>
  <si>
    <t>（別紙２）</t>
    <rPh sb="1" eb="3">
      <t>ベッシ</t>
    </rPh>
    <phoneticPr fontId="3"/>
  </si>
  <si>
    <t>知事</t>
    <rPh sb="0" eb="2">
      <t>チジ</t>
    </rPh>
    <phoneticPr fontId="3"/>
  </si>
  <si>
    <t>殿</t>
    <rPh sb="0" eb="1">
      <t>ドノ</t>
    </rPh>
    <phoneticPr fontId="3"/>
  </si>
  <si>
    <t>所在地</t>
    <phoneticPr fontId="3"/>
  </si>
  <si>
    <t>事業所所在地市町村番号</t>
    <phoneticPr fontId="3"/>
  </si>
  <si>
    <t>主たる事務所の所在地</t>
    <phoneticPr fontId="3"/>
  </si>
  <si>
    <t>　　　　　</t>
    <phoneticPr fontId="3"/>
  </si>
  <si>
    <t>県</t>
    <rPh sb="0" eb="1">
      <t>ケン</t>
    </rPh>
    <phoneticPr fontId="3"/>
  </si>
  <si>
    <t>群市</t>
    <rPh sb="0" eb="1">
      <t>グン</t>
    </rPh>
    <rPh sb="1" eb="2">
      <t>シ</t>
    </rPh>
    <phoneticPr fontId="3"/>
  </si>
  <si>
    <t>法人の種別</t>
    <phoneticPr fontId="3"/>
  </si>
  <si>
    <t>事業所・施設の状況</t>
  </si>
  <si>
    <t>事業所・施設の名称</t>
    <phoneticPr fontId="3"/>
  </si>
  <si>
    <t>主たる事業所・施設の所在地</t>
    <phoneticPr fontId="3"/>
  </si>
  <si>
    <t>主たる事業所の所在地以外の場所で一部実施する場合の出張所等の所在地</t>
    <phoneticPr fontId="3"/>
  </si>
  <si>
    <t>届出を行う事業所・施設の種類</t>
  </si>
  <si>
    <t>指定居宅サービス</t>
  </si>
  <si>
    <t>1新規</t>
  </si>
  <si>
    <t>通所ﾘﾊﾋﾞﾘﾃｰｼｮﾝ</t>
    <phoneticPr fontId="3"/>
  </si>
  <si>
    <t>施設</t>
  </si>
  <si>
    <t>介護老人福祉施設</t>
  </si>
  <si>
    <t>備考1　「受付番号」「事業所所在市町村番号」欄には記載しないでください。</t>
    <phoneticPr fontId="3"/>
  </si>
  <si>
    <t>　　2　「法人の種別」欄は、申請者が法人である場合に、「社会福祉法人」「医療法人」「社団法人」「財団法人」</t>
    <phoneticPr fontId="3"/>
  </si>
  <si>
    <t>　　　「株式会社」「有限会社」等の別を記入してください。</t>
    <phoneticPr fontId="3"/>
  </si>
  <si>
    <t>　　5　「異動等の区分」欄には、今回届出を行う事業所・施設について該当する数字の横の□を■にしてください。</t>
    <rPh sb="40" eb="41">
      <t>ヨコ</t>
    </rPh>
    <phoneticPr fontId="3"/>
  </si>
  <si>
    <t>　　6　「異動項目」欄には、(別紙1，1－2)「介護給付費算定に係る体制等状況一覧表」に掲げる項目（施設等の区分、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</si>
  <si>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</si>
  <si>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</si>
  <si>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「主たる事業所の所在地以外の場所で一部実施する場合の出張所等の所在地」について、複数の出張所等を有する場合は、</t>
    <phoneticPr fontId="3"/>
  </si>
  <si>
    <t>認知症短期集中リハビリテーション実施加算</t>
    <rPh sb="0" eb="3">
      <t>ニンチショウ</t>
    </rPh>
    <rPh sb="3" eb="7">
      <t>タンキシュウチュウ</t>
    </rPh>
    <rPh sb="16" eb="20">
      <t>ジッシカサン</t>
    </rPh>
    <phoneticPr fontId="3"/>
  </si>
  <si>
    <t>付表第一号（十一）　短期入所療養介護・介護予防短期入所療養介護事業所の指定等に係る記載事項</t>
    <rPh sb="37" eb="38">
      <t>トウ</t>
    </rPh>
    <phoneticPr fontId="3"/>
  </si>
  <si>
    <t>事　業　所</t>
    <phoneticPr fontId="3"/>
  </si>
  <si>
    <t>法人番号</t>
    <phoneticPr fontId="3"/>
  </si>
  <si>
    <t>名    称</t>
  </si>
  <si>
    <t>（郵便番号             　　　　　　　　　　　　　　　　　　　　　　　　　　　　　　　　　　　　　　　　　　　　　　　　　　　　　　　　　　　　　　　　　　　　　</t>
    <phoneticPr fontId="3"/>
  </si>
  <si>
    <t xml:space="preserve"> ）</t>
  </si>
  <si>
    <t xml:space="preserve"> </t>
    <phoneticPr fontId="3"/>
  </si>
  <si>
    <t>都</t>
    <rPh sb="0" eb="1">
      <t>ト</t>
    </rPh>
    <phoneticPr fontId="3"/>
  </si>
  <si>
    <t>道</t>
    <rPh sb="0" eb="1">
      <t>ミチ</t>
    </rPh>
    <phoneticPr fontId="3"/>
  </si>
  <si>
    <t>市</t>
    <rPh sb="0" eb="1">
      <t>シ</t>
    </rPh>
    <phoneticPr fontId="3"/>
  </si>
  <si>
    <t>区</t>
    <rPh sb="0" eb="1">
      <t>ク</t>
    </rPh>
    <phoneticPr fontId="3"/>
  </si>
  <si>
    <t>府</t>
    <rPh sb="0" eb="1">
      <t>フ</t>
    </rPh>
    <phoneticPr fontId="3"/>
  </si>
  <si>
    <t>町</t>
    <rPh sb="0" eb="1">
      <t>マチ</t>
    </rPh>
    <phoneticPr fontId="3"/>
  </si>
  <si>
    <t>村</t>
    <rPh sb="0" eb="1">
      <t>ムラ</t>
    </rPh>
    <phoneticPr fontId="3"/>
  </si>
  <si>
    <t>連絡先</t>
    <phoneticPr fontId="3"/>
  </si>
  <si>
    <t>（内線）</t>
    <rPh sb="1" eb="3">
      <t>ナイセン</t>
    </rPh>
    <phoneticPr fontId="3"/>
  </si>
  <si>
    <t>FAX 番号</t>
  </si>
  <si>
    <t>Email</t>
    <phoneticPr fontId="3"/>
  </si>
  <si>
    <t>事業所種別
（該当に○を記入）</t>
    <phoneticPr fontId="3"/>
  </si>
  <si>
    <t>①介護老人保健施設</t>
  </si>
  <si>
    <t>②療養病床を有する病院・診療所</t>
    <phoneticPr fontId="3"/>
  </si>
  <si>
    <t>③②に該当しない診療所</t>
    <phoneticPr fontId="3"/>
  </si>
  <si>
    <t>④介護医療院</t>
    <rPh sb="1" eb="3">
      <t>カイゴ</t>
    </rPh>
    <rPh sb="3" eb="6">
      <t>イリョウイン</t>
    </rPh>
    <phoneticPr fontId="3"/>
  </si>
  <si>
    <t>管理者</t>
    <phoneticPr fontId="3"/>
  </si>
  <si>
    <t>住所</t>
  </si>
  <si>
    <t xml:space="preserve">（郵便番号    　   　        </t>
    <phoneticPr fontId="3"/>
  </si>
  <si>
    <t xml:space="preserve"> －</t>
  </si>
  <si>
    <t>）</t>
  </si>
  <si>
    <t>氏  　  名</t>
    <phoneticPr fontId="3"/>
  </si>
  <si>
    <t>生年月日</t>
  </si>
  <si>
    <t>病棟名</t>
    <rPh sb="0" eb="2">
      <t>ビョウトウ</t>
    </rPh>
    <rPh sb="2" eb="3">
      <t>メイ</t>
    </rPh>
    <phoneticPr fontId="3"/>
  </si>
  <si>
    <t>サービス提供単位１（事業所種別③に該当の場合記入）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3"/>
  </si>
  <si>
    <t>介護形式（いずれか一方を選択）</t>
    <rPh sb="0" eb="2">
      <t>カイゴ</t>
    </rPh>
    <rPh sb="2" eb="4">
      <t>ケイシキ</t>
    </rPh>
    <rPh sb="9" eb="11">
      <t>イッホウ</t>
    </rPh>
    <phoneticPr fontId="3"/>
  </si>
  <si>
    <t>従来型</t>
  </si>
  <si>
    <t>ユニット型</t>
    <phoneticPr fontId="3"/>
  </si>
  <si>
    <t>申請を行う部分の入院患者又は入所者の定員</t>
    <phoneticPr fontId="3"/>
  </si>
  <si>
    <t>○人員に関する基準の確認に必要な事項</t>
    <rPh sb="1" eb="18">
      <t>ジ</t>
    </rPh>
    <phoneticPr fontId="3"/>
  </si>
  <si>
    <t>指定申請を行う病棟部分又は診療所の従業者の職種・員数</t>
    <rPh sb="11" eb="12">
      <t>マタ</t>
    </rPh>
    <rPh sb="13" eb="16">
      <t>シンリョウジョ</t>
    </rPh>
    <phoneticPr fontId="3"/>
  </si>
  <si>
    <t>担当医師</t>
    <phoneticPr fontId="3"/>
  </si>
  <si>
    <t>看護職員</t>
  </si>
  <si>
    <t>介護職員</t>
  </si>
  <si>
    <t>専従</t>
  </si>
  <si>
    <t>兼務</t>
  </si>
  <si>
    <t>常   勤（人）</t>
    <phoneticPr fontId="3"/>
  </si>
  <si>
    <t>非常勤（人）</t>
  </si>
  <si>
    <t>常勤換算後の人数（人）</t>
  </si>
  <si>
    <t>○設備に関する基準の確認に必要な事項</t>
    <rPh sb="1" eb="18">
      <t>セ</t>
    </rPh>
    <phoneticPr fontId="3"/>
  </si>
  <si>
    <t>指定申請を行う病棟（病室）部分の設備基準上の数値記載項目</t>
    <rPh sb="10" eb="12">
      <t>ビョウシツ</t>
    </rPh>
    <phoneticPr fontId="3"/>
  </si>
  <si>
    <t>事業所種別③に該当時</t>
    <phoneticPr fontId="3"/>
  </si>
  <si>
    <t>入院患者１人あたり床面積</t>
  </si>
  <si>
    <t>廊下</t>
  </si>
  <si>
    <t>サービス提供単位２（事業所種別③に該当の場合記入）</t>
    <rPh sb="4" eb="6">
      <t>テイキョウ</t>
    </rPh>
    <rPh sb="6" eb="8">
      <t>タンイ</t>
    </rPh>
    <rPh sb="10" eb="13">
      <t>ジギョウショ</t>
    </rPh>
    <rPh sb="13" eb="15">
      <t>シュベツ</t>
    </rPh>
    <rPh sb="17" eb="19">
      <t>ガイトウ</t>
    </rPh>
    <rPh sb="20" eb="22">
      <t>バアイ</t>
    </rPh>
    <rPh sb="22" eb="24">
      <t>キニュウ</t>
    </rPh>
    <phoneticPr fontId="3"/>
  </si>
  <si>
    <t>介護形式（いずれか一方を選択）</t>
    <rPh sb="0" eb="2">
      <t>カイゴ</t>
    </rPh>
    <rPh sb="2" eb="4">
      <t>ケイシキ</t>
    </rPh>
    <rPh sb="9" eb="11">
      <t>イッポウ</t>
    </rPh>
    <phoneticPr fontId="3"/>
  </si>
  <si>
    <t>別添のとおり</t>
    <phoneticPr fontId="3"/>
  </si>
  <si>
    <t xml:space="preserve">１
２
３
</t>
    <phoneticPr fontId="3"/>
  </si>
  <si>
    <t>　記入欄が不足する場合は、適宜欄を設けて記載するか又は別様に記載した書類を添付してください。                       
　「申請を行う部分の入院患者又は入所者の定員」欄は、当該施設等のうち、短期入所療養介護に供する部分の定員について記載すること。                       
　病院、診療所、介護老人保健施設又は介護医療院が行うものについては、法第71条第１項及び第 72 条第１項の規定により指定があったものとみなされる場合は、本申請の必要はありません。</t>
    <rPh sb="100" eb="101">
      <t>トウ</t>
    </rPh>
    <rPh sb="158" eb="160">
      <t>ビョウイン</t>
    </rPh>
    <rPh sb="161" eb="164">
      <t>シンリョウジョ</t>
    </rPh>
    <rPh sb="173" eb="174">
      <t>マタ</t>
    </rPh>
    <rPh sb="175" eb="177">
      <t>カイゴ</t>
    </rPh>
    <rPh sb="177" eb="180">
      <t>イリョウイン</t>
    </rPh>
    <rPh sb="192" eb="193">
      <t>ダイ</t>
    </rPh>
    <rPh sb="195" eb="196">
      <t>ジョウ</t>
    </rPh>
    <rPh sb="196" eb="197">
      <t>ダイ</t>
    </rPh>
    <rPh sb="198" eb="199">
      <t>コウ</t>
    </rPh>
    <rPh sb="199" eb="200">
      <t>オヨ</t>
    </rPh>
    <rPh sb="230" eb="232">
      <t>バアイ</t>
    </rPh>
    <phoneticPr fontId="3"/>
  </si>
  <si>
    <t>老健34</t>
    <rPh sb="0" eb="2">
      <t>ロウケン</t>
    </rPh>
    <phoneticPr fontId="3"/>
  </si>
  <si>
    <t>老健35</t>
    <rPh sb="0" eb="2">
      <t>ロウケン</t>
    </rPh>
    <phoneticPr fontId="3"/>
  </si>
  <si>
    <t>老健36</t>
    <rPh sb="0" eb="2">
      <t>ロウケン</t>
    </rPh>
    <phoneticPr fontId="3"/>
  </si>
  <si>
    <t>（別紙38）</t>
    <rPh sb="1" eb="3">
      <t>ベッシ</t>
    </rPh>
    <phoneticPr fontId="3"/>
  </si>
  <si>
    <t>1　介護老人福祉施設</t>
    <rPh sb="2" eb="4">
      <t>カイゴ</t>
    </rPh>
    <rPh sb="4" eb="6">
      <t>ロウジン</t>
    </rPh>
    <rPh sb="6" eb="8">
      <t>フクシ</t>
    </rPh>
    <rPh sb="8" eb="10">
      <t>シセツ</t>
    </rPh>
    <phoneticPr fontId="3"/>
  </si>
  <si>
    <t>2　介護老人保健施設</t>
    <rPh sb="2" eb="4">
      <t>カイゴ</t>
    </rPh>
    <rPh sb="4" eb="6">
      <t>ロウジン</t>
    </rPh>
    <rPh sb="6" eb="8">
      <t>ホケン</t>
    </rPh>
    <rPh sb="8" eb="10">
      <t>シセツ</t>
    </rPh>
    <phoneticPr fontId="3"/>
  </si>
  <si>
    <t>3　地域密着型介護老人福祉施設</t>
    <rPh sb="2" eb="4">
      <t>チイキ</t>
    </rPh>
    <rPh sb="4" eb="7">
      <t>ミッチャクガタ</t>
    </rPh>
    <rPh sb="7" eb="9">
      <t>カイゴ</t>
    </rPh>
    <rPh sb="9" eb="11">
      <t>ロウジン</t>
    </rPh>
    <rPh sb="11" eb="13">
      <t>フクシ</t>
    </rPh>
    <rPh sb="13" eb="15">
      <t>シセツ</t>
    </rPh>
    <phoneticPr fontId="3"/>
  </si>
  <si>
    <t>4　介護医療院</t>
    <rPh sb="2" eb="4">
      <t>カイゴ</t>
    </rPh>
    <rPh sb="4" eb="6">
      <t>イリョウ</t>
    </rPh>
    <rPh sb="6" eb="7">
      <t>イン</t>
    </rPh>
    <phoneticPr fontId="3"/>
  </si>
  <si>
    <t>（別紙12-２）</t>
    <phoneticPr fontId="3"/>
  </si>
  <si>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3"/>
  </si>
  <si>
    <t>１（介護予防）短期入所生活介護　</t>
    <rPh sb="2" eb="4">
      <t>カイゴ</t>
    </rPh>
    <rPh sb="4" eb="6">
      <t>ヨボウ</t>
    </rPh>
    <phoneticPr fontId="3"/>
  </si>
  <si>
    <t>２（介護予防）短期入所療養介護</t>
    <phoneticPr fontId="3"/>
  </si>
  <si>
    <t>３（介護予防）特定施設入居者生活介護　</t>
    <rPh sb="2" eb="4">
      <t>カイゴ</t>
    </rPh>
    <rPh sb="4" eb="6">
      <t>ヨボウ</t>
    </rPh>
    <phoneticPr fontId="3"/>
  </si>
  <si>
    <t>４（介護予防）認知症対応型共同生活介護</t>
    <phoneticPr fontId="3"/>
  </si>
  <si>
    <t>５　地域密着型特定施設入居者生活介護　</t>
    <phoneticPr fontId="3"/>
  </si>
  <si>
    <t>６　地域密着型介護老人福祉施設入所者生活介護　</t>
    <phoneticPr fontId="3"/>
  </si>
  <si>
    <t>７　介護老人福祉施設</t>
    <phoneticPr fontId="3"/>
  </si>
  <si>
    <t>８　介護老人保健施設</t>
    <phoneticPr fontId="3"/>
  </si>
  <si>
    <t>９　介護医療院</t>
    <phoneticPr fontId="3"/>
  </si>
  <si>
    <t>12(2)</t>
    <phoneticPr fontId="3"/>
  </si>
  <si>
    <t>（別紙40）</t>
    <phoneticPr fontId="3"/>
  </si>
  <si>
    <t>認知症チームケア推進加算に係る届出書</t>
    <rPh sb="13" eb="14">
      <t>カカ</t>
    </rPh>
    <rPh sb="15" eb="18">
      <t>トドケデショ</t>
    </rPh>
    <phoneticPr fontId="3"/>
  </si>
  <si>
    <t>１（介護予防）認知症対応型共同生活介護</t>
    <phoneticPr fontId="3"/>
  </si>
  <si>
    <t>２　介護老人福祉施設</t>
    <phoneticPr fontId="3"/>
  </si>
  <si>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3"/>
  </si>
  <si>
    <t>４　介護老人保健施設</t>
    <phoneticPr fontId="3"/>
  </si>
  <si>
    <t>５　介護医療院</t>
    <phoneticPr fontId="3"/>
  </si>
  <si>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</si>
  <si>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</si>
  <si>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3"/>
  </si>
  <si>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3"/>
  </si>
  <si>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3"/>
  </si>
  <si>
    <t>注　届出日の属する月の前３月の各月末時点の利用者又は入所者の数</t>
    <rPh sb="24" eb="25">
      <t>マタ</t>
    </rPh>
    <rPh sb="26" eb="29">
      <t>ニュウショシャ</t>
    </rPh>
    <phoneticPr fontId="3"/>
  </si>
  <si>
    <t>の平均で算定。</t>
    <phoneticPr fontId="3"/>
  </si>
  <si>
    <t>認知症の行動・心理症状の予防等に資する認知症介護の指導に係る専門的な研修を修了</t>
    <phoneticPr fontId="3"/>
  </si>
  <si>
    <t>している者又は認知症介護に係る専門的な研修及び認知症の行動・心理症状の予防等に資する</t>
    <rPh sb="4" eb="5">
      <t>モノ</t>
    </rPh>
    <rPh sb="5" eb="6">
      <t>マタ</t>
    </rPh>
    <rPh sb="37" eb="38">
      <t>トウ</t>
    </rPh>
    <phoneticPr fontId="3"/>
  </si>
  <si>
    <t>ケアプログラムを含んだ研修を修了している者を必要数以上配置し、かつ、複数人の介護職員</t>
    <phoneticPr fontId="3"/>
  </si>
  <si>
    <t>からなる認知症の行動・心理症状に対応するチームを組んでいる</t>
    <phoneticPr fontId="3"/>
  </si>
  <si>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3"/>
  </si>
  <si>
    <t>専門的な研修を修了している者又は認知症介護に係る専門的な</t>
    <rPh sb="14" eb="15">
      <t>マタ</t>
    </rPh>
    <phoneticPr fontId="3"/>
  </si>
  <si>
    <t>研修及び認知症の行動・心理症状の予防に資するケアプログラムを</t>
    <phoneticPr fontId="3"/>
  </si>
  <si>
    <t>含んだ研修を修了している者の数</t>
    <phoneticPr fontId="3"/>
  </si>
  <si>
    <t>対象者に対し、個別に認知症の行動・心理症状の評価を計画的に行い、その評価に</t>
    <phoneticPr fontId="3"/>
  </si>
  <si>
    <t>基づく値を測定し、認知症の行動・心理症状の予防等に資するチームケアを実施している</t>
    <phoneticPr fontId="3"/>
  </si>
  <si>
    <t>(4）</t>
    <phoneticPr fontId="3"/>
  </si>
  <si>
    <t>認知症の行動・心理症状の予防等に資する認知症ケアについて、カンファレンスの開催、</t>
    <phoneticPr fontId="3"/>
  </si>
  <si>
    <t>計画の作成、認知症の行動・心理症状の有無及び程度についての定期的な評価、</t>
    <phoneticPr fontId="3"/>
  </si>
  <si>
    <t>ケアの振り返り、計画の見直し等を行っている</t>
    <phoneticPr fontId="3"/>
  </si>
  <si>
    <t>２．認知症チームケア推進加算（Ⅱ）に係る届出内容</t>
    <rPh sb="18" eb="19">
      <t>カカ</t>
    </rPh>
    <rPh sb="20" eb="21">
      <t>トド</t>
    </rPh>
    <rPh sb="21" eb="22">
      <t>デ</t>
    </rPh>
    <rPh sb="22" eb="24">
      <t>ナイヨウ</t>
    </rPh>
    <phoneticPr fontId="3"/>
  </si>
  <si>
    <t>認知症チームケア推進加算（Ⅰ）の（1）、（3）、（4）に該当している</t>
    <phoneticPr fontId="3"/>
  </si>
  <si>
    <t>※認知症チームケア推進加算（Ⅰ）に係る届出内容（1）、（3）、（4）も記入すること。</t>
    <rPh sb="17" eb="18">
      <t>カカ</t>
    </rPh>
    <rPh sb="19" eb="21">
      <t>トドケデ</t>
    </rPh>
    <rPh sb="21" eb="23">
      <t>ナイヨウ</t>
    </rPh>
    <rPh sb="35" eb="37">
      <t>キニュウ</t>
    </rPh>
    <phoneticPr fontId="3"/>
  </si>
  <si>
    <t>認知症の行動・心理症状の予防等に資する認知症介護に係る専門的な研修を修了している者</t>
    <phoneticPr fontId="3"/>
  </si>
  <si>
    <t>を必要数以上配置し、かつ、複数人の介護職員からなる認知症の行動・心理症状に対応する</t>
    <rPh sb="1" eb="4">
      <t>ヒツヨウスウ</t>
    </rPh>
    <rPh sb="4" eb="6">
      <t>イジョウ</t>
    </rPh>
    <rPh sb="6" eb="8">
      <t>ハイチ</t>
    </rPh>
    <rPh sb="37" eb="39">
      <t>タイオウ</t>
    </rPh>
    <phoneticPr fontId="3"/>
  </si>
  <si>
    <t>チームを組んでいる</t>
    <phoneticPr fontId="3"/>
  </si>
  <si>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3"/>
  </si>
  <si>
    <t>研修を修了している者の数</t>
    <phoneticPr fontId="3"/>
  </si>
  <si>
    <t>　要件を満たすことが分かる根拠書類を準備し、指定権者からの求めがあった場合には、速やかに提出</t>
    <phoneticPr fontId="3"/>
  </si>
  <si>
    <t>認知症チームケア推進加算に係る届出書</t>
    <phoneticPr fontId="3"/>
  </si>
  <si>
    <t>（別紙41）</t>
    <rPh sb="1" eb="3">
      <t>ベッシ</t>
    </rPh>
    <phoneticPr fontId="3"/>
  </si>
  <si>
    <t>褥瘡マネジメント加算に関する届出書</t>
    <rPh sb="0" eb="2">
      <t>ジョクソウ</t>
    </rPh>
    <rPh sb="8" eb="10">
      <t>カサン</t>
    </rPh>
    <rPh sb="11" eb="12">
      <t>カン</t>
    </rPh>
    <rPh sb="14" eb="17">
      <t>トドケデショ</t>
    </rPh>
    <phoneticPr fontId="3"/>
  </si>
  <si>
    <t>１　介護老人福祉施設</t>
    <phoneticPr fontId="3"/>
  </si>
  <si>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</si>
  <si>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３　介護老人保健施設</t>
    <phoneticPr fontId="3"/>
  </si>
  <si>
    <t>４　看護小規模多機能型居宅介護</t>
    <phoneticPr fontId="3"/>
  </si>
  <si>
    <t>（別紙35）</t>
    <phoneticPr fontId="3"/>
  </si>
  <si>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3"/>
  </si>
  <si>
    <t>1 （介護予防）特定施設入居者生活介護</t>
    <rPh sb="3" eb="5">
      <t>カイゴ</t>
    </rPh>
    <rPh sb="5" eb="7">
      <t>ヨボウ</t>
    </rPh>
    <phoneticPr fontId="3"/>
  </si>
  <si>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3"/>
  </si>
  <si>
    <t>3 （介護予防）認知症対応型共同生活介護</t>
    <rPh sb="3" eb="5">
      <t>カイゴ</t>
    </rPh>
    <rPh sb="5" eb="7">
      <t>ヨボウ</t>
    </rPh>
    <phoneticPr fontId="3"/>
  </si>
  <si>
    <t>4　介護老人福祉施設</t>
    <rPh sb="2" eb="4">
      <t>カイゴ</t>
    </rPh>
    <rPh sb="4" eb="6">
      <t>ロウジン</t>
    </rPh>
    <rPh sb="6" eb="8">
      <t>フクシ</t>
    </rPh>
    <rPh sb="8" eb="10">
      <t>シセツ</t>
    </rPh>
    <phoneticPr fontId="3"/>
  </si>
  <si>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3"/>
  </si>
  <si>
    <t>6　介護老人保健施設</t>
    <rPh sb="2" eb="4">
      <t>カイゴ</t>
    </rPh>
    <rPh sb="4" eb="6">
      <t>ロウジン</t>
    </rPh>
    <rPh sb="6" eb="8">
      <t>ホケン</t>
    </rPh>
    <rPh sb="8" eb="10">
      <t>シセツ</t>
    </rPh>
    <phoneticPr fontId="3"/>
  </si>
  <si>
    <t>7　介護医療院</t>
    <rPh sb="2" eb="4">
      <t>カイゴ</t>
    </rPh>
    <rPh sb="4" eb="6">
      <t>イリョウ</t>
    </rPh>
    <rPh sb="6" eb="7">
      <t>イン</t>
    </rPh>
    <phoneticPr fontId="3"/>
  </si>
  <si>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3"/>
  </si>
  <si>
    <t>2　高齢者施設等感染対策向上加算（Ⅱ）</t>
    <phoneticPr fontId="3"/>
  </si>
  <si>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3"/>
  </si>
  <si>
    <t>連携している第二種協定指定医療機関</t>
    <rPh sb="0" eb="2">
      <t>レンケイ</t>
    </rPh>
    <rPh sb="6" eb="17">
      <t>ダイニシュキョウテイシテイイリョウキカン</t>
    </rPh>
    <phoneticPr fontId="3"/>
  </si>
  <si>
    <t>医療機関名</t>
    <rPh sb="0" eb="2">
      <t>イリョウキカンメイ</t>
    </rPh>
    <phoneticPr fontId="3"/>
  </si>
  <si>
    <t>医療機関コード</t>
    <rPh sb="0" eb="2">
      <t>イリョウ</t>
    </rPh>
    <rPh sb="2" eb="4">
      <t>キカン</t>
    </rPh>
    <phoneticPr fontId="3"/>
  </si>
  <si>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3"/>
  </si>
  <si>
    <t>　　　　医療機関名（※１）</t>
    <rPh sb="4" eb="6">
      <t>イリョウキカンメイ</t>
    </rPh>
    <phoneticPr fontId="3"/>
  </si>
  <si>
    <t>医療機関が届け出ている診療報酬</t>
    <rPh sb="0" eb="2">
      <t>イリョウ</t>
    </rPh>
    <rPh sb="2" eb="4">
      <t>キカン</t>
    </rPh>
    <rPh sb="5" eb="6">
      <t>トド</t>
    </rPh>
    <rPh sb="7" eb="8">
      <t>デ</t>
    </rPh>
    <rPh sb="11" eb="13">
      <t>シンリョウ</t>
    </rPh>
    <rPh sb="13" eb="15">
      <t>ホウシュウ</t>
    </rPh>
    <phoneticPr fontId="3"/>
  </si>
  <si>
    <t>1 感染対策向上加算１</t>
    <rPh sb="2" eb="4">
      <t>カンセン</t>
    </rPh>
    <rPh sb="4" eb="6">
      <t>タイサク</t>
    </rPh>
    <rPh sb="6" eb="8">
      <t>コウジョウ</t>
    </rPh>
    <rPh sb="8" eb="10">
      <t>カサン</t>
    </rPh>
    <phoneticPr fontId="3"/>
  </si>
  <si>
    <t>2 感染対策向上加算２</t>
    <rPh sb="2" eb="4">
      <t>カンセン</t>
    </rPh>
    <rPh sb="4" eb="6">
      <t>タイサク</t>
    </rPh>
    <rPh sb="6" eb="8">
      <t>コウジョウ</t>
    </rPh>
    <rPh sb="8" eb="10">
      <t>カサン</t>
    </rPh>
    <phoneticPr fontId="3"/>
  </si>
  <si>
    <t>3 感染対策向上加算３</t>
    <rPh sb="2" eb="4">
      <t>カンセン</t>
    </rPh>
    <rPh sb="4" eb="6">
      <t>タイサク</t>
    </rPh>
    <rPh sb="6" eb="8">
      <t>コウジョウ</t>
    </rPh>
    <rPh sb="8" eb="10">
      <t>カサン</t>
    </rPh>
    <phoneticPr fontId="3"/>
  </si>
  <si>
    <t>4 外来感染対策向上加算</t>
    <rPh sb="2" eb="4">
      <t>ガイライ</t>
    </rPh>
    <rPh sb="4" eb="6">
      <t>カンセン</t>
    </rPh>
    <rPh sb="6" eb="8">
      <t>タイサク</t>
    </rPh>
    <rPh sb="8" eb="10">
      <t>コウジョウ</t>
    </rPh>
    <rPh sb="10" eb="12">
      <t>カサン</t>
    </rPh>
    <phoneticPr fontId="3"/>
  </si>
  <si>
    <t>地域の医師会の名称（※１）</t>
    <rPh sb="0" eb="2">
      <t>チイキ</t>
    </rPh>
    <rPh sb="3" eb="6">
      <t>イシカイ</t>
    </rPh>
    <rPh sb="7" eb="9">
      <t>メイショウ</t>
    </rPh>
    <phoneticPr fontId="3"/>
  </si>
  <si>
    <t>院内感染対策に関する研修又は訓練に参加した日時</t>
    <phoneticPr fontId="3"/>
  </si>
  <si>
    <t>6　高齢者施設等感染対策向上加算（Ⅱ）に係る届出</t>
    <rPh sb="20" eb="21">
      <t>カカ</t>
    </rPh>
    <rPh sb="22" eb="24">
      <t>トドケデ</t>
    </rPh>
    <phoneticPr fontId="3"/>
  </si>
  <si>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3"/>
  </si>
  <si>
    <t>実地指導を受けた日時</t>
    <rPh sb="0" eb="2">
      <t>ジッチ</t>
    </rPh>
    <rPh sb="2" eb="4">
      <t>シドウ</t>
    </rPh>
    <rPh sb="5" eb="6">
      <t>ウ</t>
    </rPh>
    <rPh sb="8" eb="10">
      <t>ニチジ</t>
    </rPh>
    <phoneticPr fontId="3"/>
  </si>
  <si>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3"/>
  </si>
  <si>
    <t>備考２</t>
    <phoneticPr fontId="3"/>
  </si>
  <si>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3"/>
  </si>
  <si>
    <t>備考３</t>
    <phoneticPr fontId="3"/>
  </si>
  <si>
    <t>高齢者施設等感染対策向上加算（Ⅰ）及び（Ⅱ）は併算定が可能である。</t>
    <rPh sb="17" eb="18">
      <t>オヨ</t>
    </rPh>
    <rPh sb="23" eb="24">
      <t>ヘイ</t>
    </rPh>
    <rPh sb="24" eb="26">
      <t>サンテイ</t>
    </rPh>
    <rPh sb="27" eb="29">
      <t>カノウ</t>
    </rPh>
    <phoneticPr fontId="3"/>
  </si>
  <si>
    <t>備考４</t>
    <phoneticPr fontId="3"/>
  </si>
  <si>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3"/>
  </si>
  <si>
    <t>（※１）</t>
    <phoneticPr fontId="3"/>
  </si>
  <si>
    <t>研修若しくは訓練を行った医療機関又は地域の医師会のいずれかを記載してください。</t>
    <rPh sb="2" eb="3">
      <t>モ</t>
    </rPh>
    <rPh sb="16" eb="17">
      <t>マタ</t>
    </rPh>
    <rPh sb="30" eb="32">
      <t>キサイ</t>
    </rPh>
    <phoneticPr fontId="3"/>
  </si>
  <si>
    <t>高齢者施設等感染対策向上加算に係る届出書</t>
    <phoneticPr fontId="3"/>
  </si>
  <si>
    <t>（別紙28）</t>
    <phoneticPr fontId="3"/>
  </si>
  <si>
    <t>生産性向上推進体制加算に係る届出書</t>
    <rPh sb="0" eb="3">
      <t>セイサンセイ</t>
    </rPh>
    <rPh sb="3" eb="11">
      <t>コウジョウスイシンタイセイカサン</t>
    </rPh>
    <rPh sb="9" eb="11">
      <t>カサン</t>
    </rPh>
    <rPh sb="12" eb="13">
      <t>カカ</t>
    </rPh>
    <rPh sb="14" eb="17">
      <t>トドケデショ</t>
    </rPh>
    <phoneticPr fontId="3"/>
  </si>
  <si>
    <t>事業所番号</t>
    <rPh sb="0" eb="3">
      <t>ジギョウショ</t>
    </rPh>
    <rPh sb="3" eb="5">
      <t>バンゴウ</t>
    </rPh>
    <phoneticPr fontId="3"/>
  </si>
  <si>
    <t>異動等区分</t>
  </si>
  <si>
    <t>施 設 種 別</t>
    <rPh sb="0" eb="1">
      <t>シ</t>
    </rPh>
    <rPh sb="2" eb="3">
      <t>セツ</t>
    </rPh>
    <rPh sb="4" eb="5">
      <t>タネ</t>
    </rPh>
    <rPh sb="6" eb="7">
      <t>ベツ</t>
    </rPh>
    <phoneticPr fontId="3"/>
  </si>
  <si>
    <t>１　短期入所生活介護</t>
    <rPh sb="2" eb="6">
      <t>タンキニュウショ</t>
    </rPh>
    <rPh sb="6" eb="8">
      <t>セイカツ</t>
    </rPh>
    <rPh sb="8" eb="10">
      <t>カイゴ</t>
    </rPh>
    <phoneticPr fontId="3"/>
  </si>
  <si>
    <t>２　短期入所療養介護</t>
    <rPh sb="2" eb="4">
      <t>タンキ</t>
    </rPh>
    <rPh sb="4" eb="6">
      <t>ニュウショ</t>
    </rPh>
    <rPh sb="6" eb="8">
      <t>リョウヨウ</t>
    </rPh>
    <rPh sb="8" eb="10">
      <t>カイゴ</t>
    </rPh>
    <phoneticPr fontId="3"/>
  </si>
  <si>
    <t>３　特定施設入居者生活介護</t>
    <phoneticPr fontId="3"/>
  </si>
  <si>
    <t>４　小規模多機能型居宅介護</t>
    <phoneticPr fontId="3"/>
  </si>
  <si>
    <t>５　認知症対応型共同生活介護</t>
    <phoneticPr fontId="3"/>
  </si>
  <si>
    <t>６　地域密着型特定施設入居者生活介護</t>
    <rPh sb="2" eb="7">
      <t>チイキミッチャクガタ</t>
    </rPh>
    <phoneticPr fontId="3"/>
  </si>
  <si>
    <t>７　地域密着型介護老人福祉施設</t>
    <phoneticPr fontId="3"/>
  </si>
  <si>
    <t>８　看護小規模多機能型居宅介護</t>
    <phoneticPr fontId="3"/>
  </si>
  <si>
    <t>９　介護老人福祉施設</t>
    <phoneticPr fontId="3"/>
  </si>
  <si>
    <t>10　介護老人保健施設</t>
    <rPh sb="3" eb="5">
      <t>カイゴ</t>
    </rPh>
    <rPh sb="5" eb="7">
      <t>ロウジン</t>
    </rPh>
    <rPh sb="7" eb="9">
      <t>ホケン</t>
    </rPh>
    <rPh sb="9" eb="11">
      <t>シセツ</t>
    </rPh>
    <phoneticPr fontId="3"/>
  </si>
  <si>
    <t>11　介護医療院</t>
    <rPh sb="3" eb="5">
      <t>カイゴ</t>
    </rPh>
    <rPh sb="5" eb="7">
      <t>イリョウ</t>
    </rPh>
    <rPh sb="7" eb="8">
      <t>イン</t>
    </rPh>
    <phoneticPr fontId="3"/>
  </si>
  <si>
    <t>12　介護予防短期入所生活介護</t>
    <rPh sb="3" eb="5">
      <t>カイゴ</t>
    </rPh>
    <rPh sb="5" eb="7">
      <t>ヨボウ</t>
    </rPh>
    <rPh sb="7" eb="15">
      <t>タンキニュウショセイカツカイゴ</t>
    </rPh>
    <phoneticPr fontId="3"/>
  </si>
  <si>
    <t>13　介護予防短期入所療養介護</t>
    <rPh sb="3" eb="5">
      <t>カイゴ</t>
    </rPh>
    <rPh sb="5" eb="7">
      <t>ヨボウ</t>
    </rPh>
    <rPh sb="7" eb="9">
      <t>タンキ</t>
    </rPh>
    <rPh sb="9" eb="11">
      <t>ニュウショ</t>
    </rPh>
    <rPh sb="11" eb="13">
      <t>リョウヨウ</t>
    </rPh>
    <rPh sb="13" eb="15">
      <t>カイゴ</t>
    </rPh>
    <phoneticPr fontId="3"/>
  </si>
  <si>
    <t>14　介護予防特定施設入居者生活介護</t>
    <phoneticPr fontId="3"/>
  </si>
  <si>
    <t>15　介護予防小規模多機能型居宅介護</t>
    <phoneticPr fontId="3"/>
  </si>
  <si>
    <t>16　介護予防認知症対応型共同生活介護</t>
    <phoneticPr fontId="3"/>
  </si>
  <si>
    <t>届出区分</t>
    <rPh sb="0" eb="2">
      <t>トドケデ</t>
    </rPh>
    <rPh sb="2" eb="4">
      <t>クブン</t>
    </rPh>
    <phoneticPr fontId="3"/>
  </si>
  <si>
    <t>１　生産性向上推進体制加算（Ⅰ）　２　生産性向上推進体制加算（Ⅱ）</t>
    <phoneticPr fontId="3"/>
  </si>
  <si>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3"/>
  </si>
  <si>
    <t>① 加算（Ⅱ）のデータ等により業務改善の取組による成果を確認</t>
    <phoneticPr fontId="3"/>
  </si>
  <si>
    <t>② 以下のⅰ～ⅲの項目の機器をすべて使用</t>
    <rPh sb="2" eb="4">
      <t>イカ</t>
    </rPh>
    <rPh sb="9" eb="11">
      <t>コウモク</t>
    </rPh>
    <rPh sb="12" eb="14">
      <t>キキ</t>
    </rPh>
    <rPh sb="18" eb="20">
      <t>シヨウ</t>
    </rPh>
    <phoneticPr fontId="3"/>
  </si>
  <si>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3"/>
  </si>
  <si>
    <t xml:space="preserve">　ⅱ 職員全員がインカム等のICTを使用 </t>
    <rPh sb="3" eb="5">
      <t>ショクイン</t>
    </rPh>
    <rPh sb="5" eb="7">
      <t>ゼンイン</t>
    </rPh>
    <rPh sb="12" eb="13">
      <t>トウ</t>
    </rPh>
    <rPh sb="18" eb="20">
      <t>シヨウ</t>
    </rPh>
    <phoneticPr fontId="3"/>
  </si>
  <si>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3"/>
  </si>
  <si>
    <t xml:space="preserve">  資するICTを使用 </t>
    <phoneticPr fontId="3"/>
  </si>
  <si>
    <t>（導入機器）</t>
    <rPh sb="1" eb="3">
      <t>ドウニュウ</t>
    </rPh>
    <rPh sb="3" eb="5">
      <t>キキ</t>
    </rPh>
    <phoneticPr fontId="3"/>
  </si>
  <si>
    <t>名　称</t>
    <rPh sb="0" eb="1">
      <t>ナ</t>
    </rPh>
    <rPh sb="2" eb="3">
      <t>ショウ</t>
    </rPh>
    <phoneticPr fontId="3"/>
  </si>
  <si>
    <t>製造事業者</t>
    <rPh sb="0" eb="2">
      <t>セイゾウ</t>
    </rPh>
    <rPh sb="2" eb="5">
      <t>ジギョウシャ</t>
    </rPh>
    <phoneticPr fontId="3"/>
  </si>
  <si>
    <t>用　途</t>
    <rPh sb="0" eb="1">
      <t>ヨウ</t>
    </rPh>
    <rPh sb="2" eb="3">
      <t>ト</t>
    </rPh>
    <phoneticPr fontId="3"/>
  </si>
  <si>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3"/>
  </si>
  <si>
    <t>④ 利用者の安全並びに介護サービスの質の確保及び職員の負担軽減に資する方策を検討するため</t>
    <phoneticPr fontId="3"/>
  </si>
  <si>
    <t>　 の委員会（以下「委員会」という。）において、以下のすべての項目について必要な検討を行い、</t>
    <phoneticPr fontId="3"/>
  </si>
  <si>
    <t>　 当該項目の実施を確認</t>
    <phoneticPr fontId="3"/>
  </si>
  <si>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</si>
  <si>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3"/>
  </si>
  <si>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3"/>
  </si>
  <si>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3"/>
  </si>
  <si>
    <t>　 員に対する教育の実施</t>
    <phoneticPr fontId="3"/>
  </si>
  <si>
    <t>生産性向上推進体制加算（Ⅱ）に係る届出</t>
    <rPh sb="0" eb="3">
      <t>セイサンセイ</t>
    </rPh>
    <rPh sb="3" eb="11">
      <t>コウジョウスイシンタイセイカサン</t>
    </rPh>
    <rPh sb="15" eb="16">
      <t>カカ</t>
    </rPh>
    <rPh sb="17" eb="19">
      <t>トドケデ</t>
    </rPh>
    <phoneticPr fontId="3"/>
  </si>
  <si>
    <t>① 以下のⅰ～ⅲの項目の機器のうち１つ以上を使用</t>
    <rPh sb="2" eb="4">
      <t>イカ</t>
    </rPh>
    <rPh sb="9" eb="11">
      <t>コウモク</t>
    </rPh>
    <rPh sb="12" eb="14">
      <t>キキ</t>
    </rPh>
    <rPh sb="19" eb="21">
      <t>イジョウ</t>
    </rPh>
    <rPh sb="22" eb="24">
      <t>シヨウ</t>
    </rPh>
    <phoneticPr fontId="3"/>
  </si>
  <si>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3"/>
  </si>
  <si>
    <t>　入所（利用）者数</t>
    <rPh sb="1" eb="3">
      <t>ニュウショ</t>
    </rPh>
    <rPh sb="4" eb="6">
      <t>リヨウ</t>
    </rPh>
    <rPh sb="7" eb="8">
      <t>シャ</t>
    </rPh>
    <rPh sb="8" eb="9">
      <t>スウ</t>
    </rPh>
    <phoneticPr fontId="3"/>
  </si>
  <si>
    <t>　見守り機器を導入して見守りを行っている対象者数</t>
    <phoneticPr fontId="3"/>
  </si>
  <si>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3"/>
  </si>
  <si>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3"/>
  </si>
  <si>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3"/>
  </si>
  <si>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3"/>
  </si>
  <si>
    <t>　　　指定権者からの求めがあった場合には、速やかに提出すること。</t>
    <phoneticPr fontId="3"/>
  </si>
  <si>
    <t>備考３　本加算を算定する場合は、事業年度毎に取組の実績をオンラインで厚生労働省に報告すること。</t>
    <rPh sb="0" eb="2">
      <t>ビコウ</t>
    </rPh>
    <phoneticPr fontId="3"/>
  </si>
  <si>
    <t>備考４　届出にあたっては、別途通知（「生産性向上推進体制加算に関する基本的考え方並びに事務処理手順及び様式例</t>
    <rPh sb="0" eb="2">
      <t>ビコウ</t>
    </rPh>
    <phoneticPr fontId="3"/>
  </si>
  <si>
    <t>　　　等の提示について」）を参照すること。</t>
    <phoneticPr fontId="3"/>
  </si>
  <si>
    <t>生産性向上推進体制加算に係る届出書</t>
    <phoneticPr fontId="3"/>
  </si>
  <si>
    <t>（別紙１4－４）</t>
    <phoneticPr fontId="3"/>
  </si>
  <si>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3"/>
  </si>
  <si>
    <t>1（介護予防）短期入所生活介護（</t>
    <rPh sb="2" eb="4">
      <t>カイゴ</t>
    </rPh>
    <rPh sb="4" eb="6">
      <t>ヨボウ</t>
    </rPh>
    <rPh sb="7" eb="9">
      <t>タンキ</t>
    </rPh>
    <rPh sb="9" eb="11">
      <t>ニュウショ</t>
    </rPh>
    <rPh sb="11" eb="13">
      <t>セイカツ</t>
    </rPh>
    <rPh sb="13" eb="15">
      <t>カイゴ</t>
    </rPh>
    <phoneticPr fontId="3"/>
  </si>
  <si>
    <t>ア 単独型</t>
    <rPh sb="2" eb="5">
      <t>タンドクガタ</t>
    </rPh>
    <phoneticPr fontId="3"/>
  </si>
  <si>
    <t>イ 併設型</t>
    <rPh sb="2" eb="4">
      <t>ヘイセツ</t>
    </rPh>
    <rPh sb="4" eb="5">
      <t>ガタ</t>
    </rPh>
    <phoneticPr fontId="3"/>
  </si>
  <si>
    <t>ウ 空床利用型）</t>
    <rPh sb="2" eb="4">
      <t>クウショウ</t>
    </rPh>
    <rPh sb="4" eb="6">
      <t>リヨウ</t>
    </rPh>
    <rPh sb="6" eb="7">
      <t>ガタ</t>
    </rPh>
    <phoneticPr fontId="3"/>
  </si>
  <si>
    <t>2（介護予防）短期入所療養介護</t>
    <rPh sb="2" eb="4">
      <t>カイゴ</t>
    </rPh>
    <rPh sb="4" eb="6">
      <t>ヨボウ</t>
    </rPh>
    <rPh sb="7" eb="9">
      <t>タンキ</t>
    </rPh>
    <rPh sb="9" eb="11">
      <t>ニュウショ</t>
    </rPh>
    <rPh sb="11" eb="13">
      <t>リョウヨウ</t>
    </rPh>
    <rPh sb="13" eb="15">
      <t>カイゴ</t>
    </rPh>
    <phoneticPr fontId="3"/>
  </si>
  <si>
    <t>3　介護老人福祉施設</t>
    <rPh sb="2" eb="4">
      <t>カイゴ</t>
    </rPh>
    <rPh sb="4" eb="6">
      <t>ロウジン</t>
    </rPh>
    <rPh sb="6" eb="8">
      <t>フクシ</t>
    </rPh>
    <rPh sb="8" eb="10">
      <t>シセツ</t>
    </rPh>
    <phoneticPr fontId="3"/>
  </si>
  <si>
    <t>4　地域密着型介護老人福祉施設</t>
    <rPh sb="2" eb="4">
      <t>チイキ</t>
    </rPh>
    <rPh sb="4" eb="7">
      <t>ミッチャクガタ</t>
    </rPh>
    <rPh sb="7" eb="9">
      <t>カイゴ</t>
    </rPh>
    <rPh sb="9" eb="11">
      <t>ロウジン</t>
    </rPh>
    <rPh sb="11" eb="13">
      <t>フクシ</t>
    </rPh>
    <rPh sb="13" eb="15">
      <t>シセツ</t>
    </rPh>
    <phoneticPr fontId="3"/>
  </si>
  <si>
    <t>5　介護老人保健施設</t>
    <rPh sb="2" eb="4">
      <t>カイゴ</t>
    </rPh>
    <rPh sb="4" eb="6">
      <t>ロウジン</t>
    </rPh>
    <rPh sb="6" eb="8">
      <t>ホケン</t>
    </rPh>
    <rPh sb="8" eb="10">
      <t>シセツ</t>
    </rPh>
    <phoneticPr fontId="3"/>
  </si>
  <si>
    <t>1 サービス提供体制強化加算（Ⅰ）</t>
    <rPh sb="6" eb="8">
      <t>テイキョウ</t>
    </rPh>
    <rPh sb="8" eb="10">
      <t>タイセイ</t>
    </rPh>
    <rPh sb="10" eb="12">
      <t>キョウカ</t>
    </rPh>
    <rPh sb="12" eb="14">
      <t>カサン</t>
    </rPh>
    <phoneticPr fontId="3"/>
  </si>
  <si>
    <t>2 サービス提供体制強化加算（Ⅱ）</t>
    <rPh sb="6" eb="8">
      <t>テイキョウ</t>
    </rPh>
    <rPh sb="8" eb="10">
      <t>タイセイ</t>
    </rPh>
    <rPh sb="10" eb="12">
      <t>キョウカ</t>
    </rPh>
    <rPh sb="12" eb="14">
      <t>カサン</t>
    </rPh>
    <phoneticPr fontId="3"/>
  </si>
  <si>
    <t>3 サービス提供体制強化加算（Ⅲ）</t>
    <rPh sb="6" eb="8">
      <t>テイキョウ</t>
    </rPh>
    <rPh sb="8" eb="10">
      <t>タイセイ</t>
    </rPh>
    <rPh sb="10" eb="12">
      <t>キョウカ</t>
    </rPh>
    <rPh sb="12" eb="14">
      <t>カサン</t>
    </rPh>
    <phoneticPr fontId="3"/>
  </si>
  <si>
    <r>
      <t>　※（地域密着型）介護老人福祉施設、介護老人保健施設、</t>
    </r>
    <r>
      <rPr>
        <sz val="8"/>
        <rFont val="HGSｺﾞｼｯｸM"/>
        <family val="3"/>
        <charset val="128"/>
      </rPr>
      <t>介護医療院は記載</t>
    </r>
    <rPh sb="33" eb="35">
      <t>キサイ</t>
    </rPh>
    <phoneticPr fontId="3"/>
  </si>
  <si>
    <t>要件を満たすことが分かる根拠書類を準備し、指定権者からの求めがあった場合には、速やかに提出すること。</t>
    <phoneticPr fontId="3"/>
  </si>
  <si>
    <r>
      <t>（別紙７－２</t>
    </r>
    <r>
      <rPr>
        <sz val="11"/>
        <rFont val="ＭＳ Ｐゴシック"/>
        <family val="3"/>
        <charset val="128"/>
      </rPr>
      <t>）</t>
    </r>
    <rPh sb="1" eb="3">
      <t>ベッシ</t>
    </rPh>
    <phoneticPr fontId="3"/>
  </si>
  <si>
    <t>有資格者等の割合の参考計算書</t>
    <rPh sb="0" eb="4">
      <t>ユウシカクシャ</t>
    </rPh>
    <rPh sb="4" eb="5">
      <t>トウ</t>
    </rPh>
    <rPh sb="6" eb="8">
      <t>ワリアイ</t>
    </rPh>
    <rPh sb="9" eb="11">
      <t>サンコウ</t>
    </rPh>
    <rPh sb="11" eb="14">
      <t>ケイサンショ</t>
    </rPh>
    <phoneticPr fontId="3"/>
  </si>
  <si>
    <t>サービス種類</t>
    <rPh sb="4" eb="6">
      <t>シュルイ</t>
    </rPh>
    <phoneticPr fontId="3"/>
  </si>
  <si>
    <t>１．割合を計算する職員</t>
    <rPh sb="2" eb="4">
      <t>ワリアイ</t>
    </rPh>
    <rPh sb="5" eb="7">
      <t>ケイサン</t>
    </rPh>
    <rPh sb="9" eb="11">
      <t>ショクイン</t>
    </rPh>
    <phoneticPr fontId="3"/>
  </si>
  <si>
    <t>介護福祉士</t>
    <rPh sb="0" eb="2">
      <t>カイゴ</t>
    </rPh>
    <rPh sb="2" eb="5">
      <t>フクシシ</t>
    </rPh>
    <phoneticPr fontId="3"/>
  </si>
  <si>
    <t>２．有資格者等の割合の算定期間</t>
    <rPh sb="2" eb="6">
      <t>ユウシカクシャ</t>
    </rPh>
    <rPh sb="6" eb="7">
      <t>トウ</t>
    </rPh>
    <rPh sb="8" eb="10">
      <t>ワリアイ</t>
    </rPh>
    <rPh sb="11" eb="13">
      <t>サンテイ</t>
    </rPh>
    <rPh sb="13" eb="15">
      <t>キカン</t>
    </rPh>
    <phoneticPr fontId="3"/>
  </si>
  <si>
    <t>実績月数　</t>
    <rPh sb="0" eb="2">
      <t>ジッセキ</t>
    </rPh>
    <rPh sb="2" eb="4">
      <t>ツキスウ</t>
    </rPh>
    <phoneticPr fontId="3"/>
  </si>
  <si>
    <t>３．常勤換算方法による計算</t>
    <rPh sb="2" eb="4">
      <t>ジョウキン</t>
    </rPh>
    <rPh sb="4" eb="6">
      <t>カンサン</t>
    </rPh>
    <rPh sb="6" eb="8">
      <t>ホウホウ</t>
    </rPh>
    <rPh sb="11" eb="13">
      <t>ケイサン</t>
    </rPh>
    <phoneticPr fontId="3"/>
  </si>
  <si>
    <t>前年度（３月を除く）</t>
    <rPh sb="0" eb="3">
      <t>ゼンネンド</t>
    </rPh>
    <rPh sb="5" eb="6">
      <t>ガツ</t>
    </rPh>
    <rPh sb="7" eb="8">
      <t>ノゾ</t>
    </rPh>
    <phoneticPr fontId="3"/>
  </si>
  <si>
    <t>常勤換算人数</t>
    <rPh sb="0" eb="2">
      <t>ジョウキン</t>
    </rPh>
    <rPh sb="2" eb="4">
      <t>カンサン</t>
    </rPh>
    <rPh sb="4" eb="6">
      <t>ニンズウ</t>
    </rPh>
    <phoneticPr fontId="3"/>
  </si>
  <si>
    <t>①常勤職員の
一月あたりの
勤務時間</t>
    <rPh sb="1" eb="3">
      <t>ジョウキン</t>
    </rPh>
    <rPh sb="3" eb="5">
      <t>ショクイン</t>
    </rPh>
    <rPh sb="7" eb="8">
      <t>ヒト</t>
    </rPh>
    <rPh sb="8" eb="9">
      <t>ツキ</t>
    </rPh>
    <rPh sb="14" eb="16">
      <t>キンム</t>
    </rPh>
    <rPh sb="16" eb="18">
      <t>ジカン</t>
    </rPh>
    <phoneticPr fontId="3"/>
  </si>
  <si>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3"/>
  </si>
  <si>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3"/>
  </si>
  <si>
    <t>④非常勤の職員の
勤務延時間数</t>
    <rPh sb="1" eb="4">
      <t>ヒジョウキン</t>
    </rPh>
    <rPh sb="5" eb="7">
      <t>ショクイン</t>
    </rPh>
    <rPh sb="9" eb="11">
      <t>キンム</t>
    </rPh>
    <rPh sb="11" eb="12">
      <t>ノ</t>
    </rPh>
    <rPh sb="12" eb="15">
      <t>ジカンスウ</t>
    </rPh>
    <phoneticPr fontId="3"/>
  </si>
  <si>
    <t>令和　　年</t>
    <rPh sb="0" eb="2">
      <t>レイワ</t>
    </rPh>
    <rPh sb="4" eb="5">
      <t>ネン</t>
    </rPh>
    <phoneticPr fontId="3"/>
  </si>
  <si>
    <t>分子</t>
    <rPh sb="0" eb="2">
      <t>ブンシ</t>
    </rPh>
    <phoneticPr fontId="3"/>
  </si>
  <si>
    <t>分母</t>
    <rPh sb="0" eb="2">
      <t>ブンボ</t>
    </rPh>
    <phoneticPr fontId="3"/>
  </si>
  <si>
    <t>4月</t>
    <rPh sb="1" eb="2">
      <t>ガツ</t>
    </rPh>
    <phoneticPr fontId="3"/>
  </si>
  <si>
    <t>割合を計算する職員</t>
    <rPh sb="0" eb="2">
      <t>ワリアイ</t>
    </rPh>
    <rPh sb="3" eb="5">
      <t>ケイサン</t>
    </rPh>
    <rPh sb="7" eb="9">
      <t>ショクイン</t>
    </rPh>
    <phoneticPr fontId="3"/>
  </si>
  <si>
    <t>勤続年数10年以上の介護福祉士</t>
    <rPh sb="0" eb="2">
      <t>キンゾク</t>
    </rPh>
    <rPh sb="2" eb="3">
      <t>ネン</t>
    </rPh>
    <rPh sb="3" eb="4">
      <t>スウ</t>
    </rPh>
    <rPh sb="6" eb="7">
      <t>ネン</t>
    </rPh>
    <rPh sb="7" eb="9">
      <t>イジョウ</t>
    </rPh>
    <rPh sb="10" eb="12">
      <t>カイゴ</t>
    </rPh>
    <rPh sb="12" eb="15">
      <t>フクシシ</t>
    </rPh>
    <phoneticPr fontId="3"/>
  </si>
  <si>
    <t>介護サービスを直接提供する職員</t>
    <rPh sb="0" eb="2">
      <t>カイゴ</t>
    </rPh>
    <rPh sb="7" eb="9">
      <t>チョクセツ</t>
    </rPh>
    <rPh sb="9" eb="11">
      <t>テイキョウ</t>
    </rPh>
    <rPh sb="13" eb="15">
      <t>ショクイン</t>
    </rPh>
    <phoneticPr fontId="3"/>
  </si>
  <si>
    <t>勤続年数７年以上の職員</t>
    <rPh sb="0" eb="2">
      <t>キンゾク</t>
    </rPh>
    <rPh sb="2" eb="4">
      <t>ネンスウ</t>
    </rPh>
    <rPh sb="5" eb="6">
      <t>ネン</t>
    </rPh>
    <rPh sb="6" eb="8">
      <t>イジョウ</t>
    </rPh>
    <rPh sb="9" eb="11">
      <t>ショクイン</t>
    </rPh>
    <phoneticPr fontId="3"/>
  </si>
  <si>
    <t>一月あたりの平均値</t>
    <rPh sb="0" eb="1">
      <t>ヒト</t>
    </rPh>
    <rPh sb="1" eb="2">
      <t>ツキ</t>
    </rPh>
    <rPh sb="6" eb="8">
      <t>ヘイキン</t>
    </rPh>
    <rPh sb="8" eb="9">
      <t>アタイ</t>
    </rPh>
    <phoneticPr fontId="3"/>
  </si>
  <si>
    <t>の割合</t>
    <rPh sb="1" eb="3">
      <t>ワリアイ</t>
    </rPh>
    <phoneticPr fontId="3"/>
  </si>
  <si>
    <t>届出日の属する月の前３月</t>
    <rPh sb="0" eb="2">
      <t>トドケデ</t>
    </rPh>
    <rPh sb="2" eb="3">
      <t>ヒ</t>
    </rPh>
    <rPh sb="4" eb="5">
      <t>ゾク</t>
    </rPh>
    <rPh sb="7" eb="8">
      <t>ツキ</t>
    </rPh>
    <rPh sb="9" eb="10">
      <t>マエ</t>
    </rPh>
    <rPh sb="11" eb="12">
      <t>ガツ</t>
    </rPh>
    <phoneticPr fontId="3"/>
  </si>
  <si>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3"/>
  </si>
  <si>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3"/>
  </si>
  <si>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3"/>
  </si>
  <si>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3"/>
  </si>
  <si>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3"/>
  </si>
  <si>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3"/>
  </si>
  <si>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3"/>
  </si>
  <si>
    <t>　実績月数を記入してください。</t>
    <rPh sb="1" eb="3">
      <t>ジッセキ</t>
    </rPh>
    <rPh sb="3" eb="5">
      <t>ツキスウ</t>
    </rPh>
    <rPh sb="6" eb="8">
      <t>キニュウ</t>
    </rPh>
    <phoneticPr fontId="3"/>
  </si>
  <si>
    <t>・「３．常勤換算方法による計算」</t>
    <rPh sb="4" eb="6">
      <t>ジョウキン</t>
    </rPh>
    <rPh sb="6" eb="8">
      <t>カンサン</t>
    </rPh>
    <rPh sb="8" eb="10">
      <t>ホウホウ</t>
    </rPh>
    <rPh sb="13" eb="15">
      <t>ケイサン</t>
    </rPh>
    <phoneticPr fontId="3"/>
  </si>
  <si>
    <t>　　常勤換算方法とは、非常勤の従業者について「事業所の従業者の勤務延時間数を当該事業所において常勤の従業者が勤務すべき時間数で</t>
    <phoneticPr fontId="3"/>
  </si>
  <si>
    <t>　除することにより、常勤の従業者の員数に換算する方法」であるため、常勤の従業者については常勤換算方法によらず、実人数で計算します。</t>
    <phoneticPr fontId="3"/>
  </si>
  <si>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3"/>
  </si>
  <si>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3"/>
  </si>
  <si>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3"/>
  </si>
  <si>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3"/>
  </si>
  <si>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3"/>
  </si>
  <si>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3"/>
  </si>
  <si>
    <t>　※「常勤・非常勤」の区分について</t>
    <rPh sb="3" eb="5">
      <t>ジョウキン</t>
    </rPh>
    <rPh sb="6" eb="9">
      <t>ヒジョウキン</t>
    </rPh>
    <rPh sb="11" eb="13">
      <t>クブン</t>
    </rPh>
    <phoneticPr fontId="3"/>
  </si>
  <si>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3"/>
  </si>
  <si>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3"/>
  </si>
  <si>
    <t>　　非正規雇用であっても、週40時間勤務する従業者は常勤扱いとなります。</t>
    <phoneticPr fontId="3"/>
  </si>
  <si>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3"/>
  </si>
  <si>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3"/>
  </si>
  <si>
    <t>　　この場合、「②常勤換算方法の対象外である常勤の職員数」の欄に１（人）として記入してください。</t>
    <rPh sb="4" eb="6">
      <t>バアイ</t>
    </rPh>
    <rPh sb="30" eb="31">
      <t>ラン</t>
    </rPh>
    <rPh sb="34" eb="35">
      <t>ニン</t>
    </rPh>
    <rPh sb="39" eb="41">
      <t>キニュウ</t>
    </rPh>
    <phoneticPr fontId="3"/>
  </si>
  <si>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3"/>
  </si>
  <si>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3"/>
  </si>
  <si>
    <t>　　　　（記載例1―勤務時間 ①8：30～17：00、②16：30～1：00、③0：30～9：00、④休日）</t>
    <phoneticPr fontId="3"/>
  </si>
  <si>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3"/>
  </si>
  <si>
    <t>（別紙22）</t>
    <phoneticPr fontId="3"/>
  </si>
  <si>
    <t>（別紙22－2）</t>
    <rPh sb="1" eb="3">
      <t>ベッシ</t>
    </rPh>
    <phoneticPr fontId="3"/>
  </si>
  <si>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3"/>
  </si>
  <si>
    <t>利用実人員数</t>
    <rPh sb="0" eb="2">
      <t>リヨウ</t>
    </rPh>
    <rPh sb="2" eb="3">
      <t>ジツ</t>
    </rPh>
    <rPh sb="3" eb="5">
      <t>ジンイン</t>
    </rPh>
    <rPh sb="5" eb="6">
      <t>スウ</t>
    </rPh>
    <phoneticPr fontId="3"/>
  </si>
  <si>
    <t>利用延人員数</t>
    <rPh sb="0" eb="2">
      <t>リヨウ</t>
    </rPh>
    <rPh sb="2" eb="5">
      <t>ノベジンイン</t>
    </rPh>
    <rPh sb="5" eb="6">
      <t>スウ</t>
    </rPh>
    <phoneticPr fontId="3"/>
  </si>
  <si>
    <t>２．算定期間</t>
    <rPh sb="2" eb="4">
      <t>サンテイ</t>
    </rPh>
    <rPh sb="4" eb="6">
      <t>キカン</t>
    </rPh>
    <phoneticPr fontId="3"/>
  </si>
  <si>
    <t>ア．前年度（３月を除く）の実績の平均</t>
    <rPh sb="2" eb="5">
      <t>ゼンネンド</t>
    </rPh>
    <rPh sb="7" eb="8">
      <t>ガツ</t>
    </rPh>
    <rPh sb="9" eb="10">
      <t>ノゾ</t>
    </rPh>
    <rPh sb="13" eb="15">
      <t>ジッセキ</t>
    </rPh>
    <rPh sb="16" eb="18">
      <t>ヘイキン</t>
    </rPh>
    <phoneticPr fontId="3"/>
  </si>
  <si>
    <t>イ．届出日の属する月の前３月</t>
    <rPh sb="2" eb="4">
      <t>トドケデ</t>
    </rPh>
    <rPh sb="4" eb="5">
      <t>ヒ</t>
    </rPh>
    <rPh sb="6" eb="7">
      <t>ゾク</t>
    </rPh>
    <rPh sb="9" eb="10">
      <t>ツキ</t>
    </rPh>
    <rPh sb="11" eb="12">
      <t>ゼン</t>
    </rPh>
    <rPh sb="13" eb="14">
      <t>ガツ</t>
    </rPh>
    <phoneticPr fontId="3"/>
  </si>
  <si>
    <t>利用者の総数
（要支援者は
含めない）</t>
    <rPh sb="0" eb="3">
      <t>リヨウシャ</t>
    </rPh>
    <rPh sb="4" eb="6">
      <t>ソウスウ</t>
    </rPh>
    <rPh sb="8" eb="11">
      <t>ヨウシエン</t>
    </rPh>
    <rPh sb="11" eb="12">
      <t>シャ</t>
    </rPh>
    <rPh sb="14" eb="15">
      <t>フク</t>
    </rPh>
    <phoneticPr fontId="3"/>
  </si>
  <si>
    <t>要介護３、要介護４
または要介護５の
利用者数</t>
    <rPh sb="0" eb="3">
      <t>ヨウカイゴ</t>
    </rPh>
    <rPh sb="5" eb="8">
      <t>ヨウカイゴ</t>
    </rPh>
    <rPh sb="13" eb="16">
      <t>ヨウカイゴ</t>
    </rPh>
    <rPh sb="19" eb="21">
      <t>リヨウ</t>
    </rPh>
    <rPh sb="21" eb="22">
      <t>シャ</t>
    </rPh>
    <rPh sb="22" eb="23">
      <t>スウ</t>
    </rPh>
    <phoneticPr fontId="3"/>
  </si>
  <si>
    <t>実績月数</t>
    <rPh sb="0" eb="2">
      <t>ジッセキ</t>
    </rPh>
    <rPh sb="2" eb="4">
      <t>ツキスウ</t>
    </rPh>
    <phoneticPr fontId="3"/>
  </si>
  <si>
    <t>割合</t>
    <rPh sb="0" eb="2">
      <t>ワリアイ</t>
    </rPh>
    <phoneticPr fontId="3"/>
  </si>
  <si>
    <t>１月あたりの
平均</t>
    <rPh sb="1" eb="2">
      <t>ツキ</t>
    </rPh>
    <rPh sb="7" eb="9">
      <t>ヘイキン</t>
    </rPh>
    <phoneticPr fontId="3"/>
  </si>
  <si>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3"/>
  </si>
  <si>
    <t>・「１．要介護３、要介護４または要介護５である者の割合の算出基準」で、</t>
    <phoneticPr fontId="3"/>
  </si>
  <si>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3"/>
  </si>
  <si>
    <t>・「２．算定期間」でアまたはイの算定期間を選択してください。</t>
    <rPh sb="4" eb="6">
      <t>サンテイ</t>
    </rPh>
    <rPh sb="6" eb="8">
      <t>キカン</t>
    </rPh>
    <rPh sb="16" eb="18">
      <t>サンテイ</t>
    </rPh>
    <rPh sb="18" eb="20">
      <t>キカン</t>
    </rPh>
    <rPh sb="21" eb="23">
      <t>センタク</t>
    </rPh>
    <phoneticPr fontId="3"/>
  </si>
  <si>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3"/>
  </si>
  <si>
    <t>　については、前年度の実績（ア）による届出はできません。</t>
    <rPh sb="7" eb="10">
      <t>ゼンネンド</t>
    </rPh>
    <rPh sb="11" eb="13">
      <t>ジッセキ</t>
    </rPh>
    <rPh sb="19" eb="21">
      <t>トドケデ</t>
    </rPh>
    <phoneticPr fontId="3"/>
  </si>
  <si>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3"/>
  </si>
  <si>
    <t>　（平成27年4月1日）」問31をご参照ください。</t>
    <rPh sb="13" eb="14">
      <t>トイ</t>
    </rPh>
    <rPh sb="18" eb="20">
      <t>サンショウ</t>
    </rPh>
    <phoneticPr fontId="3"/>
  </si>
  <si>
    <t>22（2）</t>
    <phoneticPr fontId="3"/>
  </si>
  <si>
    <t>（別紙24）</t>
    <phoneticPr fontId="3"/>
  </si>
  <si>
    <t>通所リハビリテーション事業所における移行支援加算に係る届出書</t>
    <rPh sb="18" eb="20">
      <t>イコウ</t>
    </rPh>
    <rPh sb="29" eb="30">
      <t>ショ</t>
    </rPh>
    <phoneticPr fontId="3"/>
  </si>
  <si>
    <t>1　移行支援加算</t>
    <phoneticPr fontId="3"/>
  </si>
  <si>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3"/>
  </si>
  <si>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3"/>
  </si>
  <si>
    <t>（別紙１4－３）</t>
    <phoneticPr fontId="3"/>
  </si>
  <si>
    <t>1　通所介護</t>
    <rPh sb="2" eb="4">
      <t>ツウショ</t>
    </rPh>
    <rPh sb="4" eb="6">
      <t>カイゴ</t>
    </rPh>
    <phoneticPr fontId="3"/>
  </si>
  <si>
    <t>2　（介護予防）通所リハビリテーション</t>
    <rPh sb="3" eb="5">
      <t>カイゴ</t>
    </rPh>
    <rPh sb="5" eb="7">
      <t>ヨボウ</t>
    </rPh>
    <rPh sb="8" eb="10">
      <t>ツウショ</t>
    </rPh>
    <phoneticPr fontId="3"/>
  </si>
  <si>
    <t>3　地域密着型通所介護</t>
    <rPh sb="2" eb="4">
      <t>チイキ</t>
    </rPh>
    <rPh sb="4" eb="7">
      <t>ミッチャクガタ</t>
    </rPh>
    <rPh sb="7" eb="9">
      <t>ツウショ</t>
    </rPh>
    <rPh sb="9" eb="11">
      <t>カイゴ</t>
    </rPh>
    <phoneticPr fontId="3"/>
  </si>
  <si>
    <t>3　（介護予防）認知症対応型通所介護</t>
    <rPh sb="3" eb="5">
      <t>カイゴ</t>
    </rPh>
    <rPh sb="5" eb="7">
      <t>ヨボウ</t>
    </rPh>
    <rPh sb="8" eb="11">
      <t>ニンチショウ</t>
    </rPh>
    <rPh sb="11" eb="14">
      <t>タイオウガタ</t>
    </rPh>
    <rPh sb="14" eb="16">
      <t>ツウショ</t>
    </rPh>
    <rPh sb="16" eb="18">
      <t>カイゴ</t>
    </rPh>
    <phoneticPr fontId="3"/>
  </si>
  <si>
    <t>（別紙11）</t>
    <rPh sb="1" eb="3">
      <t>ベッシ</t>
    </rPh>
    <phoneticPr fontId="3"/>
  </si>
  <si>
    <t>口腔連携強化加算に関する届出書</t>
    <rPh sb="0" eb="2">
      <t>コウクウ</t>
    </rPh>
    <rPh sb="2" eb="4">
      <t>レンケイ</t>
    </rPh>
    <rPh sb="4" eb="6">
      <t>キョウカ</t>
    </rPh>
    <rPh sb="6" eb="8">
      <t>カサン</t>
    </rPh>
    <rPh sb="9" eb="10">
      <t>カン</t>
    </rPh>
    <rPh sb="12" eb="15">
      <t>トドケデショ</t>
    </rPh>
    <phoneticPr fontId="3"/>
  </si>
  <si>
    <t>1　訪問介護事業所</t>
    <rPh sb="2" eb="4">
      <t>ホウモン</t>
    </rPh>
    <rPh sb="4" eb="6">
      <t>カイゴ</t>
    </rPh>
    <rPh sb="6" eb="9">
      <t>ジギョウショ</t>
    </rPh>
    <phoneticPr fontId="3"/>
  </si>
  <si>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3"/>
  </si>
  <si>
    <t>3　(介護予防）訪問リハビリテーション事業所</t>
    <rPh sb="3" eb="5">
      <t>カイゴ</t>
    </rPh>
    <rPh sb="5" eb="7">
      <t>ヨボウ</t>
    </rPh>
    <rPh sb="8" eb="10">
      <t>ホウモン</t>
    </rPh>
    <rPh sb="19" eb="22">
      <t>ジギョウショ</t>
    </rPh>
    <phoneticPr fontId="3"/>
  </si>
  <si>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3"/>
  </si>
  <si>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3"/>
  </si>
  <si>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3"/>
  </si>
  <si>
    <t>歯科医療機関との連携の状況</t>
    <rPh sb="0" eb="2">
      <t>シカ</t>
    </rPh>
    <rPh sb="2" eb="4">
      <t>イリョウ</t>
    </rPh>
    <rPh sb="4" eb="6">
      <t>キカン</t>
    </rPh>
    <rPh sb="8" eb="10">
      <t>レンケイ</t>
    </rPh>
    <rPh sb="11" eb="13">
      <t>ジョウキョウ</t>
    </rPh>
    <phoneticPr fontId="3"/>
  </si>
  <si>
    <t>１．連携歯科医療機関</t>
    <rPh sb="2" eb="4">
      <t>レンケイ</t>
    </rPh>
    <rPh sb="4" eb="6">
      <t>シカ</t>
    </rPh>
    <rPh sb="6" eb="8">
      <t>イリョウ</t>
    </rPh>
    <rPh sb="8" eb="10">
      <t>キカン</t>
    </rPh>
    <phoneticPr fontId="3"/>
  </si>
  <si>
    <t>歯科医療機関名</t>
    <rPh sb="0" eb="2">
      <t>シカ</t>
    </rPh>
    <rPh sb="2" eb="4">
      <t>イリョウ</t>
    </rPh>
    <rPh sb="4" eb="6">
      <t>キカン</t>
    </rPh>
    <rPh sb="6" eb="7">
      <t>メイ</t>
    </rPh>
    <phoneticPr fontId="3"/>
  </si>
  <si>
    <t>所在地</t>
    <rPh sb="0" eb="3">
      <t>ショザイチ</t>
    </rPh>
    <phoneticPr fontId="3"/>
  </si>
  <si>
    <t>歯科医師名</t>
    <rPh sb="0" eb="4">
      <t>シカイシ</t>
    </rPh>
    <rPh sb="4" eb="5">
      <t>メイ</t>
    </rPh>
    <phoneticPr fontId="3"/>
  </si>
  <si>
    <t>歯科訪問診療料の算定の実績</t>
    <phoneticPr fontId="3"/>
  </si>
  <si>
    <t xml:space="preserve">       　　年　　月　　日</t>
    <rPh sb="9" eb="10">
      <t>ネン</t>
    </rPh>
    <rPh sb="12" eb="13">
      <t>ガツ</t>
    </rPh>
    <rPh sb="15" eb="16">
      <t>ニチ</t>
    </rPh>
    <phoneticPr fontId="3"/>
  </si>
  <si>
    <t>連絡先電話番号</t>
    <rPh sb="0" eb="3">
      <t>レンラクサキ</t>
    </rPh>
    <rPh sb="3" eb="5">
      <t>デンワ</t>
    </rPh>
    <rPh sb="5" eb="7">
      <t>バンゴウ</t>
    </rPh>
    <phoneticPr fontId="3"/>
  </si>
  <si>
    <t>２．連携歯科医療機関</t>
    <rPh sb="2" eb="4">
      <t>レンケイ</t>
    </rPh>
    <rPh sb="4" eb="6">
      <t>シカ</t>
    </rPh>
    <rPh sb="6" eb="8">
      <t>イリョウ</t>
    </rPh>
    <rPh sb="8" eb="10">
      <t>キカン</t>
    </rPh>
    <phoneticPr fontId="3"/>
  </si>
  <si>
    <t>３．連携歯科医療機関</t>
    <rPh sb="2" eb="4">
      <t>レンケイ</t>
    </rPh>
    <rPh sb="4" eb="6">
      <t>シカ</t>
    </rPh>
    <rPh sb="6" eb="8">
      <t>イリョウ</t>
    </rPh>
    <rPh sb="8" eb="10">
      <t>キカン</t>
    </rPh>
    <phoneticPr fontId="3"/>
  </si>
  <si>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3"/>
  </si>
  <si>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3"/>
  </si>
  <si>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3"/>
  </si>
  <si>
    <t>口腔連携強化加算に関する届出書</t>
    <phoneticPr fontId="3"/>
  </si>
  <si>
    <t>口腔連携強化加算</t>
    <rPh sb="0" eb="4">
      <t>コウクウレンケイ</t>
    </rPh>
    <rPh sb="4" eb="8">
      <t>キョウカカサン</t>
    </rPh>
    <phoneticPr fontId="3"/>
  </si>
  <si>
    <t>介護事業者課
居宅グループ
０６－６９４４－７０９５</t>
    <phoneticPr fontId="3"/>
  </si>
  <si>
    <t>病院･診療所</t>
    <phoneticPr fontId="3"/>
  </si>
  <si>
    <t>(介護予防訪問ﾘﾊﾋﾞﾘﾃｰｼｮﾝ)</t>
  </si>
  <si>
    <t>介護老人保健施設、介護医療院(みなし事業所)</t>
    <phoneticPr fontId="3"/>
  </si>
  <si>
    <t>介護事業者課
居宅グループ
０６－６９４４－７０９５</t>
  </si>
  <si>
    <t>介護医療院</t>
  </si>
  <si>
    <t>認知症チームケア推進加算</t>
    <rPh sb="0" eb="3">
      <t>ニンチショウ</t>
    </rPh>
    <rPh sb="8" eb="10">
      <t>スイシン</t>
    </rPh>
    <rPh sb="10" eb="12">
      <t>カサン</t>
    </rPh>
    <phoneticPr fontId="3"/>
  </si>
  <si>
    <t>高齢者施設等感染対策向上加算Ⅰ</t>
    <rPh sb="0" eb="14">
      <t>コウレイシャシセツトウカンセンタイサクコウジョウカサン</t>
    </rPh>
    <phoneticPr fontId="3"/>
  </si>
  <si>
    <t>高齢者施設等感染対策向上加算Ⅱ</t>
    <rPh sb="0" eb="14">
      <t>コウレイシャシセツトウカンセンタイサクコウジョウカサン</t>
    </rPh>
    <phoneticPr fontId="3"/>
  </si>
  <si>
    <t>生産性向上推進体制加算</t>
    <rPh sb="0" eb="3">
      <t>セイサンセイ</t>
    </rPh>
    <rPh sb="3" eb="5">
      <t>コウジョウ</t>
    </rPh>
    <rPh sb="5" eb="11">
      <t>スイシンタイセイカサン</t>
    </rPh>
    <phoneticPr fontId="3"/>
  </si>
  <si>
    <t>老健37</t>
    <rPh sb="0" eb="2">
      <t>ロウケン</t>
    </rPh>
    <phoneticPr fontId="3"/>
  </si>
  <si>
    <t>老健38</t>
    <rPh sb="0" eb="2">
      <t>ロウケン</t>
    </rPh>
    <phoneticPr fontId="3"/>
  </si>
  <si>
    <t>老健39</t>
    <rPh sb="0" eb="2">
      <t>ロウケン</t>
    </rPh>
    <phoneticPr fontId="3"/>
  </si>
  <si>
    <t>老健40</t>
    <rPh sb="0" eb="2">
      <t>ロウケン</t>
    </rPh>
    <phoneticPr fontId="3"/>
  </si>
  <si>
    <t>７５０&lt;（ｂ）</t>
    <phoneticPr fontId="3"/>
  </si>
  <si>
    <r>
      <t>・・・</t>
    </r>
    <r>
      <rPr>
        <b/>
        <sz val="11"/>
        <rFont val="HGSｺﾞｼｯｸM"/>
        <family val="3"/>
        <charset val="128"/>
      </rPr>
      <t>大規模</t>
    </r>
    <rPh sb="3" eb="6">
      <t>ダイキボ</t>
    </rPh>
    <phoneticPr fontId="3"/>
  </si>
  <si>
    <t>●当該指定通所リハビリテーション事業所の利用者の数が十人以下の場合は、専ら当該指定通所リハビリテーションの提供に当たる理学療法士、作業療法士若しくは言語聴覚士が一以上確保されていること、又は、利用者の数が十人を超える場合は、専ら当該指定通所リハビリテーションの提供に当たる理学療法士、作業療法士若しくは言語聴覚士が、利用者の数を十で除した数以上確保されていること。</t>
    <phoneticPr fontId="3"/>
  </si>
  <si>
    <t>●指定通所リハビリテーション事業所における利用者の総数のうち、リハビリテーションマネジメント加算(指定居宅サービス介護給付費単位数表の通所リハビリテーション費の注10に係る加算をいう。)を算定した利用者の占める割合が百分の八十以上であること。</t>
    <phoneticPr fontId="3"/>
  </si>
  <si>
    <t>※大規模区分の事業所のうち、以下に当てはまる場合は「大規模（特例）」になります。</t>
    <rPh sb="1" eb="6">
      <t>ダイキボクブン</t>
    </rPh>
    <rPh sb="7" eb="10">
      <t>ジギョウショ</t>
    </rPh>
    <rPh sb="14" eb="16">
      <t>イカ</t>
    </rPh>
    <rPh sb="17" eb="18">
      <t>ア</t>
    </rPh>
    <rPh sb="22" eb="24">
      <t>バアイ</t>
    </rPh>
    <rPh sb="26" eb="29">
      <t>ダイキボ</t>
    </rPh>
    <rPh sb="30" eb="32">
      <t>トクレイ</t>
    </rPh>
    <phoneticPr fontId="3"/>
  </si>
  <si>
    <t>通リハ18</t>
    <rPh sb="0" eb="1">
      <t>ツウ</t>
    </rPh>
    <phoneticPr fontId="3"/>
  </si>
  <si>
    <t>通リハ19</t>
    <rPh sb="0" eb="1">
      <t>ツウ</t>
    </rPh>
    <phoneticPr fontId="3"/>
  </si>
  <si>
    <t>通リハ20</t>
    <rPh sb="0" eb="1">
      <t>ツウ</t>
    </rPh>
    <phoneticPr fontId="3"/>
  </si>
  <si>
    <t>一体的サービス提供加算</t>
    <rPh sb="0" eb="3">
      <t>イッタイテキ</t>
    </rPh>
    <rPh sb="7" eb="11">
      <t>テイキョウカサン</t>
    </rPh>
    <phoneticPr fontId="3"/>
  </si>
  <si>
    <t>短療19</t>
    <rPh sb="0" eb="1">
      <t>タン</t>
    </rPh>
    <rPh sb="1" eb="2">
      <t>イヤス</t>
    </rPh>
    <phoneticPr fontId="3"/>
  </si>
  <si>
    <t>短療20</t>
    <rPh sb="0" eb="1">
      <t>タン</t>
    </rPh>
    <rPh sb="1" eb="2">
      <t>イヤス</t>
    </rPh>
    <phoneticPr fontId="3"/>
  </si>
  <si>
    <t>短療21</t>
    <rPh sb="0" eb="1">
      <t>タン</t>
    </rPh>
    <rPh sb="1" eb="2">
      <t>イヤス</t>
    </rPh>
    <phoneticPr fontId="3"/>
  </si>
  <si>
    <t>短療22</t>
    <rPh sb="0" eb="1">
      <t>タン</t>
    </rPh>
    <rPh sb="1" eb="2">
      <t>イヤス</t>
    </rPh>
    <phoneticPr fontId="3"/>
  </si>
  <si>
    <t>予短療18</t>
    <rPh sb="0" eb="1">
      <t>ヨ</t>
    </rPh>
    <rPh sb="1" eb="2">
      <t>タン</t>
    </rPh>
    <rPh sb="2" eb="3">
      <t>イヤス</t>
    </rPh>
    <phoneticPr fontId="3"/>
  </si>
  <si>
    <t>予短療19</t>
    <rPh sb="0" eb="1">
      <t>ヨ</t>
    </rPh>
    <rPh sb="1" eb="2">
      <t>タン</t>
    </rPh>
    <rPh sb="2" eb="3">
      <t>イヤス</t>
    </rPh>
    <phoneticPr fontId="3"/>
  </si>
  <si>
    <t>予短療20</t>
    <rPh sb="0" eb="1">
      <t>ヨ</t>
    </rPh>
    <rPh sb="1" eb="2">
      <t>タン</t>
    </rPh>
    <rPh sb="2" eb="3">
      <t>イヤス</t>
    </rPh>
    <phoneticPr fontId="3"/>
  </si>
  <si>
    <t>予短療21</t>
    <rPh sb="0" eb="1">
      <t>ヨ</t>
    </rPh>
    <rPh sb="1" eb="2">
      <t>タン</t>
    </rPh>
    <rPh sb="2" eb="3">
      <t>イヤス</t>
    </rPh>
    <phoneticPr fontId="3"/>
  </si>
  <si>
    <t>【訪問リハビリテーション】</t>
    <rPh sb="1" eb="3">
      <t>ホウモン</t>
    </rPh>
    <phoneticPr fontId="3"/>
  </si>
  <si>
    <t>【介護予防訪問リハビリテーション】</t>
    <rPh sb="5" eb="7">
      <t>ホウモン</t>
    </rPh>
    <phoneticPr fontId="3"/>
  </si>
  <si>
    <t>訪リハ01</t>
    <rPh sb="0" eb="1">
      <t>ホウ</t>
    </rPh>
    <phoneticPr fontId="3"/>
  </si>
  <si>
    <t>訪リハ02</t>
    <rPh sb="0" eb="1">
      <t>ホウ</t>
    </rPh>
    <phoneticPr fontId="3"/>
  </si>
  <si>
    <t>特別地域加算</t>
    <rPh sb="0" eb="6">
      <t>トクベツチイキカサン</t>
    </rPh>
    <phoneticPr fontId="3"/>
  </si>
  <si>
    <t>中山間地域等における小規模事業所加算（規模に関する状況）</t>
    <phoneticPr fontId="3"/>
  </si>
  <si>
    <t>口腔連携強化加算</t>
    <rPh sb="0" eb="6">
      <t>コウクウレンケイキョウカ</t>
    </rPh>
    <rPh sb="6" eb="8">
      <t>カサン</t>
    </rPh>
    <phoneticPr fontId="3"/>
  </si>
  <si>
    <t>移行支援加算</t>
    <rPh sb="0" eb="6">
      <t>イコウシエンカサン</t>
    </rPh>
    <phoneticPr fontId="3"/>
  </si>
  <si>
    <t>訪リハ03</t>
    <rPh sb="0" eb="1">
      <t>ホウ</t>
    </rPh>
    <phoneticPr fontId="3"/>
  </si>
  <si>
    <t>訪リハ04</t>
    <rPh sb="0" eb="1">
      <t>ホウ</t>
    </rPh>
    <phoneticPr fontId="3"/>
  </si>
  <si>
    <t>訪リハ05</t>
    <rPh sb="0" eb="1">
      <t>ホウ</t>
    </rPh>
    <phoneticPr fontId="3"/>
  </si>
  <si>
    <t>訪リハ06</t>
    <rPh sb="0" eb="1">
      <t>ホウ</t>
    </rPh>
    <phoneticPr fontId="3"/>
  </si>
  <si>
    <t>訪リハ07</t>
    <rPh sb="0" eb="1">
      <t>ホウ</t>
    </rPh>
    <phoneticPr fontId="3"/>
  </si>
  <si>
    <t>訪リハ08</t>
    <rPh sb="0" eb="1">
      <t>ホウ</t>
    </rPh>
    <phoneticPr fontId="3"/>
  </si>
  <si>
    <t>訪リハ09</t>
    <rPh sb="0" eb="1">
      <t>ホウ</t>
    </rPh>
    <phoneticPr fontId="3"/>
  </si>
  <si>
    <t>訪リハ10</t>
    <rPh sb="0" eb="1">
      <t>ホウ</t>
    </rPh>
    <phoneticPr fontId="3"/>
  </si>
  <si>
    <t>予訪リ01</t>
    <rPh sb="0" eb="1">
      <t>ヨ</t>
    </rPh>
    <rPh sb="1" eb="2">
      <t>ホウ</t>
    </rPh>
    <phoneticPr fontId="3"/>
  </si>
  <si>
    <t>予訪リ02</t>
    <rPh sb="0" eb="1">
      <t>ヨ</t>
    </rPh>
    <rPh sb="1" eb="2">
      <t>ホウ</t>
    </rPh>
    <phoneticPr fontId="3"/>
  </si>
  <si>
    <t>予訪リ03</t>
    <rPh sb="0" eb="1">
      <t>ヨ</t>
    </rPh>
    <rPh sb="1" eb="2">
      <t>ホウ</t>
    </rPh>
    <phoneticPr fontId="3"/>
  </si>
  <si>
    <t>予訪リ04</t>
    <rPh sb="0" eb="1">
      <t>ヨ</t>
    </rPh>
    <rPh sb="1" eb="2">
      <t>ホウ</t>
    </rPh>
    <phoneticPr fontId="3"/>
  </si>
  <si>
    <t>予訪リ05</t>
    <rPh sb="0" eb="1">
      <t>ヨ</t>
    </rPh>
    <rPh sb="1" eb="2">
      <t>ホウ</t>
    </rPh>
    <phoneticPr fontId="3"/>
  </si>
  <si>
    <t>予訪リ06</t>
    <rPh sb="0" eb="1">
      <t>ヨ</t>
    </rPh>
    <rPh sb="1" eb="2">
      <t>ホウ</t>
    </rPh>
    <phoneticPr fontId="3"/>
  </si>
  <si>
    <t>予訪リ07</t>
    <rPh sb="0" eb="1">
      <t>ヨ</t>
    </rPh>
    <rPh sb="1" eb="2">
      <t>ホウ</t>
    </rPh>
    <phoneticPr fontId="3"/>
  </si>
  <si>
    <t>（別紙20）</t>
    <phoneticPr fontId="3"/>
  </si>
  <si>
    <t>訪問リハビリテーション事業所における移行支援加算に係る届出書</t>
    <rPh sb="18" eb="20">
      <t>イコウ</t>
    </rPh>
    <rPh sb="29" eb="30">
      <t>ショ</t>
    </rPh>
    <phoneticPr fontId="3"/>
  </si>
  <si>
    <t>評価対象期間の訪問リハビリテーション終了者数</t>
    <phoneticPr fontId="3"/>
  </si>
  <si>
    <t>①のうち、指定通所介護等を実施した者の数（注１）</t>
    <rPh sb="5" eb="7">
      <t>シテイ</t>
    </rPh>
    <rPh sb="7" eb="9">
      <t>ツウショ</t>
    </rPh>
    <rPh sb="9" eb="12">
      <t>カイゴナド</t>
    </rPh>
    <rPh sb="13" eb="15">
      <t>ジッシ</t>
    </rPh>
    <phoneticPr fontId="3"/>
  </si>
  <si>
    <t>５％超</t>
    <rPh sb="2" eb="3">
      <t>チョウ</t>
    </rPh>
    <phoneticPr fontId="3"/>
  </si>
  <si>
    <t>２５％以上</t>
    <rPh sb="3" eb="5">
      <t>イジョウ</t>
    </rPh>
    <phoneticPr fontId="3"/>
  </si>
  <si>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3"/>
  </si>
  <si>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3"/>
  </si>
  <si>
    <t>　※　各要件を満たす場合については、それぞれ根拠となる（要件を満たすことがわかる）書類も提出してく
　   ださい。</t>
    <phoneticPr fontId="3"/>
  </si>
  <si>
    <t>訪問リハビリテーション事業所における移行支援加算に係る届出書</t>
    <phoneticPr fontId="3"/>
  </si>
  <si>
    <t>（別紙１4－2）</t>
    <phoneticPr fontId="3"/>
  </si>
  <si>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3"/>
  </si>
  <si>
    <t>1　（介護予防）訪問看護</t>
    <rPh sb="3" eb="5">
      <t>カイゴ</t>
    </rPh>
    <rPh sb="5" eb="7">
      <t>ヨボウ</t>
    </rPh>
    <rPh sb="8" eb="10">
      <t>ホウモン</t>
    </rPh>
    <rPh sb="10" eb="12">
      <t>カンゴ</t>
    </rPh>
    <phoneticPr fontId="3"/>
  </si>
  <si>
    <t>2　（介護予防）訪問リハビリテーション</t>
    <rPh sb="3" eb="5">
      <t>カイゴ</t>
    </rPh>
    <rPh sb="5" eb="7">
      <t>ヨボウ</t>
    </rPh>
    <rPh sb="8" eb="10">
      <t>ホウモン</t>
    </rPh>
    <phoneticPr fontId="3"/>
  </si>
  <si>
    <t>3　療養通所介護</t>
    <rPh sb="2" eb="4">
      <t>リョウヨウ</t>
    </rPh>
    <rPh sb="4" eb="6">
      <t>ツウショ</t>
    </rPh>
    <rPh sb="6" eb="8">
      <t>カイゴ</t>
    </rPh>
    <phoneticPr fontId="3"/>
  </si>
  <si>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</si>
  <si>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</si>
  <si>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3"/>
  </si>
  <si>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3"/>
  </si>
  <si>
    <t>①　研修計画を作成し、当該計画に従い、研修（外部における研修を
　含む）を実施又は実施を予定していること。</t>
    <phoneticPr fontId="3"/>
  </si>
  <si>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3"/>
  </si>
  <si>
    <t>③　健康診断等を定期的に実施すること。</t>
    <rPh sb="2" eb="4">
      <t>ケンコウ</t>
    </rPh>
    <rPh sb="4" eb="6">
      <t>シンダン</t>
    </rPh>
    <rPh sb="6" eb="7">
      <t>トウ</t>
    </rPh>
    <rPh sb="8" eb="11">
      <t>テイキテキ</t>
    </rPh>
    <rPh sb="12" eb="14">
      <t>ジッシ</t>
    </rPh>
    <phoneticPr fontId="3"/>
  </si>
  <si>
    <t>6　勤続年数の状況</t>
    <rPh sb="2" eb="4">
      <t>キンゾク</t>
    </rPh>
    <rPh sb="4" eb="6">
      <t>ネンスウ</t>
    </rPh>
    <rPh sb="7" eb="9">
      <t>ジョウキョウ</t>
    </rPh>
    <phoneticPr fontId="3"/>
  </si>
  <si>
    <t>訪問看護</t>
    <rPh sb="0" eb="2">
      <t>ホウモン</t>
    </rPh>
    <rPh sb="2" eb="4">
      <t>カンゴ</t>
    </rPh>
    <phoneticPr fontId="3"/>
  </si>
  <si>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3"/>
  </si>
  <si>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</si>
  <si>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訪問リハ</t>
    <rPh sb="0" eb="2">
      <t>ホウモン</t>
    </rPh>
    <phoneticPr fontId="3"/>
  </si>
  <si>
    <t>①に占める②の者が１名以上</t>
    <rPh sb="2" eb="3">
      <t>シ</t>
    </rPh>
    <rPh sb="7" eb="8">
      <t>モノ</t>
    </rPh>
    <rPh sb="10" eb="11">
      <t>メイ</t>
    </rPh>
    <rPh sb="11" eb="13">
      <t>イジョウ</t>
    </rPh>
    <phoneticPr fontId="3"/>
  </si>
  <si>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3"/>
  </si>
  <si>
    <t>①のうち勤続年数７年以上の者の総数</t>
    <rPh sb="4" eb="6">
      <t>キンゾク</t>
    </rPh>
    <rPh sb="6" eb="8">
      <t>ネンスウ</t>
    </rPh>
    <rPh sb="9" eb="12">
      <t>ネンイジョウ</t>
    </rPh>
    <rPh sb="13" eb="14">
      <t>モノ</t>
    </rPh>
    <rPh sb="15" eb="17">
      <t>ソウスウ</t>
    </rPh>
    <phoneticPr fontId="3"/>
  </si>
  <si>
    <t>療養通所
介護</t>
    <rPh sb="0" eb="2">
      <t>リョウヨウ</t>
    </rPh>
    <rPh sb="2" eb="4">
      <t>ツウショ</t>
    </rPh>
    <rPh sb="5" eb="7">
      <t>カイゴ</t>
    </rPh>
    <phoneticPr fontId="3"/>
  </si>
  <si>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3"/>
  </si>
  <si>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3"/>
  </si>
  <si>
    <t>①のうち勤続年数３年以上の者の総数</t>
    <rPh sb="4" eb="6">
      <t>キンゾク</t>
    </rPh>
    <rPh sb="6" eb="8">
      <t>ネンスウ</t>
    </rPh>
    <rPh sb="9" eb="12">
      <t>ネンイジョウ</t>
    </rPh>
    <rPh sb="13" eb="14">
      <t>モノ</t>
    </rPh>
    <rPh sb="15" eb="17">
      <t>ソウスウ</t>
    </rPh>
    <phoneticPr fontId="3"/>
  </si>
  <si>
    <t xml:space="preserve">備考
</t>
    <rPh sb="0" eb="2">
      <t>ビコウ</t>
    </rPh>
    <phoneticPr fontId="3"/>
  </si>
  <si>
    <t>サービス提供体制強化加算に関する届出書</t>
    <phoneticPr fontId="3"/>
  </si>
  <si>
    <t>14(2)</t>
    <phoneticPr fontId="3"/>
  </si>
  <si>
    <t>14(3)</t>
    <phoneticPr fontId="3"/>
  </si>
  <si>
    <t>14(4)</t>
    <phoneticPr fontId="3"/>
  </si>
  <si>
    <t>◎勤務形態一覧は、通リハ職員分のみ、参考2「人員基準確認表」</t>
  </si>
  <si>
    <t>◎勤務形態一覧は、通リハ職員分のみ、参考3「人員基準確認表」</t>
  </si>
  <si>
    <t>（別紙２）</t>
    <phoneticPr fontId="3"/>
  </si>
  <si>
    <t>生産性向上推進体制加算（Ⅰ）の算定に関する取組の成果</t>
    <rPh sb="0" eb="3">
      <t>セイサンセイ</t>
    </rPh>
    <rPh sb="3" eb="11">
      <t>コウジョウスイシンタイセイカサン</t>
    </rPh>
    <rPh sb="9" eb="11">
      <t>カサン</t>
    </rPh>
    <rPh sb="15" eb="17">
      <t>サンテイ</t>
    </rPh>
    <rPh sb="18" eb="19">
      <t>カン</t>
    </rPh>
    <rPh sb="21" eb="23">
      <t>トリクミ</t>
    </rPh>
    <rPh sb="24" eb="26">
      <t>セイカ</t>
    </rPh>
    <phoneticPr fontId="3"/>
  </si>
  <si>
    <t>生産性向上推進体制加算（Ⅱ）の要件となる介護機器の導入時期</t>
    <rPh sb="0" eb="3">
      <t>セイサンセイ</t>
    </rPh>
    <rPh sb="3" eb="5">
      <t>コウジョウ</t>
    </rPh>
    <rPh sb="5" eb="7">
      <t>スイシン</t>
    </rPh>
    <rPh sb="7" eb="9">
      <t>タイセイ</t>
    </rPh>
    <rPh sb="9" eb="11">
      <t>カサン</t>
    </rPh>
    <rPh sb="15" eb="17">
      <t>ヨウケン</t>
    </rPh>
    <rPh sb="20" eb="22">
      <t>カイゴ</t>
    </rPh>
    <rPh sb="22" eb="24">
      <t>キキ</t>
    </rPh>
    <rPh sb="25" eb="27">
      <t>ドウニュウ</t>
    </rPh>
    <rPh sb="27" eb="29">
      <t>ジキ</t>
    </rPh>
    <phoneticPr fontId="3"/>
  </si>
  <si>
    <t>導入時期</t>
    <rPh sb="0" eb="2">
      <t>ドウニュウ</t>
    </rPh>
    <phoneticPr fontId="3"/>
  </si>
  <si>
    <t>令和　年　月</t>
    <rPh sb="0" eb="2">
      <t>レイワ</t>
    </rPh>
    <rPh sb="3" eb="4">
      <t>ネン</t>
    </rPh>
    <rPh sb="5" eb="6">
      <t>ツキ</t>
    </rPh>
    <phoneticPr fontId="3"/>
  </si>
  <si>
    <t>１　利用者の満足度等の変化</t>
    <rPh sb="9" eb="10">
      <t>ナド</t>
    </rPh>
    <phoneticPr fontId="3"/>
  </si>
  <si>
    <t>事前調査時期</t>
    <rPh sb="0" eb="2">
      <t>ジゼン</t>
    </rPh>
    <phoneticPr fontId="3"/>
  </si>
  <si>
    <t>令和　年　月</t>
    <phoneticPr fontId="3"/>
  </si>
  <si>
    <t>事後調査時期</t>
    <rPh sb="0" eb="2">
      <t>ジゴ</t>
    </rPh>
    <rPh sb="2" eb="4">
      <t>チョウサ</t>
    </rPh>
    <phoneticPr fontId="3"/>
  </si>
  <si>
    <t>　① －１　WHOー５（事前調査）　調査対象人数　人</t>
    <rPh sb="12" eb="14">
      <t>ジゼン</t>
    </rPh>
    <rPh sb="14" eb="16">
      <t>チョウサ</t>
    </rPh>
    <phoneticPr fontId="3"/>
  </si>
  <si>
    <t>点数区分</t>
    <rPh sb="0" eb="2">
      <t>テンスウ</t>
    </rPh>
    <rPh sb="2" eb="4">
      <t>クブン</t>
    </rPh>
    <phoneticPr fontId="3"/>
  </si>
  <si>
    <t>0点～6点</t>
    <rPh sb="1" eb="2">
      <t>テン</t>
    </rPh>
    <rPh sb="4" eb="5">
      <t>テン</t>
    </rPh>
    <phoneticPr fontId="3"/>
  </si>
  <si>
    <t>7点～13点</t>
    <rPh sb="1" eb="2">
      <t>テン</t>
    </rPh>
    <rPh sb="5" eb="6">
      <t>テン</t>
    </rPh>
    <phoneticPr fontId="3"/>
  </si>
  <si>
    <t>14点～19点</t>
    <rPh sb="2" eb="3">
      <t>テン</t>
    </rPh>
    <rPh sb="6" eb="7">
      <t>テン</t>
    </rPh>
    <phoneticPr fontId="3"/>
  </si>
  <si>
    <t>20点～25点</t>
    <rPh sb="2" eb="3">
      <t>テン</t>
    </rPh>
    <rPh sb="6" eb="7">
      <t>テン</t>
    </rPh>
    <phoneticPr fontId="3"/>
  </si>
  <si>
    <t>人数</t>
    <rPh sb="0" eb="2">
      <t>ニンズウ</t>
    </rPh>
    <phoneticPr fontId="3"/>
  </si>
  <si>
    <t>　① －２　WHOー５（事後調査）　調査対象人数　人</t>
    <rPh sb="12" eb="14">
      <t>ジゴ</t>
    </rPh>
    <rPh sb="14" eb="16">
      <t>チョウサ</t>
    </rPh>
    <phoneticPr fontId="3"/>
  </si>
  <si>
    <t>調査対象者に関して、数値が悪化していないことの確認</t>
    <rPh sb="0" eb="2">
      <t>チョウサ</t>
    </rPh>
    <rPh sb="2" eb="4">
      <t>タイショウ</t>
    </rPh>
    <rPh sb="4" eb="5">
      <t>シャ</t>
    </rPh>
    <rPh sb="6" eb="7">
      <t>カン</t>
    </rPh>
    <rPh sb="10" eb="12">
      <t>スウチ</t>
    </rPh>
    <rPh sb="13" eb="15">
      <t>アッカ</t>
    </rPh>
    <rPh sb="23" eb="25">
      <t>カクニン</t>
    </rPh>
    <phoneticPr fontId="3"/>
  </si>
  <si>
    <t>　②－１　生活・認知機能尺度（事前調査）　調査対象人数　人</t>
    <rPh sb="5" eb="7">
      <t>セイカツ</t>
    </rPh>
    <rPh sb="8" eb="10">
      <t>ニンチ</t>
    </rPh>
    <rPh sb="10" eb="12">
      <t>キノウ</t>
    </rPh>
    <rPh sb="12" eb="14">
      <t>シャクド</t>
    </rPh>
    <rPh sb="15" eb="17">
      <t>ジゼン</t>
    </rPh>
    <rPh sb="17" eb="19">
      <t>チョウサ</t>
    </rPh>
    <phoneticPr fontId="3"/>
  </si>
  <si>
    <t>7点～14点</t>
    <rPh sb="1" eb="2">
      <t>テン</t>
    </rPh>
    <rPh sb="5" eb="6">
      <t>テン</t>
    </rPh>
    <phoneticPr fontId="3"/>
  </si>
  <si>
    <t>15点～21点</t>
    <rPh sb="2" eb="3">
      <t>テン</t>
    </rPh>
    <rPh sb="6" eb="7">
      <t>テン</t>
    </rPh>
    <phoneticPr fontId="3"/>
  </si>
  <si>
    <t>22点～28点</t>
    <rPh sb="2" eb="3">
      <t>テン</t>
    </rPh>
    <rPh sb="6" eb="7">
      <t>テン</t>
    </rPh>
    <phoneticPr fontId="3"/>
  </si>
  <si>
    <t>29点～35点</t>
    <rPh sb="2" eb="3">
      <t>テン</t>
    </rPh>
    <rPh sb="6" eb="7">
      <t>テン</t>
    </rPh>
    <phoneticPr fontId="3"/>
  </si>
  <si>
    <t>　② －２　生活・認知機能尺度（事後調査）　調査対象人数　人</t>
    <rPh sb="6" eb="8">
      <t>セイカツ</t>
    </rPh>
    <rPh sb="9" eb="11">
      <t>ニンチ</t>
    </rPh>
    <rPh sb="11" eb="13">
      <t>キノウ</t>
    </rPh>
    <rPh sb="13" eb="15">
      <t>シャクド</t>
    </rPh>
    <rPh sb="16" eb="18">
      <t>ジゴ</t>
    </rPh>
    <rPh sb="18" eb="20">
      <t>チョウサ</t>
    </rPh>
    <phoneticPr fontId="3"/>
  </si>
  <si>
    <t>上記の調査データがなく、ヒアリング調査を実施した場合(備考参照)</t>
    <rPh sb="0" eb="2">
      <t>ジョウキ</t>
    </rPh>
    <rPh sb="3" eb="5">
      <t>チョウサ</t>
    </rPh>
    <rPh sb="17" eb="19">
      <t>チョウサ</t>
    </rPh>
    <rPh sb="20" eb="22">
      <t>ジッシ</t>
    </rPh>
    <rPh sb="24" eb="26">
      <t>バアイ</t>
    </rPh>
    <rPh sb="27" eb="29">
      <t>ビコウ</t>
    </rPh>
    <rPh sb="29" eb="31">
      <t>サンショウ</t>
    </rPh>
    <phoneticPr fontId="3"/>
  </si>
  <si>
    <t>２　総業務時間及び当該時間に含まれる超過勤務時間の変化　調査対象人数　人</t>
    <phoneticPr fontId="3"/>
  </si>
  <si>
    <t>対象期間</t>
    <rPh sb="0" eb="2">
      <t>タイショウ</t>
    </rPh>
    <rPh sb="2" eb="4">
      <t>キカン</t>
    </rPh>
    <phoneticPr fontId="3"/>
  </si>
  <si>
    <t>(事前)令和　年　月</t>
    <rPh sb="1" eb="3">
      <t>ジゼン</t>
    </rPh>
    <phoneticPr fontId="3"/>
  </si>
  <si>
    <t>(事後)令和　年　月</t>
    <rPh sb="1" eb="3">
      <t>ジゴ</t>
    </rPh>
    <phoneticPr fontId="3"/>
  </si>
  <si>
    <t>総業務時間</t>
    <phoneticPr fontId="3"/>
  </si>
  <si>
    <t>(事前)上表と同じ</t>
    <rPh sb="1" eb="3">
      <t>ジゼン</t>
    </rPh>
    <rPh sb="4" eb="6">
      <t>ジョウヒョウ</t>
    </rPh>
    <rPh sb="7" eb="8">
      <t>オナ</t>
    </rPh>
    <phoneticPr fontId="3"/>
  </si>
  <si>
    <t>(事後)上表と同じ</t>
    <rPh sb="1" eb="3">
      <t>ジゴ</t>
    </rPh>
    <rPh sb="4" eb="6">
      <t>ジョウヒョウ</t>
    </rPh>
    <rPh sb="7" eb="8">
      <t>オナ</t>
    </rPh>
    <phoneticPr fontId="3"/>
  </si>
  <si>
    <t>超過勤務時間</t>
    <rPh sb="0" eb="2">
      <t>チョウカ</t>
    </rPh>
    <rPh sb="2" eb="4">
      <t>キンム</t>
    </rPh>
    <rPh sb="4" eb="6">
      <t>ジカン</t>
    </rPh>
    <phoneticPr fontId="3"/>
  </si>
  <si>
    <t>（※）一月あたりの時間数（調査対象者平均、小数点第１位まで記載）（時間）</t>
    <rPh sb="11" eb="12">
      <t>スウ</t>
    </rPh>
    <rPh sb="13" eb="15">
      <t>チョウサ</t>
    </rPh>
    <rPh sb="15" eb="18">
      <t>タイショウシャ</t>
    </rPh>
    <rPh sb="18" eb="20">
      <t>ヘイキン</t>
    </rPh>
    <rPh sb="21" eb="24">
      <t>ショウスウテン</t>
    </rPh>
    <rPh sb="24" eb="25">
      <t>ダイ</t>
    </rPh>
    <rPh sb="26" eb="27">
      <t>イ</t>
    </rPh>
    <rPh sb="29" eb="31">
      <t>キサイ</t>
    </rPh>
    <rPh sb="33" eb="35">
      <t>ジカン</t>
    </rPh>
    <phoneticPr fontId="3"/>
  </si>
  <si>
    <t>総業務時間及び超過勤務時間が短縮していることの確認</t>
    <rPh sb="0" eb="1">
      <t>ソウ</t>
    </rPh>
    <rPh sb="1" eb="3">
      <t>ギョウム</t>
    </rPh>
    <rPh sb="3" eb="5">
      <t>ジカン</t>
    </rPh>
    <rPh sb="5" eb="6">
      <t>オヨ</t>
    </rPh>
    <rPh sb="7" eb="9">
      <t>チョウカ</t>
    </rPh>
    <rPh sb="9" eb="11">
      <t>キンム</t>
    </rPh>
    <rPh sb="11" eb="13">
      <t>ジカン</t>
    </rPh>
    <rPh sb="14" eb="16">
      <t>タンシュク</t>
    </rPh>
    <rPh sb="23" eb="25">
      <t>カクニン</t>
    </rPh>
    <phoneticPr fontId="3"/>
  </si>
  <si>
    <t>３　年次有給休暇の取得状況　調査対象人数　人</t>
    <phoneticPr fontId="3"/>
  </si>
  <si>
    <t>(事前)令和　年　月～　月</t>
    <rPh sb="1" eb="3">
      <t>ジゼン</t>
    </rPh>
    <rPh sb="12" eb="13">
      <t>ツキ</t>
    </rPh>
    <phoneticPr fontId="3"/>
  </si>
  <si>
    <t>(事後)令和　年　月～　月</t>
    <rPh sb="1" eb="3">
      <t>ジゴ</t>
    </rPh>
    <phoneticPr fontId="3"/>
  </si>
  <si>
    <t>年次有給休暇取得日数</t>
    <rPh sb="0" eb="2">
      <t>ネンジ</t>
    </rPh>
    <rPh sb="2" eb="4">
      <t>ユウキュウ</t>
    </rPh>
    <rPh sb="4" eb="6">
      <t>キュウカ</t>
    </rPh>
    <rPh sb="6" eb="8">
      <t>シュトク</t>
    </rPh>
    <rPh sb="8" eb="10">
      <t>ニッスウ</t>
    </rPh>
    <phoneticPr fontId="3"/>
  </si>
  <si>
    <t>（※）対象期間における調査対象者の取得した年次有給休暇の日数（調査対象者平均、小数点第１位まで記載）（日）</t>
    <rPh sb="3" eb="5">
      <t>タイショウ</t>
    </rPh>
    <rPh sb="5" eb="7">
      <t>キカン</t>
    </rPh>
    <rPh sb="11" eb="13">
      <t>チョウサ</t>
    </rPh>
    <rPh sb="13" eb="15">
      <t>タイショウ</t>
    </rPh>
    <rPh sb="15" eb="16">
      <t>シャ</t>
    </rPh>
    <rPh sb="17" eb="19">
      <t>シュトク</t>
    </rPh>
    <rPh sb="21" eb="23">
      <t>ネンジ</t>
    </rPh>
    <rPh sb="23" eb="25">
      <t>ユウキュウ</t>
    </rPh>
    <rPh sb="25" eb="27">
      <t>キュウカ</t>
    </rPh>
    <rPh sb="28" eb="30">
      <t>ニッスウ</t>
    </rPh>
    <rPh sb="51" eb="52">
      <t>ニチ</t>
    </rPh>
    <phoneticPr fontId="3"/>
  </si>
  <si>
    <t>年次有給休暇の取得状況が維持又は増加していることの確認</t>
    <rPh sb="0" eb="2">
      <t>ネンジ</t>
    </rPh>
    <rPh sb="2" eb="4">
      <t>ユウキュウ</t>
    </rPh>
    <rPh sb="4" eb="6">
      <t>キュウカ</t>
    </rPh>
    <rPh sb="7" eb="9">
      <t>シュトク</t>
    </rPh>
    <rPh sb="9" eb="11">
      <t>ジョウキョウ</t>
    </rPh>
    <rPh sb="16" eb="18">
      <t>ゾウカ</t>
    </rPh>
    <phoneticPr fontId="3"/>
  </si>
  <si>
    <t>備考　詳細については、別途通知（「生産性向上推進体制加算に関する基本的考え方並びに事務処理手順及び様式例等の提示</t>
    <rPh sb="0" eb="2">
      <t>ビコウ</t>
    </rPh>
    <rPh sb="51" eb="52">
      <t>レイ</t>
    </rPh>
    <phoneticPr fontId="3"/>
  </si>
  <si>
    <t>　　　について」）を参照すること。また、成果の確認に当たっては加算（Ⅱ）の要件となる介護機器の導入後、３月以上取</t>
    <rPh sb="20" eb="22">
      <t>セイカ</t>
    </rPh>
    <rPh sb="23" eb="25">
      <t>カクニン</t>
    </rPh>
    <rPh sb="26" eb="27">
      <t>ア</t>
    </rPh>
    <rPh sb="49" eb="50">
      <t>アト</t>
    </rPh>
    <rPh sb="52" eb="53">
      <t>ツキ</t>
    </rPh>
    <rPh sb="53" eb="55">
      <t>イジョウ</t>
    </rPh>
    <rPh sb="55" eb="56">
      <t>トリ</t>
    </rPh>
    <phoneticPr fontId="3"/>
  </si>
  <si>
    <t>　　  組の継続が必要であることに留意すること。</t>
    <phoneticPr fontId="3"/>
  </si>
  <si>
    <t>　　　　また、利用者の満足度等の変化に関する調査のデータがない場合であって、介護機器の導入前からサービスを利用</t>
    <rPh sb="14" eb="15">
      <t>ナド</t>
    </rPh>
    <rPh sb="19" eb="20">
      <t>カン</t>
    </rPh>
    <rPh sb="22" eb="24">
      <t>チョウサ</t>
    </rPh>
    <rPh sb="31" eb="33">
      <t>バアイ</t>
    </rPh>
    <rPh sb="38" eb="40">
      <t>カイゴ</t>
    </rPh>
    <rPh sb="40" eb="42">
      <t>キキ</t>
    </rPh>
    <rPh sb="43" eb="45">
      <t>ドウニュウ</t>
    </rPh>
    <rPh sb="45" eb="46">
      <t>マエ</t>
    </rPh>
    <rPh sb="53" eb="55">
      <t>リヨウ</t>
    </rPh>
    <phoneticPr fontId="3"/>
  </si>
  <si>
    <t>　　　する利用者へのヒアリング調査等を実施した場合は、当該調査結果及び委員会での当該結果を確認した議事概要を提</t>
    <rPh sb="5" eb="8">
      <t>リヨウシャ</t>
    </rPh>
    <rPh sb="15" eb="17">
      <t>チョウサ</t>
    </rPh>
    <rPh sb="17" eb="18">
      <t>ナド</t>
    </rPh>
    <rPh sb="19" eb="21">
      <t>ジッシ</t>
    </rPh>
    <rPh sb="23" eb="25">
      <t>バアイ</t>
    </rPh>
    <rPh sb="27" eb="29">
      <t>トウガイ</t>
    </rPh>
    <rPh sb="29" eb="31">
      <t>チョウサ</t>
    </rPh>
    <rPh sb="31" eb="33">
      <t>ケッカ</t>
    </rPh>
    <rPh sb="33" eb="34">
      <t>オヨ</t>
    </rPh>
    <rPh sb="35" eb="38">
      <t>イインカイ</t>
    </rPh>
    <rPh sb="40" eb="42">
      <t>トウガイ</t>
    </rPh>
    <rPh sb="42" eb="44">
      <t>ケッカ</t>
    </rPh>
    <rPh sb="45" eb="47">
      <t>カクニン</t>
    </rPh>
    <rPh sb="49" eb="51">
      <t>ギジ</t>
    </rPh>
    <rPh sb="51" eb="53">
      <t>ガイヨウ</t>
    </rPh>
    <rPh sb="54" eb="55">
      <t>テイ</t>
    </rPh>
    <phoneticPr fontId="3"/>
  </si>
  <si>
    <t>　　　出すること。</t>
    <rPh sb="3" eb="4">
      <t>デ</t>
    </rPh>
    <phoneticPr fontId="3"/>
  </si>
  <si>
    <t>「認知症介護指導者養成研修」及び「認知症チームケア推進研修」の修了証（写）（※Ⅰを算定する場合のみ）
「認知症介護実践リーダー研修」及び「認知症チームケア推進研修」の修了証（写）（※Ⅱを算定する場合のみ）</t>
    <rPh sb="14" eb="15">
      <t>オヨ</t>
    </rPh>
    <rPh sb="31" eb="34">
      <t>シュウリョウショウ</t>
    </rPh>
    <rPh sb="35" eb="36">
      <t>ウツ</t>
    </rPh>
    <rPh sb="41" eb="43">
      <t>サンテイ</t>
    </rPh>
    <rPh sb="45" eb="47">
      <t>バアイ</t>
    </rPh>
    <rPh sb="66" eb="67">
      <t>オヨ</t>
    </rPh>
    <phoneticPr fontId="3"/>
  </si>
  <si>
    <t>◎勤務形態一覧は、看護・介護職員分</t>
  </si>
  <si>
    <t>参考1「人員基準確認表」</t>
  </si>
  <si>
    <t>参考1「人員基準確認表」</t>
    <rPh sb="0" eb="2">
      <t>サンコウ</t>
    </rPh>
    <phoneticPr fontId="3"/>
  </si>
  <si>
    <t>◎勤務形態一覧は、栄養士・管理栄養士分（変更した月分とその前月分）</t>
    <rPh sb="9" eb="12">
      <t>エイヨウシ</t>
    </rPh>
    <rPh sb="13" eb="15">
      <t>カンリ</t>
    </rPh>
    <rPh sb="15" eb="18">
      <t>エイヨウシ</t>
    </rPh>
    <rPh sb="18" eb="19">
      <t>ブン</t>
    </rPh>
    <rPh sb="20" eb="22">
      <t>ヘンコウ</t>
    </rPh>
    <rPh sb="24" eb="25">
      <t>ツキ</t>
    </rPh>
    <rPh sb="25" eb="26">
      <t>ブン</t>
    </rPh>
    <rPh sb="29" eb="31">
      <t>ゼンゲツ</t>
    </rPh>
    <rPh sb="31" eb="32">
      <t>ブン</t>
    </rPh>
    <phoneticPr fontId="2"/>
  </si>
  <si>
    <t>◎勤務形態一覧は、通リハ職員分のみ、参考1「人員基準確認表」</t>
  </si>
  <si>
    <t>◎勤務形態一覧は、職員全員分</t>
  </si>
  <si>
    <t>◎勤務形態一覧は、職員全員分、参考1「人員基準確認表」、参考2「夜勤職員配置及び夜勤職員配置加算算定表」</t>
  </si>
  <si>
    <t>◎勤務形態一覧は、看護・介護職員分、参考1「人員基準確認表」、参考2「夜勤職員配置及び夜勤職員配置加算算定表」</t>
  </si>
  <si>
    <t>1</t>
    <phoneticPr fontId="3"/>
  </si>
  <si>
    <t>理学療法士等が前３月間に勤務すべき時間
（注１８,２０）</t>
    <rPh sb="7" eb="8">
      <t>マエ</t>
    </rPh>
    <rPh sb="9" eb="10">
      <t>ツキ</t>
    </rPh>
    <rPh sb="10" eb="11">
      <t>カン</t>
    </rPh>
    <phoneticPr fontId="3"/>
  </si>
  <si>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3"/>
  </si>
  <si>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3"/>
  </si>
  <si>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3"/>
  </si>
  <si>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3"/>
  </si>
  <si>
    <t>介護老人保健施設、介護医療院(みなし事業所)</t>
    <rPh sb="9" eb="11">
      <t>カイゴ</t>
    </rPh>
    <rPh sb="11" eb="13">
      <t>イリョウ</t>
    </rPh>
    <rPh sb="13" eb="14">
      <t>イン</t>
    </rPh>
    <phoneticPr fontId="3"/>
  </si>
  <si>
    <t>安全対策に係る外部における研修の修了証（写）</t>
    <rPh sb="0" eb="2">
      <t>アンゼン</t>
    </rPh>
    <rPh sb="2" eb="4">
      <t>タイサク</t>
    </rPh>
    <rPh sb="5" eb="6">
      <t>カカ</t>
    </rPh>
    <rPh sb="7" eb="9">
      <t>ガイブ</t>
    </rPh>
    <rPh sb="13" eb="15">
      <t>ケンシュウ</t>
    </rPh>
    <rPh sb="16" eb="18">
      <t>シュウリョウ</t>
    </rPh>
    <rPh sb="18" eb="19">
      <t>ショウ</t>
    </rPh>
    <rPh sb="20" eb="21">
      <t>ウツ</t>
    </rPh>
    <phoneticPr fontId="3"/>
  </si>
  <si>
    <t>◎勤務形態一覧は、リハ職員分のみ（算定月）</t>
    <phoneticPr fontId="3"/>
  </si>
  <si>
    <t>（別紙６）</t>
    <phoneticPr fontId="3"/>
  </si>
  <si>
    <t>　平面図</t>
    <rPh sb="1" eb="4">
      <t>ヘイメンズ</t>
    </rPh>
    <phoneticPr fontId="3"/>
  </si>
  <si>
    <t>　事業所・施設の名称</t>
    <rPh sb="1" eb="4">
      <t>ジギョウショ</t>
    </rPh>
    <rPh sb="5" eb="7">
      <t>シセツ</t>
    </rPh>
    <rPh sb="8" eb="10">
      <t>メイショウ</t>
    </rPh>
    <phoneticPr fontId="3"/>
  </si>
  <si>
    <t>「該当する体制等　ー　　　　　　　　」</t>
    <rPh sb="1" eb="3">
      <t>ガイトウ</t>
    </rPh>
    <rPh sb="5" eb="7">
      <t>タイセイ</t>
    </rPh>
    <rPh sb="7" eb="8">
      <t>トウ</t>
    </rPh>
    <phoneticPr fontId="3"/>
  </si>
  <si>
    <t>展示コーナー</t>
    <rPh sb="0" eb="2">
      <t>テンジ</t>
    </rPh>
    <phoneticPr fontId="3"/>
  </si>
  <si>
    <t xml:space="preserve"> 調理室</t>
    <rPh sb="1" eb="4">
      <t>チョウリシツ</t>
    </rPh>
    <phoneticPr fontId="3"/>
  </si>
  <si>
    <t xml:space="preserve"> 談話室</t>
    <rPh sb="1" eb="4">
      <t>ダンワシツ</t>
    </rPh>
    <phoneticPr fontId="3"/>
  </si>
  <si>
    <t xml:space="preserve"> 相談室</t>
    <rPh sb="1" eb="3">
      <t>ソウダン</t>
    </rPh>
    <rPh sb="3" eb="4">
      <t>シツ</t>
    </rPh>
    <phoneticPr fontId="3"/>
  </si>
  <si>
    <t>　診察室</t>
    <rPh sb="1" eb="4">
      <t>シンサツシツ</t>
    </rPh>
    <phoneticPr fontId="3"/>
  </si>
  <si>
    <t>㎡</t>
    <phoneticPr fontId="3"/>
  </si>
  <si>
    <t>玄関ホール</t>
    <rPh sb="0" eb="2">
      <t>ゲンカン</t>
    </rPh>
    <phoneticPr fontId="3"/>
  </si>
  <si>
    <t>　調剤室</t>
    <rPh sb="1" eb="3">
      <t>チョウザイ</t>
    </rPh>
    <rPh sb="3" eb="4">
      <t>シツ</t>
    </rPh>
    <phoneticPr fontId="3"/>
  </si>
  <si>
    <t>機能訓練室</t>
    <rPh sb="0" eb="2">
      <t>キノウ</t>
    </rPh>
    <rPh sb="2" eb="4">
      <t>クンレン</t>
    </rPh>
    <rPh sb="4" eb="5">
      <t>シツ</t>
    </rPh>
    <phoneticPr fontId="3"/>
  </si>
  <si>
    <t>（食堂兼用）</t>
    <rPh sb="1" eb="3">
      <t>ショクドウ</t>
    </rPh>
    <rPh sb="3" eb="5">
      <t>ケンヨウ</t>
    </rPh>
    <phoneticPr fontId="3"/>
  </si>
  <si>
    <t xml:space="preserve"> 便所</t>
    <rPh sb="1" eb="3">
      <t>ベンジョ</t>
    </rPh>
    <phoneticPr fontId="3"/>
  </si>
  <si>
    <t>浴室</t>
    <rPh sb="0" eb="2">
      <t>ヨクシツ</t>
    </rPh>
    <phoneticPr fontId="3"/>
  </si>
  <si>
    <t>事務室</t>
    <rPh sb="0" eb="3">
      <t>ジムシツ</t>
    </rPh>
    <phoneticPr fontId="3"/>
  </si>
  <si>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3"/>
  </si>
  <si>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3"/>
  </si>
  <si>
    <t>平面図</t>
    <rPh sb="0" eb="3">
      <t>ヘイメンズ</t>
    </rPh>
    <phoneticPr fontId="3"/>
  </si>
  <si>
    <t>◎勤務形態一覧は、入所職員全員分（算定月）、参考1「人員基準確認表」、参考2「夜勤職員配置及び夜勤職員配置加算算定表」、ユニットリーダー研修修了証（写）、室別面積表</t>
    <rPh sb="9" eb="11">
      <t>ニュウショ</t>
    </rPh>
    <rPh sb="35" eb="37">
      <t>サンコウ</t>
    </rPh>
    <rPh sb="74" eb="75">
      <t>ウツ</t>
    </rPh>
    <phoneticPr fontId="3"/>
  </si>
  <si>
    <t>◎勤務形態一覧は、入所職員分のみ（算定月）、参考1「人員基準確認表」</t>
    <rPh sb="22" eb="24">
      <t>サンコウ</t>
    </rPh>
    <phoneticPr fontId="3"/>
  </si>
  <si>
    <t>◎勤務形態一覧は、入所職員全員分（算定月）、参考1「人員基準確認表」、参考2「夜勤職員配置及び夜勤職員配置加算算定表」、ユニットリーダー研修修了証（写）、室別面積表</t>
    <rPh sb="9" eb="11">
      <t>ニュウショ</t>
    </rPh>
    <rPh sb="74" eb="75">
      <t>ウツ</t>
    </rPh>
    <phoneticPr fontId="3"/>
  </si>
  <si>
    <t>◎勤務形態一覧は、入所職員分のみ（算定月）、参考1「人員基準確認表」</t>
    <phoneticPr fontId="3"/>
  </si>
  <si>
    <t>7.通常規模の事業所、8.大規模の事業所</t>
    <phoneticPr fontId="3"/>
  </si>
  <si>
    <t>従業者の勤務の体制及び勤務形態一覧表（勤務形態一覧）</t>
    <rPh sb="19" eb="21">
      <t>キンム</t>
    </rPh>
    <rPh sb="21" eb="23">
      <t>ケイタイ</t>
    </rPh>
    <rPh sb="23" eb="25">
      <t>イチラン</t>
    </rPh>
    <phoneticPr fontId="3"/>
  </si>
  <si>
    <t>従業者の勤務の体制及び勤務形態一覧表（予定/実績）</t>
    <rPh sb="19" eb="21">
      <t>ヨテイ</t>
    </rPh>
    <rPh sb="22" eb="24">
      <t>ジッセキ</t>
    </rPh>
    <phoneticPr fontId="115"/>
  </si>
  <si>
    <t>※当該一覧の記載事項は、下部にありますので作成の際にご確認ください。</t>
    <rPh sb="1" eb="3">
      <t>トウガイ</t>
    </rPh>
    <rPh sb="3" eb="5">
      <t>イチラン</t>
    </rPh>
    <rPh sb="6" eb="8">
      <t>キサイ</t>
    </rPh>
    <rPh sb="8" eb="10">
      <t>ジコウ</t>
    </rPh>
    <rPh sb="12" eb="14">
      <t>カブ</t>
    </rPh>
    <rPh sb="21" eb="23">
      <t>サクセイ</t>
    </rPh>
    <rPh sb="24" eb="25">
      <t>サイ</t>
    </rPh>
    <rPh sb="27" eb="29">
      <t>カクニン</t>
    </rPh>
    <phoneticPr fontId="115"/>
  </si>
  <si>
    <t>別紙7</t>
    <rPh sb="0" eb="2">
      <t>ベッシ</t>
    </rPh>
    <phoneticPr fontId="3"/>
  </si>
  <si>
    <t>（令和</t>
    <rPh sb="1" eb="3">
      <t>レイワ</t>
    </rPh>
    <phoneticPr fontId="3"/>
  </si>
  <si>
    <t>年</t>
    <phoneticPr fontId="3"/>
  </si>
  <si>
    <t>月分）</t>
    <phoneticPr fontId="3"/>
  </si>
  <si>
    <t>A</t>
  </si>
  <si>
    <t>月始め日</t>
    <rPh sb="0" eb="1">
      <t>ツキ</t>
    </rPh>
    <rPh sb="1" eb="2">
      <t>ハジ</t>
    </rPh>
    <rPh sb="3" eb="4">
      <t>ヒ</t>
    </rPh>
    <phoneticPr fontId="115"/>
  </si>
  <si>
    <t>Ｂ</t>
  </si>
  <si>
    <t>Ｃ</t>
  </si>
  <si>
    <t>Ｄ</t>
  </si>
  <si>
    <t>勤務形態：Ａ常勤専従、Ｂ常勤兼務、Ｃ常勤以外専従、Ｄ常勤以外兼務</t>
    <rPh sb="20" eb="22">
      <t>イガイ</t>
    </rPh>
    <rPh sb="28" eb="30">
      <t>イガイ</t>
    </rPh>
    <rPh sb="30" eb="32">
      <t>ケンム</t>
    </rPh>
    <phoneticPr fontId="115"/>
  </si>
  <si>
    <t>常勤の従業者が月・週に勤務すべき時間数→</t>
    <rPh sb="7" eb="8">
      <t>ツキ</t>
    </rPh>
    <phoneticPr fontId="115"/>
  </si>
  <si>
    <t>勤務形態</t>
    <rPh sb="2" eb="4">
      <t>ケイタイ</t>
    </rPh>
    <phoneticPr fontId="3"/>
  </si>
  <si>
    <t>第　　１　　週</t>
    <phoneticPr fontId="3"/>
  </si>
  <si>
    <t>第　　２　　週</t>
    <phoneticPr fontId="3"/>
  </si>
  <si>
    <t>第　　３　　週</t>
    <phoneticPr fontId="3"/>
  </si>
  <si>
    <t>第　　４　　週</t>
    <phoneticPr fontId="3"/>
  </si>
  <si>
    <t>４週の合計※カッコ内は月合計</t>
    <rPh sb="9" eb="10">
      <t>ナイ</t>
    </rPh>
    <rPh sb="11" eb="12">
      <t>ツキ</t>
    </rPh>
    <rPh sb="12" eb="14">
      <t>ゴウケイ</t>
    </rPh>
    <phoneticPr fontId="115"/>
  </si>
  <si>
    <t>週平均</t>
  </si>
  <si>
    <t>常勤換算後の人数
（４週の合計から算出）</t>
    <rPh sb="11" eb="12">
      <t>シュウ</t>
    </rPh>
    <rPh sb="13" eb="15">
      <t>ゴウケイ</t>
    </rPh>
    <rPh sb="17" eb="19">
      <t>サンシュツ</t>
    </rPh>
    <phoneticPr fontId="115"/>
  </si>
  <si>
    <t>職　　種</t>
  </si>
  <si>
    <t>氏　　名</t>
  </si>
  <si>
    <t>日</t>
    <rPh sb="0" eb="1">
      <t>ヒ</t>
    </rPh>
    <phoneticPr fontId="115"/>
  </si>
  <si>
    <t>の勤務</t>
  </si>
  <si>
    <t>曜日</t>
    <rPh sb="0" eb="2">
      <t>ヨウビ</t>
    </rPh>
    <phoneticPr fontId="115"/>
  </si>
  <si>
    <t>時間</t>
  </si>
  <si>
    <t>職種</t>
    <rPh sb="0" eb="2">
      <t>ショクシュ</t>
    </rPh>
    <phoneticPr fontId="115"/>
  </si>
  <si>
    <t>形態</t>
    <rPh sb="0" eb="2">
      <t>ケイタイ</t>
    </rPh>
    <phoneticPr fontId="115"/>
  </si>
  <si>
    <t>①AB</t>
    <phoneticPr fontId="115"/>
  </si>
  <si>
    <t>②換算</t>
    <rPh sb="1" eb="3">
      <t>カンザン</t>
    </rPh>
    <phoneticPr fontId="115"/>
  </si>
  <si>
    <t>③CD</t>
    <phoneticPr fontId="115"/>
  </si>
  <si>
    <t>1)</t>
    <phoneticPr fontId="115"/>
  </si>
  <si>
    <t>予/実</t>
    <rPh sb="0" eb="1">
      <t>ヨ</t>
    </rPh>
    <rPh sb="2" eb="3">
      <t>ジツ</t>
    </rPh>
    <phoneticPr fontId="115"/>
  </si>
  <si>
    <t>時間</t>
    <rPh sb="0" eb="2">
      <t>ジカン</t>
    </rPh>
    <phoneticPr fontId="115"/>
  </si>
  <si>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</si>
  <si>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</si>
  <si>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</si>
  <si>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</si>
  <si>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</si>
  <si>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</si>
  <si>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</si>
  <si>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</si>
  <si>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</si>
  <si>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</si>
  <si>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</si>
  <si>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</si>
  <si>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</si>
  <si>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</si>
  <si>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</si>
  <si>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</si>
  <si>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</si>
  <si>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</si>
  <si>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</si>
  <si>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</si>
  <si>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</si>
  <si>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</si>
  <si>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</si>
  <si>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</si>
  <si>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</si>
  <si>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</si>
  <si>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</si>
  <si>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</si>
  <si>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</si>
  <si>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</si>
  <si>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</si>
  <si>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</si>
  <si>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</si>
  <si>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</si>
  <si>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</si>
  <si>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</si>
  <si>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</si>
  <si>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</si>
  <si>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</si>
  <si>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</si>
  <si>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</si>
  <si>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</si>
  <si>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</si>
  <si>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</si>
  <si>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</si>
  <si>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</si>
  <si>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</si>
  <si>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</si>
  <si>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</si>
  <si>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</si>
  <si>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</si>
  <si>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</si>
  <si>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</si>
  <si>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</si>
  <si>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</si>
  <si>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</si>
  <si>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</si>
  <si>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</si>
  <si>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</si>
  <si>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</si>
  <si>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</si>
  <si>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</si>
  <si>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</si>
  <si>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</si>
  <si>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看護職員・介護職員の夜勤人員数（実人数）</t>
    <rPh sb="0" eb="2">
      <t>カンゴ</t>
    </rPh>
    <rPh sb="2" eb="4">
      <t>ショクイン</t>
    </rPh>
    <rPh sb="5" eb="7">
      <t>カイゴ</t>
    </rPh>
    <rPh sb="7" eb="9">
      <t>ショクイン</t>
    </rPh>
    <rPh sb="10" eb="12">
      <t>ヤキン</t>
    </rPh>
    <rPh sb="12" eb="14">
      <t>ジンイン</t>
    </rPh>
    <rPh sb="14" eb="15">
      <t>スウ</t>
    </rPh>
    <rPh sb="16" eb="17">
      <t>ジツ</t>
    </rPh>
    <rPh sb="17" eb="19">
      <t>ニンズウ</t>
    </rPh>
    <phoneticPr fontId="114"/>
  </si>
  <si>
    <r>
      <t>従業者の勤務の体制及び勤務形態一覧表（予定/実績）【</t>
    </r>
    <r>
      <rPr>
        <b/>
        <sz val="12"/>
        <color rgb="FFFF0000"/>
        <rFont val="HGPｺﾞｼｯｸM"/>
        <family val="3"/>
        <charset val="128"/>
      </rPr>
      <t>夜勤時間帯：時間数</t>
    </r>
    <r>
      <rPr>
        <b/>
        <sz val="12"/>
        <rFont val="HGPｺﾞｼｯｸM"/>
        <family val="3"/>
        <charset val="128"/>
      </rPr>
      <t>】※夜勤職員（看護職員・介護職員）のみで一覧を作成した場合に活用できます。</t>
    </r>
    <rPh sb="19" eb="21">
      <t>ヨテイ</t>
    </rPh>
    <rPh sb="22" eb="24">
      <t>ジッセキ</t>
    </rPh>
    <rPh sb="26" eb="28">
      <t>ヤキン</t>
    </rPh>
    <rPh sb="28" eb="31">
      <t>ジカンタイ</t>
    </rPh>
    <rPh sb="32" eb="34">
      <t>ジカン</t>
    </rPh>
    <rPh sb="34" eb="35">
      <t>スウ</t>
    </rPh>
    <phoneticPr fontId="115"/>
  </si>
  <si>
    <t>１日平均夜勤職員数</t>
    <rPh sb="1" eb="2">
      <t>ヒ</t>
    </rPh>
    <rPh sb="2" eb="4">
      <t>ヘイキン</t>
    </rPh>
    <rPh sb="4" eb="6">
      <t>ヤキン</t>
    </rPh>
    <rPh sb="6" eb="8">
      <t>ショクイン</t>
    </rPh>
    <rPh sb="8" eb="9">
      <t>スウ</t>
    </rPh>
    <phoneticPr fontId="115"/>
  </si>
  <si>
    <t>基準上、必要な夜勤職員数+夜勤職員配置加算上の配置数</t>
    <rPh sb="13" eb="15">
      <t>ヤキン</t>
    </rPh>
    <rPh sb="15" eb="17">
      <t>ショクイン</t>
    </rPh>
    <rPh sb="17" eb="19">
      <t>ハイチ</t>
    </rPh>
    <rPh sb="19" eb="21">
      <t>カサン</t>
    </rPh>
    <rPh sb="21" eb="22">
      <t>ジョウ</t>
    </rPh>
    <rPh sb="23" eb="25">
      <t>ハイチ</t>
    </rPh>
    <rPh sb="25" eb="26">
      <t>スウ</t>
    </rPh>
    <phoneticPr fontId="115"/>
  </si>
  <si>
    <t>延夜勤時間数（Ａ）</t>
    <phoneticPr fontId="115"/>
  </si>
  <si>
    <t>計算月の日数</t>
    <phoneticPr fontId="115"/>
  </si>
  <si>
    <t>計算月の時間数（Ｂ）</t>
    <rPh sb="4" eb="7">
      <t>ジカンスウ</t>
    </rPh>
    <phoneticPr fontId="115"/>
  </si>
  <si>
    <t>（Ａ）÷（Ｂ）</t>
    <phoneticPr fontId="115"/>
  </si>
  <si>
    <t>×</t>
    <phoneticPr fontId="115"/>
  </si>
  <si>
    <t>＝</t>
    <phoneticPr fontId="115"/>
  </si>
  <si>
    <t>人</t>
    <rPh sb="0" eb="1">
      <t>ニン</t>
    </rPh>
    <phoneticPr fontId="115"/>
  </si>
  <si>
    <t>≧</t>
    <phoneticPr fontId="115"/>
  </si>
  <si>
    <t>人（</t>
    <rPh sb="0" eb="1">
      <t>ニン</t>
    </rPh>
    <phoneticPr fontId="115"/>
  </si>
  <si>
    <t>人+</t>
    <rPh sb="0" eb="1">
      <t>ニン</t>
    </rPh>
    <phoneticPr fontId="115"/>
  </si>
  <si>
    <t>人）</t>
    <rPh sb="0" eb="1">
      <t>ニン</t>
    </rPh>
    <phoneticPr fontId="115"/>
  </si>
  <si>
    <t>①</t>
    <phoneticPr fontId="115"/>
  </si>
  <si>
    <t>②</t>
    <phoneticPr fontId="115"/>
  </si>
  <si>
    <t>③</t>
    <phoneticPr fontId="115"/>
  </si>
  <si>
    <t>勤務形態・（勤務時間帯）・勤務時間</t>
    <rPh sb="0" eb="2">
      <t>キンム</t>
    </rPh>
    <rPh sb="2" eb="4">
      <t>ケイタイ</t>
    </rPh>
    <rPh sb="6" eb="8">
      <t>キンム</t>
    </rPh>
    <rPh sb="8" eb="10">
      <t>ジカン</t>
    </rPh>
    <rPh sb="10" eb="11">
      <t>タイ</t>
    </rPh>
    <rPh sb="13" eb="15">
      <t>キンム</t>
    </rPh>
    <rPh sb="15" eb="17">
      <t>ジカン</t>
    </rPh>
    <phoneticPr fontId="115"/>
  </si>
  <si>
    <t>月合計</t>
    <rPh sb="0" eb="1">
      <t>ツキ</t>
    </rPh>
    <rPh sb="1" eb="3">
      <t>ゴウケイ</t>
    </rPh>
    <phoneticPr fontId="115"/>
  </si>
  <si>
    <t>勤務時間</t>
    <rPh sb="0" eb="2">
      <t>キンム</t>
    </rPh>
    <rPh sb="2" eb="4">
      <t>ジカン</t>
    </rPh>
    <phoneticPr fontId="115"/>
  </si>
  <si>
    <t>①×②</t>
    <phoneticPr fontId="115"/>
  </si>
  <si>
    <t>1）</t>
    <phoneticPr fontId="115"/>
  </si>
  <si>
    <t>2）</t>
  </si>
  <si>
    <t>3）</t>
  </si>
  <si>
    <t>4）</t>
  </si>
  <si>
    <t>5）</t>
  </si>
  <si>
    <t>6）</t>
  </si>
  <si>
    <t>7）</t>
  </si>
  <si>
    <t>8）</t>
  </si>
  <si>
    <t>9）</t>
  </si>
  <si>
    <t>10）</t>
  </si>
  <si>
    <t>11）</t>
  </si>
  <si>
    <t>12）</t>
  </si>
  <si>
    <t>13）</t>
  </si>
  <si>
    <t>14）</t>
  </si>
  <si>
    <t>15）</t>
  </si>
  <si>
    <t>16）</t>
  </si>
  <si>
    <t>17）</t>
  </si>
  <si>
    <t>18）</t>
  </si>
  <si>
    <t>19）</t>
  </si>
  <si>
    <t>20）</t>
  </si>
  <si>
    <t>21）</t>
  </si>
  <si>
    <t>22）</t>
  </si>
  <si>
    <t>23）</t>
  </si>
  <si>
    <t>24）</t>
  </si>
  <si>
    <t>25）</t>
  </si>
  <si>
    <t>③延夜勤時間数の合計⇒</t>
    <rPh sb="8" eb="10">
      <t>ゴウケイ</t>
    </rPh>
    <phoneticPr fontId="115"/>
  </si>
  <si>
    <t>従業者の勤務の体制及び勤務形態一覧表の記載事項</t>
    <rPh sb="19" eb="21">
      <t>キサイ</t>
    </rPh>
    <rPh sb="21" eb="23">
      <t>ジコウ</t>
    </rPh>
    <phoneticPr fontId="115"/>
  </si>
  <si>
    <t>※勤務については予定ではなく実績を記入し、順番については職員配置の状況の順に記入してください。</t>
    <phoneticPr fontId="115"/>
  </si>
  <si>
    <r>
      <t>(備考</t>
    </r>
    <r>
      <rPr>
        <sz val="10"/>
        <color theme="1"/>
        <rFont val="HGPｺﾞｼｯｸM"/>
        <family val="3"/>
        <charset val="128"/>
      </rPr>
      <t>)</t>
    </r>
    <r>
      <rPr>
        <sz val="10"/>
        <rFont val="HGPｺﾞｼｯｸM"/>
        <family val="3"/>
        <charset val="128"/>
      </rPr>
      <t xml:space="preserve">  １</t>
    </r>
    <r>
      <rPr>
        <sz val="10"/>
        <color theme="1"/>
        <rFont val="HGPｺﾞｼｯｸM"/>
        <family val="3"/>
        <charset val="128"/>
      </rPr>
      <t xml:space="preserve">  本様式には短期入所生活介護に係る従業員を併せて記載してください</t>
    </r>
    <r>
      <rPr>
        <sz val="10"/>
        <rFont val="HGPｺﾞｼｯｸM"/>
        <family val="3"/>
        <charset val="128"/>
      </rPr>
      <t>　</t>
    </r>
    <rPh sb="9" eb="10">
      <t>ホン</t>
    </rPh>
    <rPh sb="10" eb="12">
      <t>ヨウシキ</t>
    </rPh>
    <rPh sb="14" eb="16">
      <t>タンキ</t>
    </rPh>
    <rPh sb="16" eb="18">
      <t>ニュウショ</t>
    </rPh>
    <rPh sb="18" eb="20">
      <t>セイカツ</t>
    </rPh>
    <rPh sb="20" eb="22">
      <t>カイゴ</t>
    </rPh>
    <rPh sb="23" eb="24">
      <t>カカ</t>
    </rPh>
    <rPh sb="25" eb="28">
      <t>ジュウギョウイン</t>
    </rPh>
    <rPh sb="29" eb="30">
      <t>アワ</t>
    </rPh>
    <rPh sb="32" eb="34">
      <t>キサイ</t>
    </rPh>
    <phoneticPr fontId="3"/>
  </si>
  <si>
    <r>
      <t xml:space="preserve">　      </t>
    </r>
    <r>
      <rPr>
        <sz val="10"/>
        <color theme="1"/>
        <rFont val="HGPｺﾞｼｯｸM"/>
        <family val="3"/>
        <charset val="128"/>
      </rPr>
      <t xml:space="preserve">  </t>
    </r>
    <r>
      <rPr>
        <sz val="10"/>
        <rFont val="HGPｺﾞｼｯｸM"/>
        <family val="3"/>
        <charset val="128"/>
      </rPr>
      <t>２　「人員配置区分」又は「該当する体制等」欄には、別紙「介護報酬加算等状況一覧表」に掲げる人員配置区分の類型又は該当する体制加算の内容をそのまま記載してください。</t>
    </r>
    <rPh sb="12" eb="14">
      <t>ジンイン</t>
    </rPh>
    <rPh sb="14" eb="16">
      <t>ハイチ</t>
    </rPh>
    <rPh sb="16" eb="18">
      <t>クブン</t>
    </rPh>
    <rPh sb="19" eb="20">
      <t>マタ</t>
    </rPh>
    <rPh sb="22" eb="24">
      <t>ガイトウ</t>
    </rPh>
    <rPh sb="26" eb="28">
      <t>タイセイ</t>
    </rPh>
    <rPh sb="28" eb="29">
      <t>トウ</t>
    </rPh>
    <rPh sb="30" eb="31">
      <t>ラン</t>
    </rPh>
    <rPh sb="34" eb="36">
      <t>ベッシ</t>
    </rPh>
    <rPh sb="37" eb="41">
      <t>カイゴホウシュウ</t>
    </rPh>
    <rPh sb="41" eb="43">
      <t>カサン</t>
    </rPh>
    <rPh sb="43" eb="44">
      <t>トウ</t>
    </rPh>
    <rPh sb="44" eb="46">
      <t>ジョウキョウ</t>
    </rPh>
    <rPh sb="46" eb="49">
      <t>イチランヒョウ</t>
    </rPh>
    <rPh sb="51" eb="52">
      <t>カカ</t>
    </rPh>
    <rPh sb="54" eb="56">
      <t>ジンイン</t>
    </rPh>
    <rPh sb="56" eb="58">
      <t>ハイチ</t>
    </rPh>
    <rPh sb="58" eb="60">
      <t>クブン</t>
    </rPh>
    <rPh sb="61" eb="63">
      <t>ルイケイ</t>
    </rPh>
    <rPh sb="63" eb="64">
      <t>マタ</t>
    </rPh>
    <rPh sb="65" eb="67">
      <t>ガイトウ</t>
    </rPh>
    <rPh sb="69" eb="71">
      <t>タイセイ</t>
    </rPh>
    <rPh sb="71" eb="73">
      <t>カサン</t>
    </rPh>
    <rPh sb="74" eb="76">
      <t>ナイヨウ</t>
    </rPh>
    <rPh sb="81" eb="83">
      <t>キサイ</t>
    </rPh>
    <phoneticPr fontId="3"/>
  </si>
  <si>
    <r>
      <t xml:space="preserve">　 　   </t>
    </r>
    <r>
      <rPr>
        <sz val="10"/>
        <color theme="1"/>
        <rFont val="HGPｺﾞｼｯｸM"/>
        <family val="3"/>
        <charset val="128"/>
      </rPr>
      <t xml:space="preserve">  </t>
    </r>
    <r>
      <rPr>
        <sz val="10"/>
        <rFont val="HGPｺﾞｼｯｸM"/>
        <family val="3"/>
        <charset val="128"/>
      </rPr>
      <t>３　届出を行う従業者について、４週間分の勤務すべき時間数を記入してください。勤務時間ごとに区分して番号を付し、その番号を記入してください。また、＜備考＞欄にその旨を記入してください。</t>
    </r>
    <rPh sb="10" eb="12">
      <t>トドケデ</t>
    </rPh>
    <rPh sb="13" eb="14">
      <t>オコナ</t>
    </rPh>
    <rPh sb="15" eb="18">
      <t>ジュウギョウシャ</t>
    </rPh>
    <rPh sb="23" eb="26">
      <t>４シュウカン</t>
    </rPh>
    <rPh sb="26" eb="27">
      <t>ブン</t>
    </rPh>
    <rPh sb="28" eb="30">
      <t>キンム</t>
    </rPh>
    <rPh sb="33" eb="36">
      <t>ジカンスウ</t>
    </rPh>
    <rPh sb="37" eb="39">
      <t>キニュウ</t>
    </rPh>
    <rPh sb="46" eb="50">
      <t>キンムジカン</t>
    </rPh>
    <rPh sb="53" eb="55">
      <t>クブン</t>
    </rPh>
    <rPh sb="57" eb="59">
      <t>バンゴウ</t>
    </rPh>
    <rPh sb="60" eb="61">
      <t>フ</t>
    </rPh>
    <rPh sb="63" eb="67">
      <t>ソノバンゴウ</t>
    </rPh>
    <rPh sb="68" eb="70">
      <t>キニュウ</t>
    </rPh>
    <rPh sb="81" eb="83">
      <t>ビコウ</t>
    </rPh>
    <rPh sb="84" eb="85">
      <t>ラン</t>
    </rPh>
    <rPh sb="88" eb="89">
      <t>ムネ</t>
    </rPh>
    <rPh sb="90" eb="92">
      <t>キニュウ</t>
    </rPh>
    <phoneticPr fontId="3"/>
  </si>
  <si>
    <t>記入例－勤務時間  ①７：３０～１６：００  ８ｈ、②９：３０～１８：００  ８ｈ、③１０：３０～１９：００  ８ｈ、④１６：３０～９：３０  １６ｈ  （８時間勤務でない場合は、勤務区分の右に時間数を記入）</t>
    <rPh sb="0" eb="2">
      <t>キニュウ</t>
    </rPh>
    <rPh sb="2" eb="3">
      <t>レイ</t>
    </rPh>
    <phoneticPr fontId="3"/>
  </si>
  <si>
    <r>
      <t xml:space="preserve">　　　  </t>
    </r>
    <r>
      <rPr>
        <sz val="10"/>
        <color theme="1"/>
        <rFont val="HGPｺﾞｼｯｸM"/>
        <family val="3"/>
        <charset val="128"/>
      </rPr>
      <t xml:space="preserve">  </t>
    </r>
    <r>
      <rPr>
        <sz val="10"/>
        <rFont val="HGPｺﾞｼｯｸM"/>
        <family val="3"/>
        <charset val="128"/>
      </rPr>
      <t>４　届出する従業者の職種ごとに下記の勤務形態の区分の順にまとめで記載してください。</t>
    </r>
    <rPh sb="9" eb="11">
      <t>トドケデ</t>
    </rPh>
    <rPh sb="13" eb="16">
      <t>ジュウギョウシャ</t>
    </rPh>
    <rPh sb="17" eb="19">
      <t>ショクシュ</t>
    </rPh>
    <rPh sb="22" eb="24">
      <t>カキ</t>
    </rPh>
    <rPh sb="25" eb="27">
      <t>キンム</t>
    </rPh>
    <rPh sb="27" eb="29">
      <t>ケイタイ</t>
    </rPh>
    <rPh sb="30" eb="32">
      <t>クブン</t>
    </rPh>
    <rPh sb="33" eb="34">
      <t>ジュン</t>
    </rPh>
    <rPh sb="39" eb="41">
      <t>キサイ</t>
    </rPh>
    <phoneticPr fontId="3"/>
  </si>
  <si>
    <t>勤務形態の区分　Ａ：常勤で専従　Ｂ：常勤で兼務　Ｃ：常勤以外で専従　Ｄ：常勤以外で兼務</t>
    <phoneticPr fontId="3"/>
  </si>
  <si>
    <r>
      <t xml:space="preserve">　　　  </t>
    </r>
    <r>
      <rPr>
        <sz val="10"/>
        <color theme="1"/>
        <rFont val="HGPｺﾞｼｯｸM"/>
        <family val="3"/>
        <charset val="128"/>
      </rPr>
      <t xml:space="preserve">  ５</t>
    </r>
    <r>
      <rPr>
        <sz val="10"/>
        <rFont val="HGPｺﾞｼｯｸM"/>
        <family val="3"/>
        <charset val="128"/>
      </rPr>
      <t>　常勤換算が必要な職種は、Ａ～Ｄの「週平均の勤務時間」をすべて足し、常勤の従業者が週に勤務すべき時間数で割って、「常勤換算後の人数」を算出してください。</t>
    </r>
    <phoneticPr fontId="3"/>
  </si>
  <si>
    <r>
      <t>　　  　</t>
    </r>
    <r>
      <rPr>
        <sz val="10"/>
        <color theme="1"/>
        <rFont val="HGPｺﾞｼｯｸM"/>
        <family val="3"/>
        <charset val="128"/>
      </rPr>
      <t xml:space="preserve">  ６</t>
    </r>
    <r>
      <rPr>
        <sz val="10"/>
        <rFont val="HGPｺﾞｼｯｸM"/>
        <family val="3"/>
        <charset val="128"/>
      </rPr>
      <t>　算出にあたっては、小数点以下第２位を切り捨ててください。</t>
    </r>
    <phoneticPr fontId="3"/>
  </si>
  <si>
    <r>
      <t>従業者の勤務の体制及び勤務形態一覧表の記載事項（</t>
    </r>
    <r>
      <rPr>
        <b/>
        <sz val="12"/>
        <color rgb="FFFF0000"/>
        <rFont val="HGPｺﾞｼｯｸM"/>
        <family val="3"/>
        <charset val="128"/>
      </rPr>
      <t>施設の基本設定</t>
    </r>
    <r>
      <rPr>
        <b/>
        <sz val="12"/>
        <rFont val="HGPｺﾞｼｯｸM"/>
        <family val="3"/>
        <charset val="128"/>
      </rPr>
      <t>）</t>
    </r>
    <r>
      <rPr>
        <b/>
        <sz val="12"/>
        <color rgb="FFFF0000"/>
        <rFont val="HGPｺﾞｼｯｸM"/>
        <family val="3"/>
        <charset val="128"/>
      </rPr>
      <t>※職種、常勤時間数、勤務形態、勤務時間帯、夜勤時間帯などの設定</t>
    </r>
    <rPh sb="19" eb="21">
      <t>キサイ</t>
    </rPh>
    <rPh sb="21" eb="23">
      <t>ジコウ</t>
    </rPh>
    <rPh sb="24" eb="26">
      <t>シセツ</t>
    </rPh>
    <rPh sb="27" eb="29">
      <t>キホン</t>
    </rPh>
    <rPh sb="29" eb="31">
      <t>セッテイ</t>
    </rPh>
    <rPh sb="33" eb="35">
      <t>ショクシュ</t>
    </rPh>
    <rPh sb="36" eb="38">
      <t>ジョウキン</t>
    </rPh>
    <rPh sb="38" eb="41">
      <t>ジカンスウ</t>
    </rPh>
    <rPh sb="42" eb="44">
      <t>キンム</t>
    </rPh>
    <rPh sb="44" eb="46">
      <t>ケイタイ</t>
    </rPh>
    <rPh sb="47" eb="49">
      <t>キンム</t>
    </rPh>
    <rPh sb="49" eb="51">
      <t>ジカン</t>
    </rPh>
    <rPh sb="51" eb="52">
      <t>タイ</t>
    </rPh>
    <rPh sb="53" eb="55">
      <t>ヤキン</t>
    </rPh>
    <rPh sb="55" eb="58">
      <t>ジカンタイ</t>
    </rPh>
    <rPh sb="61" eb="63">
      <t>セッテイ</t>
    </rPh>
    <phoneticPr fontId="115"/>
  </si>
  <si>
    <t>常勤の従業者が週に勤務すべき時間数</t>
    <phoneticPr fontId="115"/>
  </si>
  <si>
    <t>ｈ/日×</t>
    <rPh sb="2" eb="3">
      <t>ヒ</t>
    </rPh>
    <phoneticPr fontId="115"/>
  </si>
  <si>
    <t>日＝</t>
    <rPh sb="0" eb="1">
      <t>ヒ</t>
    </rPh>
    <phoneticPr fontId="115"/>
  </si>
  <si>
    <t>ｈ/週</t>
    <rPh sb="2" eb="3">
      <t>シュウ</t>
    </rPh>
    <phoneticPr fontId="115"/>
  </si>
  <si>
    <t>夜勤時間帯</t>
    <rPh sb="0" eb="2">
      <t>ヤキン</t>
    </rPh>
    <rPh sb="2" eb="5">
      <t>ジカンタイ</t>
    </rPh>
    <phoneticPr fontId="115"/>
  </si>
  <si>
    <t>夜/明</t>
    <rPh sb="0" eb="1">
      <t>ヨル</t>
    </rPh>
    <rPh sb="2" eb="3">
      <t>ア</t>
    </rPh>
    <phoneticPr fontId="115"/>
  </si>
  <si>
    <t>16：30</t>
    <phoneticPr fontId="115"/>
  </si>
  <si>
    <t>～</t>
    <phoneticPr fontId="115"/>
  </si>
  <si>
    <t>9：15</t>
    <phoneticPr fontId="115"/>
  </si>
  <si>
    <t>ｈ</t>
    <phoneticPr fontId="115"/>
  </si>
  <si>
    <t>週＝</t>
    <rPh sb="0" eb="1">
      <t>シュウ</t>
    </rPh>
    <phoneticPr fontId="115"/>
  </si>
  <si>
    <t>ｈ/月</t>
    <rPh sb="2" eb="3">
      <t>ツキ</t>
    </rPh>
    <phoneticPr fontId="115"/>
  </si>
  <si>
    <t xml:space="preserve"> ※午後10時から翌日午前5時までを含む連続する16時間で施設で定めたもの</t>
    <phoneticPr fontId="115"/>
  </si>
  <si>
    <t>常勤換算後の人数（４週の合計から算出）</t>
    <phoneticPr fontId="115"/>
  </si>
  <si>
    <t>人数</t>
    <rPh sb="0" eb="2">
      <t>ニンズ</t>
    </rPh>
    <phoneticPr fontId="115"/>
  </si>
  <si>
    <t>①AB</t>
  </si>
  <si>
    <t>③CD</t>
  </si>
  <si>
    <t>計</t>
    <rPh sb="0" eb="1">
      <t>ケイ</t>
    </rPh>
    <phoneticPr fontId="115"/>
  </si>
  <si>
    <t>②換算（参考）</t>
    <rPh sb="1" eb="3">
      <t>カンザン</t>
    </rPh>
    <rPh sb="4" eb="6">
      <t>サンコウ</t>
    </rPh>
    <phoneticPr fontId="115"/>
  </si>
  <si>
    <t>勤務形態</t>
    <rPh sb="0" eb="2">
      <t>キンム</t>
    </rPh>
    <rPh sb="2" eb="4">
      <t>ケイタイ</t>
    </rPh>
    <phoneticPr fontId="115"/>
  </si>
  <si>
    <t>勤務時間帯</t>
    <rPh sb="0" eb="2">
      <t>キンム</t>
    </rPh>
    <rPh sb="2" eb="4">
      <t>ジカン</t>
    </rPh>
    <rPh sb="4" eb="5">
      <t>タイ</t>
    </rPh>
    <phoneticPr fontId="115"/>
  </si>
  <si>
    <t>備考</t>
    <rPh sb="0" eb="2">
      <t>ビコウ</t>
    </rPh>
    <phoneticPr fontId="115"/>
  </si>
  <si>
    <t>夜勤時間帯の時間</t>
    <rPh sb="0" eb="2">
      <t>ヤキン</t>
    </rPh>
    <rPh sb="2" eb="5">
      <t>ジカンタイ</t>
    </rPh>
    <rPh sb="6" eb="8">
      <t>ジカン</t>
    </rPh>
    <phoneticPr fontId="115"/>
  </si>
  <si>
    <t>管理者</t>
    <rPh sb="0" eb="2">
      <t>カンリ</t>
    </rPh>
    <rPh sb="2" eb="3">
      <t>シャ</t>
    </rPh>
    <phoneticPr fontId="115"/>
  </si>
  <si>
    <t>→</t>
    <phoneticPr fontId="115"/>
  </si>
  <si>
    <t>01</t>
    <phoneticPr fontId="115"/>
  </si>
  <si>
    <t>夜</t>
    <rPh sb="0" eb="1">
      <t>ヨル</t>
    </rPh>
    <phoneticPr fontId="115"/>
  </si>
  <si>
    <t>夜勤</t>
    <rPh sb="0" eb="2">
      <t>ヤキン</t>
    </rPh>
    <phoneticPr fontId="115"/>
  </si>
  <si>
    <t>0：00</t>
    <phoneticPr fontId="115"/>
  </si>
  <si>
    <t>医師</t>
    <rPh sb="0" eb="2">
      <t>イシ</t>
    </rPh>
    <phoneticPr fontId="115"/>
  </si>
  <si>
    <t>02</t>
  </si>
  <si>
    <t>明</t>
    <rPh sb="0" eb="1">
      <t>ア</t>
    </rPh>
    <phoneticPr fontId="115"/>
  </si>
  <si>
    <t>明け</t>
    <rPh sb="0" eb="1">
      <t>ア</t>
    </rPh>
    <phoneticPr fontId="115"/>
  </si>
  <si>
    <t>薬剤師</t>
  </si>
  <si>
    <t>03</t>
  </si>
  <si>
    <t>日勤Ａ</t>
    <rPh sb="0" eb="2">
      <t>ニッキン</t>
    </rPh>
    <phoneticPr fontId="115"/>
  </si>
  <si>
    <t>8：40</t>
    <phoneticPr fontId="115"/>
  </si>
  <si>
    <t>17：15</t>
    <phoneticPr fontId="115"/>
  </si>
  <si>
    <t>生活相談員</t>
    <rPh sb="0" eb="2">
      <t>セイカツ</t>
    </rPh>
    <rPh sb="2" eb="5">
      <t>ソウダンイン</t>
    </rPh>
    <phoneticPr fontId="115"/>
  </si>
  <si>
    <t>04</t>
  </si>
  <si>
    <t>早出</t>
    <rPh sb="0" eb="2">
      <t>ハヤデ</t>
    </rPh>
    <phoneticPr fontId="115"/>
  </si>
  <si>
    <t>7：10</t>
    <phoneticPr fontId="115"/>
  </si>
  <si>
    <t>15：45</t>
    <phoneticPr fontId="115"/>
  </si>
  <si>
    <t>看護職員（正）</t>
    <rPh sb="0" eb="2">
      <t>カンゴ</t>
    </rPh>
    <rPh sb="2" eb="4">
      <t>ショクイン</t>
    </rPh>
    <rPh sb="5" eb="6">
      <t>セイ</t>
    </rPh>
    <phoneticPr fontId="115"/>
  </si>
  <si>
    <t>05</t>
  </si>
  <si>
    <t>遅出</t>
    <rPh sb="0" eb="2">
      <t>オソデ</t>
    </rPh>
    <phoneticPr fontId="115"/>
  </si>
  <si>
    <t>11：25</t>
    <phoneticPr fontId="115"/>
  </si>
  <si>
    <t>20：00</t>
    <phoneticPr fontId="115"/>
  </si>
  <si>
    <t>看護職員（准）</t>
    <rPh sb="0" eb="2">
      <t>カンゴ</t>
    </rPh>
    <rPh sb="2" eb="4">
      <t>ショクイン</t>
    </rPh>
    <rPh sb="5" eb="6">
      <t>ジュン</t>
    </rPh>
    <phoneticPr fontId="115"/>
  </si>
  <si>
    <t>06</t>
  </si>
  <si>
    <t>⑤</t>
    <phoneticPr fontId="115"/>
  </si>
  <si>
    <t>午前Ａ</t>
    <rPh sb="0" eb="2">
      <t>ゴゼン</t>
    </rPh>
    <phoneticPr fontId="115"/>
  </si>
  <si>
    <t>12：40</t>
    <phoneticPr fontId="115"/>
  </si>
  <si>
    <t>介護職員</t>
    <rPh sb="0" eb="2">
      <t>カイゴ</t>
    </rPh>
    <rPh sb="2" eb="4">
      <t>ショクイン</t>
    </rPh>
    <phoneticPr fontId="115"/>
  </si>
  <si>
    <t>07</t>
  </si>
  <si>
    <t>⑥</t>
  </si>
  <si>
    <t>午後Ａ</t>
    <rPh sb="0" eb="2">
      <t>ゴゴ</t>
    </rPh>
    <phoneticPr fontId="115"/>
  </si>
  <si>
    <t>13：30</t>
    <phoneticPr fontId="115"/>
  </si>
  <si>
    <t>17：30</t>
    <phoneticPr fontId="115"/>
  </si>
  <si>
    <t>介護職員（介福）</t>
    <rPh sb="0" eb="2">
      <t>カイゴ</t>
    </rPh>
    <rPh sb="2" eb="4">
      <t>ショクイン</t>
    </rPh>
    <rPh sb="5" eb="6">
      <t>スケ</t>
    </rPh>
    <rPh sb="6" eb="7">
      <t>フク</t>
    </rPh>
    <phoneticPr fontId="115"/>
  </si>
  <si>
    <t>08</t>
  </si>
  <si>
    <t>⑦</t>
  </si>
  <si>
    <t>日勤Ｂ</t>
    <rPh sb="0" eb="2">
      <t>ニッキン</t>
    </rPh>
    <phoneticPr fontId="115"/>
  </si>
  <si>
    <t>9：00</t>
    <phoneticPr fontId="115"/>
  </si>
  <si>
    <t>17：00</t>
    <phoneticPr fontId="115"/>
  </si>
  <si>
    <t>管理栄養士</t>
    <rPh sb="0" eb="2">
      <t>カンリ</t>
    </rPh>
    <rPh sb="2" eb="5">
      <t>エイヨウシ</t>
    </rPh>
    <phoneticPr fontId="115"/>
  </si>
  <si>
    <t>09</t>
  </si>
  <si>
    <t>⑧</t>
  </si>
  <si>
    <t>午前Ｂ</t>
    <rPh sb="0" eb="2">
      <t>ゴゼン</t>
    </rPh>
    <phoneticPr fontId="115"/>
  </si>
  <si>
    <t>13：00</t>
    <phoneticPr fontId="115"/>
  </si>
  <si>
    <t>栄養士</t>
    <rPh sb="0" eb="3">
      <t>エイヨウシ</t>
    </rPh>
    <phoneticPr fontId="115"/>
  </si>
  <si>
    <t>10</t>
  </si>
  <si>
    <t>⑨</t>
  </si>
  <si>
    <t>午後Ｂ</t>
    <rPh sb="0" eb="2">
      <t>ゴゴ</t>
    </rPh>
    <phoneticPr fontId="115"/>
  </si>
  <si>
    <t>機能訓練指導員</t>
    <rPh sb="0" eb="2">
      <t>キノウ</t>
    </rPh>
    <rPh sb="2" eb="4">
      <t>クンレン</t>
    </rPh>
    <rPh sb="4" eb="7">
      <t>シドウイン</t>
    </rPh>
    <phoneticPr fontId="115"/>
  </si>
  <si>
    <t>11</t>
  </si>
  <si>
    <t>⑩</t>
  </si>
  <si>
    <t>午後Ｃ</t>
    <rPh sb="0" eb="2">
      <t>ゴゴ</t>
    </rPh>
    <phoneticPr fontId="115"/>
  </si>
  <si>
    <t>15：25</t>
    <phoneticPr fontId="115"/>
  </si>
  <si>
    <t>理学療法士</t>
    <rPh sb="2" eb="5">
      <t>リョウホウシ</t>
    </rPh>
    <phoneticPr fontId="115"/>
  </si>
  <si>
    <t>12</t>
  </si>
  <si>
    <t>⑪</t>
    <phoneticPr fontId="115"/>
  </si>
  <si>
    <t>午後Ｄ</t>
    <rPh sb="0" eb="2">
      <t>ゴゴ</t>
    </rPh>
    <phoneticPr fontId="115"/>
  </si>
  <si>
    <t>16：00</t>
    <phoneticPr fontId="115"/>
  </si>
  <si>
    <t>作業療法士</t>
    <rPh sb="0" eb="2">
      <t>サギョウ</t>
    </rPh>
    <rPh sb="2" eb="5">
      <t>リョウホウシ</t>
    </rPh>
    <phoneticPr fontId="115"/>
  </si>
  <si>
    <t>13</t>
  </si>
  <si>
    <t>⑱</t>
    <phoneticPr fontId="115"/>
  </si>
  <si>
    <t>日勤Ｃ</t>
    <rPh sb="0" eb="2">
      <t>ニッキン</t>
    </rPh>
    <phoneticPr fontId="115"/>
  </si>
  <si>
    <t>言語聴覚士</t>
    <rPh sb="0" eb="2">
      <t>ゲンゴ</t>
    </rPh>
    <rPh sb="2" eb="4">
      <t>チョウカク</t>
    </rPh>
    <rPh sb="4" eb="5">
      <t>シ</t>
    </rPh>
    <phoneticPr fontId="115"/>
  </si>
  <si>
    <t>14</t>
  </si>
  <si>
    <t>⑲</t>
    <phoneticPr fontId="115"/>
  </si>
  <si>
    <t>午前Ｃ</t>
    <rPh sb="0" eb="2">
      <t>ゴゼン</t>
    </rPh>
    <phoneticPr fontId="115"/>
  </si>
  <si>
    <t>介護支援専門員</t>
    <rPh sb="0" eb="2">
      <t>カイゴ</t>
    </rPh>
    <rPh sb="2" eb="4">
      <t>シエン</t>
    </rPh>
    <rPh sb="4" eb="7">
      <t>センモンイン</t>
    </rPh>
    <phoneticPr fontId="115"/>
  </si>
  <si>
    <t>15</t>
  </si>
  <si>
    <t>⑳</t>
    <phoneticPr fontId="115"/>
  </si>
  <si>
    <t>午前Ｄ</t>
    <rPh sb="0" eb="2">
      <t>ゴゼン</t>
    </rPh>
    <phoneticPr fontId="115"/>
  </si>
  <si>
    <t>11：10</t>
    <phoneticPr fontId="115"/>
  </si>
  <si>
    <t>事務職員</t>
    <rPh sb="0" eb="2">
      <t>ジム</t>
    </rPh>
    <rPh sb="2" eb="4">
      <t>ショクイン</t>
    </rPh>
    <phoneticPr fontId="115"/>
  </si>
  <si>
    <t>16</t>
  </si>
  <si>
    <t>公</t>
    <rPh sb="0" eb="1">
      <t>コウ</t>
    </rPh>
    <phoneticPr fontId="115"/>
  </si>
  <si>
    <t>公休</t>
    <rPh sb="0" eb="2">
      <t>コウキュウ</t>
    </rPh>
    <phoneticPr fontId="115"/>
  </si>
  <si>
    <t>調理員</t>
    <rPh sb="0" eb="3">
      <t>チョウリイン</t>
    </rPh>
    <phoneticPr fontId="115"/>
  </si>
  <si>
    <t>17</t>
  </si>
  <si>
    <t>有</t>
    <rPh sb="0" eb="1">
      <t>タモツ</t>
    </rPh>
    <phoneticPr fontId="115"/>
  </si>
  <si>
    <t>有休</t>
    <rPh sb="0" eb="2">
      <t>ユウキュウ</t>
    </rPh>
    <phoneticPr fontId="115"/>
  </si>
  <si>
    <t>その他の職員</t>
    <rPh sb="2" eb="3">
      <t>タ</t>
    </rPh>
    <rPh sb="4" eb="6">
      <t>ショクイン</t>
    </rPh>
    <phoneticPr fontId="115"/>
  </si>
  <si>
    <t>18</t>
  </si>
  <si>
    <t>欠</t>
    <rPh sb="0" eb="1">
      <t>ケツ</t>
    </rPh>
    <phoneticPr fontId="115"/>
  </si>
  <si>
    <t>欠勤</t>
    <rPh sb="0" eb="2">
      <t>ケッキン</t>
    </rPh>
    <phoneticPr fontId="115"/>
  </si>
  <si>
    <t>19</t>
  </si>
  <si>
    <t>特</t>
    <rPh sb="0" eb="1">
      <t>トク</t>
    </rPh>
    <phoneticPr fontId="115"/>
  </si>
  <si>
    <t>特休</t>
    <rPh sb="0" eb="1">
      <t>トク</t>
    </rPh>
    <rPh sb="1" eb="2">
      <t>キュウ</t>
    </rPh>
    <phoneticPr fontId="115"/>
  </si>
  <si>
    <t>20</t>
  </si>
  <si>
    <t>-</t>
    <phoneticPr fontId="115"/>
  </si>
  <si>
    <t>21</t>
  </si>
  <si>
    <t>22</t>
  </si>
  <si>
    <t>23</t>
  </si>
  <si>
    <t>24</t>
  </si>
  <si>
    <t>25</t>
  </si>
  <si>
    <t>↑文字列設定しています。</t>
    <rPh sb="1" eb="4">
      <t>モジレツ</t>
    </rPh>
    <rPh sb="4" eb="6">
      <t>セッテイ</t>
    </rPh>
    <phoneticPr fontId="115"/>
  </si>
  <si>
    <t>〇〇　〇〇</t>
    <phoneticPr fontId="115"/>
  </si>
  <si>
    <r>
      <t>※１　</t>
    </r>
    <r>
      <rPr>
        <b/>
        <u/>
        <sz val="14"/>
        <color rgb="FFFF0000"/>
        <rFont val="HGSｺﾞｼｯｸM"/>
        <family val="3"/>
        <charset val="128"/>
      </rPr>
      <t>備考欄に記載の書類も併せて提出してください。</t>
    </r>
    <r>
      <rPr>
        <b/>
        <sz val="14"/>
        <color rgb="FFFF0000"/>
        <rFont val="HGSｺﾞｼｯｸM"/>
        <family val="3"/>
        <charset val="128"/>
      </rPr>
      <t xml:space="preserve">
</t>
    </r>
    <r>
      <rPr>
        <b/>
        <sz val="14"/>
        <color theme="1"/>
        <rFont val="HGSｺﾞｼｯｸM"/>
        <family val="3"/>
        <charset val="128"/>
      </rPr>
      <t>※２　各付表の裏面にある「添付書類」については不要です。
※３　各書類（写）には、原本照合は不要です。
※４　各別紙の備考等に記載されている根拠資料については提出不要ですが、求めがあった場合にはすぐに提示できるよう、事業所で保管しておいてください。</t>
    </r>
    <rPh sb="3" eb="6">
      <t>ビコウラン</t>
    </rPh>
    <rPh sb="7" eb="9">
      <t>キサイ</t>
    </rPh>
    <rPh sb="10" eb="12">
      <t>ショルイ</t>
    </rPh>
    <rPh sb="13" eb="14">
      <t>アワ</t>
    </rPh>
    <rPh sb="16" eb="18">
      <t>テイシュツ</t>
    </rPh>
    <rPh sb="30" eb="31">
      <t>カク</t>
    </rPh>
    <rPh sb="31" eb="33">
      <t>フヒョウ</t>
    </rPh>
    <rPh sb="34" eb="36">
      <t>ウラメン</t>
    </rPh>
    <rPh sb="40" eb="42">
      <t>テンプ</t>
    </rPh>
    <rPh sb="42" eb="44">
      <t>ショルイ</t>
    </rPh>
    <rPh sb="50" eb="52">
      <t>フヨウ</t>
    </rPh>
    <rPh sb="60" eb="61">
      <t>カク</t>
    </rPh>
    <rPh sb="61" eb="63">
      <t>ショルイ</t>
    </rPh>
    <rPh sb="64" eb="65">
      <t>ウツ</t>
    </rPh>
    <rPh sb="69" eb="71">
      <t>ゲンポン</t>
    </rPh>
    <rPh sb="71" eb="73">
      <t>ショウゴウ</t>
    </rPh>
    <rPh sb="74" eb="76">
      <t>フヨウ</t>
    </rPh>
    <rPh sb="84" eb="85">
      <t>カク</t>
    </rPh>
    <rPh sb="85" eb="87">
      <t>ベッシ</t>
    </rPh>
    <rPh sb="88" eb="90">
      <t>ビコウ</t>
    </rPh>
    <rPh sb="90" eb="91">
      <t>トウ</t>
    </rPh>
    <rPh sb="92" eb="94">
      <t>キサイ</t>
    </rPh>
    <rPh sb="99" eb="101">
      <t>コンキョ</t>
    </rPh>
    <rPh sb="101" eb="103">
      <t>シリョウ</t>
    </rPh>
    <rPh sb="108" eb="110">
      <t>テイシュツ</t>
    </rPh>
    <rPh sb="110" eb="112">
      <t>フヨウ</t>
    </rPh>
    <rPh sb="116" eb="117">
      <t>モト</t>
    </rPh>
    <rPh sb="122" eb="124">
      <t>バアイ</t>
    </rPh>
    <rPh sb="129" eb="131">
      <t>テイジ</t>
    </rPh>
    <rPh sb="137" eb="140">
      <t>ジギョウショ</t>
    </rPh>
    <rPh sb="141" eb="143">
      <t>ホカン</t>
    </rPh>
    <phoneticPr fontId="3"/>
  </si>
  <si>
    <t>付表第一号（十一）、車検証（写）、新旧対照表、運営規程（新）</t>
    <phoneticPr fontId="3"/>
  </si>
  <si>
    <t>付表第一号（十一）、車検証（写）、新旧対照表、運営規程（新）</t>
    <rPh sb="2" eb="5">
      <t>ダイイチゴウ</t>
    </rPh>
    <rPh sb="6" eb="8">
      <t>ジュウイチ</t>
    </rPh>
    <phoneticPr fontId="3"/>
  </si>
  <si>
    <t>歯科医療機関との取り決め内容が分かる文書（写）</t>
    <rPh sb="0" eb="6">
      <t>シカイリョウキカン</t>
    </rPh>
    <rPh sb="8" eb="9">
      <t>ト</t>
    </rPh>
    <rPh sb="10" eb="11">
      <t>キ</t>
    </rPh>
    <rPh sb="12" eb="14">
      <t>ナイヨウ</t>
    </rPh>
    <rPh sb="15" eb="16">
      <t>ワ</t>
    </rPh>
    <rPh sb="18" eb="20">
      <t>ブンショ</t>
    </rPh>
    <rPh sb="21" eb="22">
      <t>ウツ</t>
    </rPh>
    <phoneticPr fontId="3"/>
  </si>
  <si>
    <t>協力医療機関等と感染症発生時等の対応について取り決めたことがわかるもの（写）</t>
    <rPh sb="0" eb="6">
      <t>キョウリョクイリョウキカン</t>
    </rPh>
    <rPh sb="6" eb="7">
      <t>トウ</t>
    </rPh>
    <rPh sb="8" eb="14">
      <t>カンセンショウハッセイジ</t>
    </rPh>
    <rPh sb="14" eb="15">
      <t>トウ</t>
    </rPh>
    <rPh sb="16" eb="18">
      <t>タイオウ</t>
    </rPh>
    <rPh sb="22" eb="23">
      <t>ト</t>
    </rPh>
    <rPh sb="24" eb="25">
      <t>キ</t>
    </rPh>
    <rPh sb="36" eb="37">
      <t>ウツ</t>
    </rPh>
    <phoneticPr fontId="4"/>
  </si>
  <si>
    <t>付表第一号（十一）、新旧対照表、運営規程（新）</t>
    <phoneticPr fontId="3"/>
  </si>
  <si>
    <t>勤務一覧（夜勤加算用）※看護・介護職員分、参考1「人員基準確認表」、参考2「夜勤職員配置及び夜勤職員配置加算算定表」</t>
  </si>
  <si>
    <t>勤務一覧（夜勤加算用）※看護・介護職員分、参考1「人員基準確認表」、参考2「夜勤職員配置及び夜勤職員配置加算算定表」</t>
    <phoneticPr fontId="3"/>
  </si>
  <si>
    <t>付表第一号（十一）、新旧対照表、運営規程（新）</t>
    <rPh sb="2" eb="5">
      <t>ダイイチゴウ</t>
    </rPh>
    <rPh sb="6" eb="8">
      <t>ジュウイチ</t>
    </rPh>
    <phoneticPr fontId="3"/>
  </si>
  <si>
    <t>研修を実施、または実施することが分かる資料
※特別浴槽がある場合は、次の書類を提出（特別浴槽の納品書又は写真、特別浴槽の仕様が分かるパンフレット）</t>
    <phoneticPr fontId="3"/>
  </si>
  <si>
    <t>Ｄ　大規模の事業所(病院・診療所)</t>
    <phoneticPr fontId="3"/>
  </si>
  <si>
    <t>３ 加算イ</t>
    <phoneticPr fontId="3"/>
  </si>
  <si>
    <t>６ 加算ロ</t>
    <phoneticPr fontId="3"/>
  </si>
  <si>
    <t>Ｅ　大規模の事業所(介護老人保健施設)</t>
    <phoneticPr fontId="3"/>
  </si>
  <si>
    <t>Ｆ　大規模の事業所(介護医療院)</t>
    <phoneticPr fontId="3"/>
  </si>
  <si>
    <t>https://www.pref.osaka.lg.jp/documents/63688/tuchi.pdf</t>
    <phoneticPr fontId="3"/>
  </si>
  <si>
    <t>＜報告先＞</t>
  </si>
  <si>
    <t>https://www.kaigokensaku.mhlw.go.jp/shinsei/report/</t>
    <phoneticPr fontId="3"/>
  </si>
  <si>
    <t>1(1)</t>
    <phoneticPr fontId="3"/>
  </si>
  <si>
    <t>（別紙１－１）</t>
    <rPh sb="1" eb="3">
      <t>ベッシ</t>
    </rPh>
    <phoneticPr fontId="3"/>
  </si>
  <si>
    <t>身体拘束廃止取組の有無</t>
    <phoneticPr fontId="3"/>
  </si>
  <si>
    <t>◎勤務形態一覧は、薬剤師分（算定月）、様式6、医薬品情報管理室の配置図及び平面図、薬剤師の免許証（写し）</t>
    <rPh sb="9" eb="12">
      <t>ヤクザイシ</t>
    </rPh>
    <rPh sb="19" eb="21">
      <t>ヨウシキ</t>
    </rPh>
    <rPh sb="23" eb="26">
      <t>イヤクヒン</t>
    </rPh>
    <rPh sb="26" eb="28">
      <t>ジョウホウ</t>
    </rPh>
    <rPh sb="28" eb="30">
      <t>カンリ</t>
    </rPh>
    <rPh sb="30" eb="31">
      <t>シツ</t>
    </rPh>
    <rPh sb="32" eb="34">
      <t>ハイチ</t>
    </rPh>
    <rPh sb="34" eb="35">
      <t>ズ</t>
    </rPh>
    <rPh sb="35" eb="36">
      <t>オヨ</t>
    </rPh>
    <rPh sb="37" eb="40">
      <t>ヘイメンズ</t>
    </rPh>
    <rPh sb="41" eb="44">
      <t>ヤクザイシ</t>
    </rPh>
    <rPh sb="45" eb="48">
      <t>メンキョショウ</t>
    </rPh>
    <rPh sb="49" eb="50">
      <t>ウツ</t>
    </rPh>
    <phoneticPr fontId="3"/>
  </si>
  <si>
    <t>◎勤務形態一覧は、リハ職員分のみ（算定月）、リハ職員の免許証（写し）</t>
    <rPh sb="24" eb="26">
      <t>ショクイン</t>
    </rPh>
    <phoneticPr fontId="3"/>
  </si>
  <si>
    <t>様式8、当該治療が行われる専用の施設の配置図及び平面図、◎勤務形態一覧は、リハ職員分のみ（算定月）、リハ職員の免許証（写し）</t>
    <rPh sb="0" eb="2">
      <t>ヨウシキ</t>
    </rPh>
    <rPh sb="4" eb="6">
      <t>トウガイ</t>
    </rPh>
    <rPh sb="6" eb="8">
      <t>チリョウ</t>
    </rPh>
    <rPh sb="9" eb="10">
      <t>オコナ</t>
    </rPh>
    <rPh sb="13" eb="15">
      <t>センヨウ</t>
    </rPh>
    <rPh sb="16" eb="18">
      <t>シセツ</t>
    </rPh>
    <rPh sb="19" eb="21">
      <t>ハイチ</t>
    </rPh>
    <rPh sb="21" eb="22">
      <t>ズ</t>
    </rPh>
    <rPh sb="22" eb="23">
      <t>オヨ</t>
    </rPh>
    <rPh sb="24" eb="27">
      <t>ヘイメンズ</t>
    </rPh>
    <phoneticPr fontId="3"/>
  </si>
  <si>
    <t>様式9、当該治療が行われる専用の施設の配置図及び平面図、◎勤務形態一覧は、リハ職員分のみ（算定月）、リハ職員の免許証（写し）</t>
    <rPh sb="0" eb="2">
      <t>ヨウシキ</t>
    </rPh>
    <rPh sb="4" eb="6">
      <t>トウガイ</t>
    </rPh>
    <rPh sb="6" eb="8">
      <t>チリョウ</t>
    </rPh>
    <rPh sb="9" eb="10">
      <t>オコナ</t>
    </rPh>
    <rPh sb="13" eb="15">
      <t>センヨウ</t>
    </rPh>
    <rPh sb="16" eb="18">
      <t>シセツ</t>
    </rPh>
    <rPh sb="19" eb="21">
      <t>ハイチ</t>
    </rPh>
    <rPh sb="21" eb="22">
      <t>ズ</t>
    </rPh>
    <rPh sb="22" eb="23">
      <t>オヨ</t>
    </rPh>
    <rPh sb="24" eb="27">
      <t>ヘイメンズ</t>
    </rPh>
    <phoneticPr fontId="3"/>
  </si>
  <si>
    <t>参考3「通所リハビリテーション算定区分確認表」
※「大規模の事業所(特例)」に変更する場合は、特例の要件を満たしていることが分かる書類。（リハビリテーションマネジメント加算の利用者割合、理学療法士等の数が要件を満たしていることが分かる書類。）</t>
    <rPh sb="0" eb="2">
      <t>サンコウ</t>
    </rPh>
    <rPh sb="39" eb="41">
      <t>ヘンコウ</t>
    </rPh>
    <rPh sb="43" eb="45">
      <t>バアイ</t>
    </rPh>
    <rPh sb="47" eb="49">
      <t>トクレイ</t>
    </rPh>
    <rPh sb="50" eb="52">
      <t>ヨウケン</t>
    </rPh>
    <rPh sb="53" eb="54">
      <t>ミ</t>
    </rPh>
    <rPh sb="62" eb="63">
      <t>ワ</t>
    </rPh>
    <rPh sb="65" eb="67">
      <t>ショルイ</t>
    </rPh>
    <rPh sb="84" eb="86">
      <t>カサン</t>
    </rPh>
    <rPh sb="87" eb="90">
      <t>リヨウシャ</t>
    </rPh>
    <rPh sb="90" eb="92">
      <t>ワリアイ</t>
    </rPh>
    <rPh sb="93" eb="98">
      <t>リガクリョウホウシ</t>
    </rPh>
    <rPh sb="98" eb="99">
      <t>トウ</t>
    </rPh>
    <rPh sb="100" eb="101">
      <t>カズ</t>
    </rPh>
    <rPh sb="102" eb="104">
      <t>ヨウケン</t>
    </rPh>
    <rPh sb="105" eb="106">
      <t>ミ</t>
    </rPh>
    <rPh sb="114" eb="115">
      <t>ワ</t>
    </rPh>
    <rPh sb="117" eb="119">
      <t>ショルイ</t>
    </rPh>
    <phoneticPr fontId="3"/>
  </si>
  <si>
    <t>令和７年４月１日更新</t>
    <rPh sb="3" eb="4">
      <t>ネン</t>
    </rPh>
    <rPh sb="5" eb="6">
      <t>ガツ</t>
    </rPh>
    <rPh sb="7" eb="8">
      <t>ニチ</t>
    </rPh>
    <rPh sb="8" eb="10">
      <t>コウシン</t>
    </rPh>
    <phoneticPr fontId="3"/>
  </si>
  <si>
    <t>届出受理日が
　毎月15日以前の場合→翌月からの算定
　毎月16日以降の場合→翌々月からの算定</t>
    <phoneticPr fontId="3"/>
  </si>
  <si>
    <t>介護事業者課
居宅グループ
０６－６９４４－７０９５</t>
    <rPh sb="0" eb="2">
      <t>カイゴ</t>
    </rPh>
    <rPh sb="2" eb="5">
      <t>ジギョウシャ</t>
    </rPh>
    <rPh sb="5" eb="6">
      <t>カ</t>
    </rPh>
    <phoneticPr fontId="3"/>
  </si>
  <si>
    <t>短療23</t>
    <rPh sb="0" eb="1">
      <t>タン</t>
    </rPh>
    <rPh sb="1" eb="2">
      <t>イヤス</t>
    </rPh>
    <phoneticPr fontId="3"/>
  </si>
  <si>
    <t>短療24</t>
    <rPh sb="0" eb="1">
      <t>タン</t>
    </rPh>
    <rPh sb="1" eb="2">
      <t>リョウ</t>
    </rPh>
    <phoneticPr fontId="3"/>
  </si>
  <si>
    <t>予短療22</t>
    <rPh sb="0" eb="1">
      <t>ヨ</t>
    </rPh>
    <rPh sb="1" eb="2">
      <t>タン</t>
    </rPh>
    <rPh sb="2" eb="3">
      <t>イヤス</t>
    </rPh>
    <phoneticPr fontId="3"/>
  </si>
  <si>
    <t>予短療23</t>
    <rPh sb="0" eb="1">
      <t>ヨ</t>
    </rPh>
    <rPh sb="1" eb="2">
      <t>タン</t>
    </rPh>
    <rPh sb="2" eb="3">
      <t>リョウ</t>
    </rPh>
    <phoneticPr fontId="3"/>
  </si>
  <si>
    <t>訪リハ11</t>
    <rPh sb="0" eb="1">
      <t>ホウ</t>
    </rPh>
    <phoneticPr fontId="3"/>
  </si>
  <si>
    <t>予訪リ08</t>
    <rPh sb="0" eb="1">
      <t>ヨ</t>
    </rPh>
    <rPh sb="1" eb="2">
      <t>ホウ</t>
    </rPh>
    <phoneticPr fontId="3"/>
  </si>
  <si>
    <t>要件を満たすことが分かる委員会の議事概要、別紙２「生産性向上推進体制加算（Ⅰ）の算定に関する取組の成果」（※別紙２「生産性向上推進体制加算（Ⅰ）の算定に関する取組の成果」については、生産性向上推進体制加算Ⅰを算定する場合のみ提出してください）
【事業年度毎の実績データ提出について】
当該加算を算定する場合、事業所における事業年度毎に１回の生産性向上の取り組みに関する実績データを厚生労働省へ報告が必要です。詳細は以下通知をご確認ください。
通知：老高発0927第2号令和6年9月27日</t>
    <rPh sb="21" eb="23">
      <t>ベッシ</t>
    </rPh>
    <rPh sb="54" eb="56">
      <t>ベッシ</t>
    </rPh>
    <rPh sb="91" eb="96">
      <t>セイサンセイコウジョウ</t>
    </rPh>
    <rPh sb="96" eb="100">
      <t>スイシンタイセイ</t>
    </rPh>
    <rPh sb="100" eb="102">
      <t>カサン</t>
    </rPh>
    <rPh sb="104" eb="106">
      <t>サンテイ</t>
    </rPh>
    <rPh sb="108" eb="110">
      <t>バアイ</t>
    </rPh>
    <rPh sb="112" eb="114">
      <t>テイシュツ</t>
    </rPh>
    <rPh sb="135" eb="137">
      <t>テイシュツ</t>
    </rPh>
    <rPh sb="208" eb="210">
      <t>イカ</t>
    </rPh>
    <rPh sb="222" eb="224">
      <t>ツウチ</t>
    </rPh>
    <phoneticPr fontId="3"/>
  </si>
  <si>
    <t>勤務一覧（夜勤加算用）※看護・介護職員分（算定月の前月実績分）※当該施設の夜勤時間帯を明記すること。
参考1「人員基準確認表」、参考2「夜勤職員配置及び夜勤職員配置加算算定表」</t>
    <phoneticPr fontId="3"/>
  </si>
  <si>
    <t>勤務一覧（夜勤加算用）※看護・介護職員分（算定月の前月実績分）※当該施設の夜勤時間帯を明記すること。</t>
    <phoneticPr fontId="3"/>
  </si>
  <si>
    <t>(取り下げ)各種加算における必要な添付書類一覧（介護職員処遇改善加算は除く）</t>
    <rPh sb="1" eb="2">
      <t>ト</t>
    </rPh>
    <rPh sb="3" eb="4">
      <t>サ</t>
    </rPh>
    <rPh sb="6" eb="8">
      <t>カクシュ</t>
    </rPh>
    <rPh sb="35" eb="36">
      <t>ノゾ</t>
    </rPh>
    <phoneticPr fontId="3"/>
  </si>
  <si>
    <t>備考　１　この表は、事業所所在地以外の場所で一部事業を実施する出張所等がある場合について記載することとし、複数出張所等を有する場合は出張所ごとに提出してください。</t>
    <phoneticPr fontId="3"/>
  </si>
  <si>
    <t>認知症加算</t>
    <rPh sb="0" eb="3">
      <t>ニンチショウ</t>
    </rPh>
    <rPh sb="3" eb="5">
      <t>カサン</t>
    </rPh>
    <phoneticPr fontId="3"/>
  </si>
  <si>
    <t>ADL維持等加算〔申出〕の有無</t>
    <phoneticPr fontId="3"/>
  </si>
  <si>
    <t>３ 加算Ⅰロ</t>
    <phoneticPr fontId="3"/>
  </si>
  <si>
    <t>２ 加算Ⅰイ</t>
    <phoneticPr fontId="3"/>
  </si>
  <si>
    <t>個別機能訓練加算</t>
    <phoneticPr fontId="3"/>
  </si>
  <si>
    <t>生活機能向上連携加算</t>
    <rPh sb="0" eb="2">
      <t>セイカツ</t>
    </rPh>
    <rPh sb="2" eb="4">
      <t>キノウ</t>
    </rPh>
    <rPh sb="4" eb="6">
      <t>コウジョウ</t>
    </rPh>
    <rPh sb="6" eb="8">
      <t>レンケイ</t>
    </rPh>
    <rPh sb="8" eb="10">
      <t>カサン</t>
    </rPh>
    <phoneticPr fontId="3"/>
  </si>
  <si>
    <t>中重度者ケア体制加算</t>
  </si>
  <si>
    <t>７　大規模型事業所（Ⅱ）</t>
  </si>
  <si>
    <t>生活相談員配置等加算</t>
    <rPh sb="7" eb="8">
      <t>トウ</t>
    </rPh>
    <phoneticPr fontId="3"/>
  </si>
  <si>
    <t>６　大規模型事業所（Ⅰ）</t>
  </si>
  <si>
    <t>４　通常規模型事業所</t>
  </si>
  <si>
    <t>共生型サービスの提供
（放課後等デイサービス事業所）</t>
    <rPh sb="0" eb="3">
      <t>キョウセイガタ</t>
    </rPh>
    <rPh sb="8" eb="10">
      <t>テイキョウ</t>
    </rPh>
    <rPh sb="22" eb="25">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</si>
  <si>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</si>
  <si>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（自立訓練事業所）</t>
    <rPh sb="0" eb="3">
      <t>キョウセイガタ</t>
    </rPh>
    <rPh sb="8" eb="10">
      <t>テイキョウ</t>
    </rPh>
    <rPh sb="16" eb="19">
      <t>ジギョウショ</t>
    </rPh>
    <phoneticPr fontId="3"/>
  </si>
  <si>
    <t>共生型サービスの提供
（生活介護事業所）</t>
    <rPh sb="0" eb="3">
      <t>キョウセイガタ</t>
    </rPh>
    <rPh sb="8" eb="10">
      <t>テイキョウ</t>
    </rPh>
    <rPh sb="16" eb="18">
      <t>ジギョウ</t>
    </rPh>
    <rPh sb="18" eb="19">
      <t>ショ</t>
    </rPh>
    <phoneticPr fontId="3"/>
  </si>
  <si>
    <t>時間延長サービス体制</t>
  </si>
  <si>
    <t>３ 介護職員</t>
    <rPh sb="2" eb="4">
      <t>カイゴ</t>
    </rPh>
    <rPh sb="4" eb="6">
      <t>ショクイン</t>
    </rPh>
    <phoneticPr fontId="3"/>
  </si>
  <si>
    <t>２ 看護職員</t>
    <rPh sb="2" eb="4">
      <t>カンゴ</t>
    </rPh>
    <rPh sb="4" eb="6">
      <t>ショクイン</t>
    </rPh>
    <phoneticPr fontId="3"/>
  </si>
  <si>
    <t>移行支援加算</t>
    <rPh sb="0" eb="2">
      <t>イコウ</t>
    </rPh>
    <rPh sb="2" eb="4">
      <t>シエン</t>
    </rPh>
    <rPh sb="4" eb="6">
      <t>カサン</t>
    </rPh>
    <phoneticPr fontId="5"/>
  </si>
  <si>
    <t>訪問リハビリテーション</t>
    <phoneticPr fontId="3"/>
  </si>
  <si>
    <t>特別地域加算</t>
  </si>
  <si>
    <t>３　定期巡回・随時対応型サービス連携</t>
  </si>
  <si>
    <t>２　病院又は診療所</t>
  </si>
  <si>
    <t>１　訪問看護ステーション</t>
  </si>
  <si>
    <t>同一建物減算（同一敷地内建物等に居住する者への提供割合90％以上）</t>
    <rPh sb="0" eb="2">
      <t>ドウイツ</t>
    </rPh>
    <rPh sb="2" eb="4">
      <t>タテモノ</t>
    </rPh>
    <rPh sb="4" eb="6">
      <t>ゲンサン</t>
    </rPh>
    <rPh sb="25" eb="27">
      <t>ワリアイ</t>
    </rPh>
    <rPh sb="30" eb="32">
      <t>イジョウ</t>
    </rPh>
    <phoneticPr fontId="3"/>
  </si>
  <si>
    <t>３　通院等乗降介助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</si>
  <si>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3"/>
  </si>
  <si>
    <t>２　生活援助</t>
  </si>
  <si>
    <t>１　身体介護</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</si>
  <si>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3"/>
  </si>
  <si>
    <t>共生型サービスの提供
（重度訪問介護事業所）</t>
    <rPh sb="0" eb="3">
      <t>キョウセイガタ</t>
    </rPh>
    <rPh sb="8" eb="10">
      <t>テイキョウ</t>
    </rPh>
    <rPh sb="18" eb="21">
      <t>ジギョウショ</t>
    </rPh>
    <phoneticPr fontId="3"/>
  </si>
  <si>
    <t>共生型サービスの提供
（居宅介護事業所）</t>
    <rPh sb="0" eb="3">
      <t>キョウセイガタ</t>
    </rPh>
    <rPh sb="8" eb="10">
      <t>テイキョウ</t>
    </rPh>
    <rPh sb="16" eb="19">
      <t>ジギョウショ</t>
    </rPh>
    <phoneticPr fontId="3"/>
  </si>
  <si>
    <t>３　定期巡回の整備計画がある</t>
  </si>
  <si>
    <t>２　定期巡回の指定を受けている</t>
  </si>
  <si>
    <t>１　定期巡回の指定を受けていない</t>
  </si>
  <si>
    <t>定期巡回・随時対応サービスに関する状況</t>
    <rPh sb="0" eb="2">
      <t>テイキ</t>
    </rPh>
    <rPh sb="2" eb="4">
      <t>ジュンカイ</t>
    </rPh>
    <rPh sb="5" eb="7">
      <t>ズイジ</t>
    </rPh>
    <rPh sb="7" eb="9">
      <t>タイオウ</t>
    </rPh>
    <rPh sb="14" eb="15">
      <t>カン</t>
    </rPh>
    <rPh sb="17" eb="19">
      <t>ジョウキョウ</t>
    </rPh>
    <phoneticPr fontId="5"/>
  </si>
  <si>
    <t>提供サービス</t>
  </si>
  <si>
    <t>##SATELLITE</t>
    <phoneticPr fontId="3"/>
  </si>
  <si>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3"/>
  </si>
  <si>
    <t>Ａ 加算Ⅳ</t>
    <phoneticPr fontId="3"/>
  </si>
  <si>
    <t>９ 加算Ⅲ</t>
    <phoneticPr fontId="3"/>
  </si>
  <si>
    <t>８ 加算Ⅱ</t>
    <rPh sb="2" eb="4">
      <t>カサン</t>
    </rPh>
    <phoneticPr fontId="3"/>
  </si>
  <si>
    <t>７ 加算Ⅰ</t>
    <phoneticPr fontId="3"/>
  </si>
  <si>
    <t>介護職員等処遇改善加算</t>
    <phoneticPr fontId="5"/>
  </si>
  <si>
    <t>重度認知症疾患療養体制加算</t>
    <phoneticPr fontId="3"/>
  </si>
  <si>
    <t>若年性認知症入所者受入加算</t>
    <rPh sb="0" eb="3">
      <t>ジャクネンセイ</t>
    </rPh>
    <rPh sb="3" eb="6">
      <t>ニンチショウ</t>
    </rPh>
    <rPh sb="6" eb="9">
      <t>ニュウショシャ</t>
    </rPh>
    <rPh sb="9" eb="11">
      <t>ウケイレ</t>
    </rPh>
    <rPh sb="11" eb="13">
      <t>カサン</t>
    </rPh>
    <phoneticPr fontId="3"/>
  </si>
  <si>
    <t>２ 減算型</t>
    <rPh sb="2" eb="4">
      <t>ゲンサン</t>
    </rPh>
    <rPh sb="4" eb="5">
      <t>ガタ</t>
    </rPh>
    <phoneticPr fontId="3"/>
  </si>
  <si>
    <t>１ 基準型</t>
    <rPh sb="2" eb="4">
      <t>キジュン</t>
    </rPh>
    <phoneticPr fontId="3"/>
  </si>
  <si>
    <t>療養環境基準（療養室）</t>
    <rPh sb="7" eb="10">
      <t>リョウヨウシツ</t>
    </rPh>
    <phoneticPr fontId="3"/>
  </si>
  <si>
    <t>２　Ⅱ型</t>
  </si>
  <si>
    <t>療養環境基準（廊下）</t>
    <rPh sb="7" eb="9">
      <t>ロウカ</t>
    </rPh>
    <phoneticPr fontId="3"/>
  </si>
  <si>
    <t>１　Ⅰ型</t>
  </si>
  <si>
    <t>６　ユニット型特別介護医療院</t>
    <rPh sb="6" eb="7">
      <t>ガタ</t>
    </rPh>
    <rPh sb="7" eb="9">
      <t>トクベツ</t>
    </rPh>
    <rPh sb="9" eb="11">
      <t>カイゴ</t>
    </rPh>
    <rPh sb="11" eb="13">
      <t>イリョウ</t>
    </rPh>
    <rPh sb="13" eb="14">
      <t>イン</t>
    </rPh>
    <phoneticPr fontId="3"/>
  </si>
  <si>
    <t>介護医療院サービス</t>
    <phoneticPr fontId="3"/>
  </si>
  <si>
    <t>６ 介護支援専門員</t>
    <rPh sb="2" eb="4">
      <t>カイゴ</t>
    </rPh>
    <rPh sb="4" eb="6">
      <t>シエン</t>
    </rPh>
    <rPh sb="6" eb="9">
      <t>センモンイン</t>
    </rPh>
    <phoneticPr fontId="3"/>
  </si>
  <si>
    <t>５ 介護職員</t>
    <rPh sb="2" eb="4">
      <t>カイゴ</t>
    </rPh>
    <rPh sb="4" eb="6">
      <t>ショクイン</t>
    </rPh>
    <phoneticPr fontId="3"/>
  </si>
  <si>
    <t>４ 看護職員</t>
    <rPh sb="2" eb="4">
      <t>カンゴ</t>
    </rPh>
    <rPh sb="4" eb="6">
      <t>ショクイン</t>
    </rPh>
    <phoneticPr fontId="3"/>
  </si>
  <si>
    <t>３ 薬剤師</t>
    <rPh sb="2" eb="5">
      <t>ヤクザイシ</t>
    </rPh>
    <phoneticPr fontId="3"/>
  </si>
  <si>
    <t>５ 加算型Ⅳ</t>
    <rPh sb="2" eb="4">
      <t>カサン</t>
    </rPh>
    <rPh sb="4" eb="5">
      <t>ガタ</t>
    </rPh>
    <phoneticPr fontId="3"/>
  </si>
  <si>
    <t>７ 加算型Ⅲ</t>
    <rPh sb="2" eb="4">
      <t>カサン</t>
    </rPh>
    <rPh sb="4" eb="5">
      <t>ガタ</t>
    </rPh>
    <phoneticPr fontId="3"/>
  </si>
  <si>
    <t>３ 加算型Ⅱ</t>
    <rPh sb="2" eb="4">
      <t>カサン</t>
    </rPh>
    <rPh sb="4" eb="5">
      <t>ガタ</t>
    </rPh>
    <phoneticPr fontId="3"/>
  </si>
  <si>
    <t>２ 加算型Ⅰ</t>
    <rPh sb="2" eb="4">
      <t>カサン</t>
    </rPh>
    <rPh sb="4" eb="5">
      <t>ガタ</t>
    </rPh>
    <phoneticPr fontId="3"/>
  </si>
  <si>
    <t>重度認知症疾患療養体制加算</t>
    <rPh sb="0" eb="2">
      <t>ジュウド</t>
    </rPh>
    <rPh sb="2" eb="5">
      <t>ニンチショウ</t>
    </rPh>
    <rPh sb="5" eb="7">
      <t>シッカン</t>
    </rPh>
    <rPh sb="7" eb="9">
      <t>リョウヨウ</t>
    </rPh>
    <rPh sb="9" eb="11">
      <t>タイセイ</t>
    </rPh>
    <rPh sb="11" eb="13">
      <t>カサン</t>
    </rPh>
    <phoneticPr fontId="3"/>
  </si>
  <si>
    <t>認知症短期集中ﾘﾊﾋﾞﾘﾃｰｼｮﾝ加算</t>
    <rPh sb="0" eb="3">
      <t>ニンチショウ</t>
    </rPh>
    <rPh sb="3" eb="5">
      <t>タンキ</t>
    </rPh>
    <rPh sb="5" eb="7">
      <t>シュウチュウ</t>
    </rPh>
    <rPh sb="17" eb="19">
      <t>カサン</t>
    </rPh>
    <phoneticPr fontId="3"/>
  </si>
  <si>
    <t>４ 言語聴覚療法 注５</t>
    <rPh sb="2" eb="4">
      <t>ゲンゴ</t>
    </rPh>
    <rPh sb="4" eb="6">
      <t>チョウカク</t>
    </rPh>
    <rPh sb="6" eb="8">
      <t>リョウホウ</t>
    </rPh>
    <rPh sb="9" eb="10">
      <t>チュウ</t>
    </rPh>
    <phoneticPr fontId="3"/>
  </si>
  <si>
    <t>３ 作業療法 注７</t>
    <rPh sb="2" eb="4">
      <t>サギョウ</t>
    </rPh>
    <rPh sb="4" eb="6">
      <t>リョウホウ</t>
    </rPh>
    <rPh sb="7" eb="8">
      <t>チュウ</t>
    </rPh>
    <phoneticPr fontId="3"/>
  </si>
  <si>
    <t>２ 理学療法 注７</t>
    <rPh sb="2" eb="4">
      <t>リガク</t>
    </rPh>
    <rPh sb="4" eb="6">
      <t>リョウホウ</t>
    </rPh>
    <rPh sb="7" eb="8">
      <t>チュウ</t>
    </rPh>
    <phoneticPr fontId="3"/>
  </si>
  <si>
    <t>リハビリテーション・口腔・栄養
に係る計画の提出</t>
    <rPh sb="10" eb="12">
      <t>コウクウ</t>
    </rPh>
    <rPh sb="13" eb="15">
      <t>エイヨウ</t>
    </rPh>
    <rPh sb="17" eb="18">
      <t>カカ</t>
    </rPh>
    <rPh sb="19" eb="21">
      <t>ケイカク</t>
    </rPh>
    <rPh sb="22" eb="24">
      <t>テイシュツ</t>
    </rPh>
    <phoneticPr fontId="3"/>
  </si>
  <si>
    <t>６ その他</t>
    <rPh sb="4" eb="5">
      <t>タ</t>
    </rPh>
    <phoneticPr fontId="3"/>
  </si>
  <si>
    <t>５ 精神科作業療法</t>
    <rPh sb="2" eb="5">
      <t>セイシンカ</t>
    </rPh>
    <rPh sb="5" eb="7">
      <t>サギョウ</t>
    </rPh>
    <rPh sb="7" eb="9">
      <t>リョウホウ</t>
    </rPh>
    <phoneticPr fontId="3"/>
  </si>
  <si>
    <t>４ 言語聴覚療法</t>
    <rPh sb="2" eb="4">
      <t>ゲンゴ</t>
    </rPh>
    <rPh sb="4" eb="6">
      <t>チョウカク</t>
    </rPh>
    <rPh sb="6" eb="8">
      <t>リョウホウ</t>
    </rPh>
    <phoneticPr fontId="3"/>
  </si>
  <si>
    <t>３ 作業療法</t>
    <rPh sb="2" eb="4">
      <t>サギョウ</t>
    </rPh>
    <rPh sb="4" eb="6">
      <t>リョウホウ</t>
    </rPh>
    <phoneticPr fontId="3"/>
  </si>
  <si>
    <t>２ 理学療法Ⅰ</t>
    <rPh sb="2" eb="4">
      <t>リガク</t>
    </rPh>
    <rPh sb="4" eb="6">
      <t>リョウホウ</t>
    </rPh>
    <phoneticPr fontId="3"/>
  </si>
  <si>
    <t>３ 集団コミュニケーション療法</t>
    <phoneticPr fontId="3"/>
  </si>
  <si>
    <t>５　ユニット型Ⅱ型介護医療院</t>
  </si>
  <si>
    <t>介護医療院サービス</t>
  </si>
  <si>
    <t>特別診療費項目</t>
    <rPh sb="0" eb="2">
      <t>トクベツ</t>
    </rPh>
    <rPh sb="2" eb="5">
      <t>シンリョウヒ</t>
    </rPh>
    <phoneticPr fontId="3"/>
  </si>
  <si>
    <t>２　Ⅰ型（Ⅱ）</t>
  </si>
  <si>
    <t>１　Ⅰ型（Ⅰ）</t>
  </si>
  <si>
    <t>４　ユニット型Ⅰ型介護医療院</t>
  </si>
  <si>
    <t>２ 該当</t>
    <phoneticPr fontId="3"/>
  </si>
  <si>
    <t>１ 非該当</t>
    <phoneticPr fontId="3"/>
  </si>
  <si>
    <t>■</t>
  </si>
  <si>
    <t>室料相当額控除</t>
    <phoneticPr fontId="3"/>
  </si>
  <si>
    <t>３　特別介護医療院</t>
  </si>
  <si>
    <t>３　Ⅱ型（Ⅲ）</t>
  </si>
  <si>
    <t>２　Ⅱ型（Ⅱ）</t>
  </si>
  <si>
    <t>２　Ⅱ型介護医療院</t>
    <rPh sb="4" eb="6">
      <t>カイゴ</t>
    </rPh>
    <rPh sb="6" eb="8">
      <t>イリョウ</t>
    </rPh>
    <rPh sb="8" eb="9">
      <t>イン</t>
    </rPh>
    <phoneticPr fontId="3"/>
  </si>
  <si>
    <t>介護医療院サービス</t>
    <rPh sb="0" eb="2">
      <t>カイゴ</t>
    </rPh>
    <rPh sb="2" eb="4">
      <t>イリョウ</t>
    </rPh>
    <rPh sb="4" eb="5">
      <t>イン</t>
    </rPh>
    <phoneticPr fontId="3"/>
  </si>
  <si>
    <t>１　Ⅱ型（Ⅰ）</t>
  </si>
  <si>
    <t>３　Ⅰ型（Ⅲ）</t>
  </si>
  <si>
    <t>１　Ⅰ型介護医療院</t>
  </si>
  <si>
    <t>在宅・入所相互利用体制</t>
    <rPh sb="0" eb="2">
      <t>ザイタク</t>
    </rPh>
    <rPh sb="3" eb="5">
      <t>ニュウショ</t>
    </rPh>
    <rPh sb="5" eb="7">
      <t>ソウゴ</t>
    </rPh>
    <rPh sb="7" eb="9">
      <t>リヨウ</t>
    </rPh>
    <rPh sb="9" eb="11">
      <t>タイセイ</t>
    </rPh>
    <phoneticPr fontId="3"/>
  </si>
  <si>
    <t>看取り介護体制</t>
    <rPh sb="0" eb="2">
      <t>ミト</t>
    </rPh>
    <rPh sb="3" eb="5">
      <t>カイゴ</t>
    </rPh>
    <rPh sb="5" eb="7">
      <t>タイセイ</t>
    </rPh>
    <phoneticPr fontId="3"/>
  </si>
  <si>
    <t>配置医師緊急時対応加算</t>
    <rPh sb="6" eb="7">
      <t>ジ</t>
    </rPh>
    <phoneticPr fontId="3"/>
  </si>
  <si>
    <t>障害者生活支援体制</t>
    <phoneticPr fontId="3"/>
  </si>
  <si>
    <t>精神科医師定期的療養指導</t>
  </si>
  <si>
    <t>常勤専従医師配置</t>
  </si>
  <si>
    <t>４　経過的ユニット型小規模介護福祉施設</t>
  </si>
  <si>
    <t>ADL維持等加算〔申出〕の有無</t>
  </si>
  <si>
    <t>３　ユニット型介護福祉施設</t>
  </si>
  <si>
    <t>５ 加算Ⅲ</t>
    <rPh sb="2" eb="4">
      <t>カサン</t>
    </rPh>
    <phoneticPr fontId="3"/>
  </si>
  <si>
    <t>４ 加算Ⅱ</t>
    <rPh sb="2" eb="4">
      <t>カサン</t>
    </rPh>
    <phoneticPr fontId="3"/>
  </si>
  <si>
    <t>３ 加算Ⅰ</t>
    <rPh sb="2" eb="4">
      <t>カサン</t>
    </rPh>
    <phoneticPr fontId="3"/>
  </si>
  <si>
    <t>個別機能訓練加算</t>
    <rPh sb="0" eb="2">
      <t>コベツ</t>
    </rPh>
    <rPh sb="6" eb="8">
      <t>カサン</t>
    </rPh>
    <phoneticPr fontId="3"/>
  </si>
  <si>
    <t>２　経過的小規模介護福祉施設</t>
  </si>
  <si>
    <t>介護福祉施設サービス</t>
    <rPh sb="4" eb="6">
      <t>シセツ</t>
    </rPh>
    <phoneticPr fontId="3"/>
  </si>
  <si>
    <t>生活機能向上連携加算</t>
    <phoneticPr fontId="3"/>
  </si>
  <si>
    <t>１　介護福祉施設</t>
  </si>
  <si>
    <t>準ユニットケア体制</t>
    <rPh sb="0" eb="1">
      <t>ジュン</t>
    </rPh>
    <rPh sb="7" eb="9">
      <t>タイセイ</t>
    </rPh>
    <phoneticPr fontId="3"/>
  </si>
  <si>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</si>
  <si>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３ 加算Ⅲ・加算Ⅳ</t>
    <rPh sb="6" eb="8">
      <t>カサン</t>
    </rPh>
    <phoneticPr fontId="3"/>
  </si>
  <si>
    <t>２ 加算Ⅰ・加算Ⅱ</t>
    <rPh sb="6" eb="8">
      <t>カサン</t>
    </rPh>
    <phoneticPr fontId="3"/>
  </si>
  <si>
    <t>看護体制加算Ⅱ</t>
    <rPh sb="0" eb="2">
      <t>カンゴ</t>
    </rPh>
    <rPh sb="2" eb="4">
      <t>タイセイ</t>
    </rPh>
    <rPh sb="4" eb="6">
      <t>カサン</t>
    </rPh>
    <phoneticPr fontId="3"/>
  </si>
  <si>
    <t>看護体制加算Ⅰ</t>
    <rPh sb="0" eb="2">
      <t>カンゴ</t>
    </rPh>
    <rPh sb="2" eb="4">
      <t>タイセイ</t>
    </rPh>
    <rPh sb="4" eb="6">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</si>
  <si>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</si>
  <si>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日常生活継続支援加算</t>
    <rPh sb="0" eb="2">
      <t>ニチジョウ</t>
    </rPh>
    <rPh sb="2" eb="4">
      <t>セイカツ</t>
    </rPh>
    <rPh sb="4" eb="6">
      <t>ケイゾク</t>
    </rPh>
    <rPh sb="6" eb="8">
      <t>シエン</t>
    </rPh>
    <rPh sb="8" eb="10">
      <t>カサン</t>
    </rPh>
    <phoneticPr fontId="3"/>
  </si>
  <si>
    <t>４ 介護支援専門員</t>
    <rPh sb="2" eb="4">
      <t>カイゴ</t>
    </rPh>
    <rPh sb="4" eb="6">
      <t>シエン</t>
    </rPh>
    <rPh sb="6" eb="8">
      <t>センモン</t>
    </rPh>
    <phoneticPr fontId="3"/>
  </si>
  <si>
    <t>ターミナルケアマネジメント加算</t>
    <rPh sb="13" eb="15">
      <t>カサン</t>
    </rPh>
    <phoneticPr fontId="3"/>
  </si>
  <si>
    <t>特定事業所医療介護連携加算</t>
    <rPh sb="0" eb="5">
      <t>トクテイジギョウショ</t>
    </rPh>
    <phoneticPr fontId="3"/>
  </si>
  <si>
    <t>５ 加算Ａ</t>
    <phoneticPr fontId="3"/>
  </si>
  <si>
    <t>４ 加算Ⅲ</t>
    <phoneticPr fontId="3"/>
  </si>
  <si>
    <t>特定事業所加算</t>
    <rPh sb="2" eb="5">
      <t>ジギョウショ</t>
    </rPh>
    <rPh sb="5" eb="7">
      <t>カサン</t>
    </rPh>
    <phoneticPr fontId="3"/>
  </si>
  <si>
    <t>特定事業所集中減算</t>
    <rPh sb="0" eb="2">
      <t>トクテイ</t>
    </rPh>
    <rPh sb="2" eb="5">
      <t>ジギョウショ</t>
    </rPh>
    <rPh sb="5" eb="7">
      <t>シュウチュウ</t>
    </rPh>
    <rPh sb="7" eb="9">
      <t>ゲンサン</t>
    </rPh>
    <phoneticPr fontId="3"/>
  </si>
  <si>
    <t>居宅介護支援</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</si>
  <si>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3"/>
  </si>
  <si>
    <t>特別地域加算</t>
    <phoneticPr fontId="3"/>
  </si>
  <si>
    <t>サービス提供体制強化加算</t>
    <phoneticPr fontId="3"/>
  </si>
  <si>
    <t>６　軽費老人ホーム（混合型）</t>
  </si>
  <si>
    <t>５　有料老人ホーム（混合型）</t>
  </si>
  <si>
    <t>(短期利用型)</t>
  </si>
  <si>
    <t>若年性認知症入居者受入加算</t>
    <phoneticPr fontId="3"/>
  </si>
  <si>
    <t>２　軽費老人ホーム（介護専用型）</t>
  </si>
  <si>
    <t>２ 加算Ⅱ</t>
    <rPh sb="2" eb="4">
      <t>カサン</t>
    </rPh>
    <phoneticPr fontId="3"/>
  </si>
  <si>
    <t>夜間看護体制加算</t>
    <rPh sb="0" eb="2">
      <t>ヤカン</t>
    </rPh>
    <rPh sb="2" eb="4">
      <t>カンゴ</t>
    </rPh>
    <rPh sb="4" eb="6">
      <t>タイセイ</t>
    </rPh>
    <rPh sb="6" eb="8">
      <t>カサン</t>
    </rPh>
    <phoneticPr fontId="3"/>
  </si>
  <si>
    <t>１　有料老人ホーム（介護専用型）</t>
  </si>
  <si>
    <t>看取り介護加算</t>
    <rPh sb="0" eb="2">
      <t>ミト</t>
    </rPh>
    <rPh sb="3" eb="5">
      <t>カイゴ</t>
    </rPh>
    <rPh sb="5" eb="7">
      <t>カサン</t>
    </rPh>
    <phoneticPr fontId="3"/>
  </si>
  <si>
    <t>７　養護老人ホーム（混合型）</t>
  </si>
  <si>
    <t>　　利用型</t>
  </si>
  <si>
    <t>２　外部サービス</t>
  </si>
  <si>
    <t>３　養護老人ホーム（介護専用型）</t>
  </si>
  <si>
    <t>特定施設入居者生活介護</t>
    <phoneticPr fontId="3"/>
  </si>
  <si>
    <t>１　一般型</t>
  </si>
  <si>
    <t>テクノロジーの導入
（入居継続支援加算関係）</t>
    <rPh sb="11" eb="13">
      <t>ニュウキョ</t>
    </rPh>
    <rPh sb="13" eb="15">
      <t>ケイゾク</t>
    </rPh>
    <rPh sb="15" eb="17">
      <t>シエン</t>
    </rPh>
    <rPh sb="17" eb="19">
      <t>カサン</t>
    </rPh>
    <rPh sb="19" eb="21">
      <t>カンケイ</t>
    </rPh>
    <phoneticPr fontId="3"/>
  </si>
  <si>
    <t>入居継続支援加算</t>
    <rPh sb="0" eb="2">
      <t>ニュウキョ</t>
    </rPh>
    <rPh sb="2" eb="4">
      <t>ケイゾク</t>
    </rPh>
    <rPh sb="4" eb="6">
      <t>シエン</t>
    </rPh>
    <phoneticPr fontId="3"/>
  </si>
  <si>
    <t>併設本体施設における介護職員等処遇改善加算Ⅰの届出状況</t>
    <phoneticPr fontId="3"/>
  </si>
  <si>
    <t>６　ユニット型特別介護医療院</t>
  </si>
  <si>
    <t>2A</t>
    <phoneticPr fontId="3"/>
  </si>
  <si>
    <t>特別診療費項目</t>
    <rPh sb="0" eb="1">
      <t>トク</t>
    </rPh>
    <rPh sb="1" eb="2">
      <t>ベツ</t>
    </rPh>
    <phoneticPr fontId="3"/>
  </si>
  <si>
    <t>４　ユニット型Ⅰ型介護医療院</t>
    <rPh sb="8" eb="9">
      <t>ガタ</t>
    </rPh>
    <rPh sb="9" eb="11">
      <t>カイゴ</t>
    </rPh>
    <rPh sb="11" eb="13">
      <t>イリョウ</t>
    </rPh>
    <rPh sb="13" eb="14">
      <t>イン</t>
    </rPh>
    <phoneticPr fontId="3"/>
  </si>
  <si>
    <t>特別診療費項目</t>
    <rPh sb="0" eb="2">
      <t>トクベツ</t>
    </rPh>
    <phoneticPr fontId="3"/>
  </si>
  <si>
    <t>２　Ⅱ型介護医療院</t>
  </si>
  <si>
    <t xml:space="preserve">３　Ⅰ型（Ⅲ） </t>
  </si>
  <si>
    <t>送迎体制</t>
    <phoneticPr fontId="3"/>
  </si>
  <si>
    <t>夜間勤務条件基準</t>
    <phoneticPr fontId="3"/>
  </si>
  <si>
    <t>ﾘﾊﾋﾞﾘﾃｰｼｮﾝ提供体制</t>
    <phoneticPr fontId="3"/>
  </si>
  <si>
    <t>特定診療費項目</t>
    <phoneticPr fontId="3"/>
  </si>
  <si>
    <t>　　強化型Ｂ</t>
  </si>
  <si>
    <t>３　療養機能</t>
  </si>
  <si>
    <t>　　強化型Ａ</t>
  </si>
  <si>
    <t>２　療養機能</t>
  </si>
  <si>
    <t>７　ユニット型診療所型</t>
  </si>
  <si>
    <t>　　強化型以外</t>
  </si>
  <si>
    <t>１　療養機能</t>
  </si>
  <si>
    <t>食堂の有無</t>
    <rPh sb="0" eb="2">
      <t>ショクドウ</t>
    </rPh>
    <rPh sb="3" eb="5">
      <t>ウム</t>
    </rPh>
    <phoneticPr fontId="3"/>
  </si>
  <si>
    <t>設備基準</t>
    <rPh sb="0" eb="2">
      <t>セツビ</t>
    </rPh>
    <rPh sb="2" eb="4">
      <t>キジュン</t>
    </rPh>
    <phoneticPr fontId="3"/>
  </si>
  <si>
    <t>　　強化型Ｂ）</t>
  </si>
  <si>
    <t>特定診療費項目</t>
  </si>
  <si>
    <t>４　Ⅰ型（療養機能</t>
  </si>
  <si>
    <t>　　強化型Ａ）</t>
    <phoneticPr fontId="3"/>
  </si>
  <si>
    <t>２　診療所型</t>
  </si>
  <si>
    <t>３　Ⅰ型（療養機能</t>
  </si>
  <si>
    <t>　　強化型以外）</t>
  </si>
  <si>
    <t>１　Ⅰ型（療養機能</t>
  </si>
  <si>
    <t>３　Ⅱ型</t>
  </si>
  <si>
    <t>Ｃ　ユニット型病院経過型</t>
  </si>
  <si>
    <t>２　Ⅰ型</t>
  </si>
  <si>
    <t>Ａ　病院経過型</t>
  </si>
  <si>
    <t>２ 医療法施行規則第49条適用</t>
    <rPh sb="2" eb="4">
      <t>イリョウ</t>
    </rPh>
    <rPh sb="4" eb="5">
      <t>ホウ</t>
    </rPh>
    <rPh sb="5" eb="7">
      <t>シコウ</t>
    </rPh>
    <rPh sb="7" eb="9">
      <t>キソク</t>
    </rPh>
    <rPh sb="9" eb="10">
      <t>ダイ</t>
    </rPh>
    <rPh sb="12" eb="13">
      <t>ジョウ</t>
    </rPh>
    <rPh sb="13" eb="15">
      <t>テキヨウ</t>
    </rPh>
    <phoneticPr fontId="3"/>
  </si>
  <si>
    <t>１ 基準</t>
    <rPh sb="2" eb="4">
      <t>キジュン</t>
    </rPh>
    <phoneticPr fontId="3"/>
  </si>
  <si>
    <t>医師の配置基準</t>
  </si>
  <si>
    <t>療養環境基準</t>
    <phoneticPr fontId="3"/>
  </si>
  <si>
    <t>６　ユニット型病院療養型</t>
  </si>
  <si>
    <t>４　Ⅲ型</t>
  </si>
  <si>
    <t>　　強化型）</t>
  </si>
  <si>
    <t>７　Ⅱ型（療養機能</t>
  </si>
  <si>
    <t>３　Ⅱ型（療養機能</t>
  </si>
  <si>
    <t>１　病院療養型</t>
  </si>
  <si>
    <t>６　Ⅰ型（療養機能</t>
  </si>
  <si>
    <t>　　強化型Ａ）</t>
  </si>
  <si>
    <t>５　Ⅰ型（療養機能</t>
  </si>
  <si>
    <t>２　Ⅰ型（療養機能</t>
  </si>
  <si>
    <t>７ 加算Ⅲ</t>
    <rPh sb="2" eb="4">
      <t>カサン</t>
    </rPh>
    <phoneticPr fontId="3"/>
  </si>
  <si>
    <t>５ 加算Ⅱ</t>
    <rPh sb="2" eb="4">
      <t>カサン</t>
    </rPh>
    <phoneticPr fontId="3"/>
  </si>
  <si>
    <t>６ 加算Ⅰ</t>
    <rPh sb="2" eb="4">
      <t>カサン</t>
    </rPh>
    <phoneticPr fontId="3"/>
  </si>
  <si>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3"/>
  </si>
  <si>
    <t>サービス提供体制強化加算
（単独型）</t>
    <rPh sb="4" eb="6">
      <t>テイキョウ</t>
    </rPh>
    <rPh sb="6" eb="8">
      <t>タイセイ</t>
    </rPh>
    <rPh sb="8" eb="10">
      <t>キョウカ</t>
    </rPh>
    <rPh sb="10" eb="12">
      <t>カサン</t>
    </rPh>
    <rPh sb="14" eb="17">
      <t>タンドクガタ</t>
    </rPh>
    <phoneticPr fontId="3"/>
  </si>
  <si>
    <t>４　併設型・空床型ユニット型</t>
  </si>
  <si>
    <t>３ 加算Ⅲ・加算Ⅳ</t>
    <rPh sb="2" eb="4">
      <t>カサン</t>
    </rPh>
    <rPh sb="6" eb="8">
      <t>カサン</t>
    </rPh>
    <phoneticPr fontId="3"/>
  </si>
  <si>
    <t>３　単独型ユニット型</t>
  </si>
  <si>
    <t>看取り連携体制加算</t>
    <phoneticPr fontId="3"/>
  </si>
  <si>
    <t>２　併設型・空床型</t>
  </si>
  <si>
    <t>短期入所生活介護</t>
    <phoneticPr fontId="3"/>
  </si>
  <si>
    <t>医療連携強化加算</t>
    <rPh sb="0" eb="2">
      <t>イリョウ</t>
    </rPh>
    <rPh sb="2" eb="4">
      <t>レンケイ</t>
    </rPh>
    <rPh sb="4" eb="6">
      <t>キョウカ</t>
    </rPh>
    <rPh sb="6" eb="8">
      <t>カサン</t>
    </rPh>
    <phoneticPr fontId="3"/>
  </si>
  <si>
    <t>１　単独型</t>
  </si>
  <si>
    <t>３ 加算Ⅳ</t>
    <phoneticPr fontId="3"/>
  </si>
  <si>
    <t>看護体制加算Ⅱ又はⅣ</t>
    <rPh sb="0" eb="2">
      <t>カンゴ</t>
    </rPh>
    <rPh sb="2" eb="4">
      <t>タイセイ</t>
    </rPh>
    <rPh sb="4" eb="6">
      <t>カサン</t>
    </rPh>
    <rPh sb="7" eb="8">
      <t>マタ</t>
    </rPh>
    <phoneticPr fontId="3"/>
  </si>
  <si>
    <t>３ 加算Ⅲ</t>
    <phoneticPr fontId="3"/>
  </si>
  <si>
    <t>看護体制加算Ⅰ又はⅢ</t>
    <rPh sb="0" eb="2">
      <t>カンゴ</t>
    </rPh>
    <rPh sb="2" eb="4">
      <t>タイセイ</t>
    </rPh>
    <rPh sb="4" eb="6">
      <t>カサン</t>
    </rPh>
    <rPh sb="7" eb="8">
      <t>マタ</t>
    </rPh>
    <phoneticPr fontId="3"/>
  </si>
  <si>
    <t>個別機能訓練体制</t>
    <rPh sb="0" eb="2">
      <t>コベツ</t>
    </rPh>
    <rPh sb="2" eb="4">
      <t>キノウ</t>
    </rPh>
    <rPh sb="4" eb="6">
      <t>クンレン</t>
    </rPh>
    <rPh sb="6" eb="8">
      <t>タイセイ</t>
    </rPh>
    <phoneticPr fontId="3"/>
  </si>
  <si>
    <t>機能訓練指導体制</t>
  </si>
  <si>
    <t>生活相談員配置等加算</t>
    <rPh sb="0" eb="2">
      <t>セイカツ</t>
    </rPh>
    <rPh sb="2" eb="5">
      <t>ソウダンイン</t>
    </rPh>
    <rPh sb="5" eb="7">
      <t>ハイチ</t>
    </rPh>
    <rPh sb="7" eb="8">
      <t>トウ</t>
    </rPh>
    <rPh sb="8" eb="10">
      <t>カサン</t>
    </rPh>
    <phoneticPr fontId="3"/>
  </si>
  <si>
    <t>共生型サービスの提供
（短期入所事業所）</t>
    <rPh sb="0" eb="3">
      <t>キョウセイガタ</t>
    </rPh>
    <rPh sb="8" eb="10">
      <t>テイキョウ</t>
    </rPh>
    <rPh sb="12" eb="14">
      <t>タンキ</t>
    </rPh>
    <rPh sb="14" eb="16">
      <t>ニュウショ</t>
    </rPh>
    <rPh sb="16" eb="19">
      <t>ジギョウショ</t>
    </rPh>
    <phoneticPr fontId="3"/>
  </si>
  <si>
    <t>個別機能訓練加算</t>
    <rPh sb="0" eb="2">
      <t>コベツ</t>
    </rPh>
    <rPh sb="2" eb="4">
      <t>キノウ</t>
    </rPh>
    <rPh sb="4" eb="8">
      <t>クンレンカサン</t>
    </rPh>
    <phoneticPr fontId="3"/>
  </si>
  <si>
    <t>在宅中心静脈栄養法加算</t>
    <phoneticPr fontId="3"/>
  </si>
  <si>
    <t>医療用麻薬持続注射療法加算</t>
    <phoneticPr fontId="3"/>
  </si>
  <si>
    <t>居宅療養管理指導</t>
    <rPh sb="0" eb="2">
      <t>キョタク</t>
    </rPh>
    <rPh sb="2" eb="4">
      <t>リョウヨウ</t>
    </rPh>
    <rPh sb="4" eb="6">
      <t>カンリ</t>
    </rPh>
    <rPh sb="6" eb="8">
      <t>シドウ</t>
    </rPh>
    <phoneticPr fontId="3"/>
  </si>
  <si>
    <t>３ 加算Ⅱ（ハの場合）</t>
    <phoneticPr fontId="3"/>
  </si>
  <si>
    <t>５ 加算Ⅰ（ハの場合）</t>
    <phoneticPr fontId="3"/>
  </si>
  <si>
    <t>２ 加算Ⅱ（イ及びロの場合）</t>
    <rPh sb="7" eb="8">
      <t>オヨ</t>
    </rPh>
    <rPh sb="11" eb="13">
      <t>バアイ</t>
    </rPh>
    <phoneticPr fontId="3"/>
  </si>
  <si>
    <t>４ 加算Ⅰ（イ及びロの場合）</t>
    <rPh sb="7" eb="8">
      <t>オヨ</t>
    </rPh>
    <rPh sb="11" eb="13">
      <t>バアイ</t>
    </rPh>
    <phoneticPr fontId="3"/>
  </si>
  <si>
    <t>看護体制強化加算</t>
    <rPh sb="0" eb="2">
      <t>カンゴ</t>
    </rPh>
    <rPh sb="2" eb="4">
      <t>タイセイ</t>
    </rPh>
    <rPh sb="4" eb="6">
      <t>キョウカ</t>
    </rPh>
    <rPh sb="6" eb="8">
      <t>カサン</t>
    </rPh>
    <phoneticPr fontId="5"/>
  </si>
  <si>
    <t>遠隔死亡診断補助加算</t>
    <rPh sb="0" eb="2">
      <t>エンカク</t>
    </rPh>
    <rPh sb="2" eb="4">
      <t>シボウ</t>
    </rPh>
    <rPh sb="4" eb="6">
      <t>シンダン</t>
    </rPh>
    <rPh sb="6" eb="8">
      <t>ホジョ</t>
    </rPh>
    <rPh sb="8" eb="10">
      <t>カサン</t>
    </rPh>
    <phoneticPr fontId="5"/>
  </si>
  <si>
    <t>ターミナルケア体制</t>
    <rPh sb="7" eb="9">
      <t>タイセイ</t>
    </rPh>
    <phoneticPr fontId="5"/>
  </si>
  <si>
    <t>専門管理加算</t>
    <rPh sb="0" eb="2">
      <t>センモン</t>
    </rPh>
    <rPh sb="2" eb="4">
      <t>カンリ</t>
    </rPh>
    <rPh sb="4" eb="6">
      <t>カサン</t>
    </rPh>
    <phoneticPr fontId="5"/>
  </si>
  <si>
    <t>３　定期巡回・随時対応サービス連携</t>
  </si>
  <si>
    <t>特別管理体制</t>
    <phoneticPr fontId="5"/>
  </si>
  <si>
    <t>緊急時訪問看護加算</t>
    <phoneticPr fontId="5"/>
  </si>
  <si>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5"/>
  </si>
  <si>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5"/>
  </si>
  <si>
    <t>特別地域加算</t>
    <rPh sb="0" eb="2">
      <t>トクベツ</t>
    </rPh>
    <rPh sb="2" eb="4">
      <t>チイキ</t>
    </rPh>
    <rPh sb="4" eb="6">
      <t>カサン</t>
    </rPh>
    <phoneticPr fontId="5"/>
  </si>
  <si>
    <t>５ 加算Ⅲ</t>
    <phoneticPr fontId="3"/>
  </si>
  <si>
    <t>４ 加算Ⅰ</t>
    <phoneticPr fontId="3"/>
  </si>
  <si>
    <t>特別地域加算</t>
    <phoneticPr fontId="5"/>
  </si>
  <si>
    <t>３　通院等乗降介助</t>
    <phoneticPr fontId="3"/>
  </si>
  <si>
    <t>特定事業所加算Ⅴ</t>
    <rPh sb="0" eb="2">
      <t>トクテイ</t>
    </rPh>
    <rPh sb="2" eb="5">
      <t>ジギョウショ</t>
    </rPh>
    <rPh sb="5" eb="7">
      <t>カサン</t>
    </rPh>
    <phoneticPr fontId="5"/>
  </si>
  <si>
    <t>５ 加算Ⅳ</t>
    <phoneticPr fontId="3"/>
  </si>
  <si>
    <t>特定事業所加算（Ⅴ以外）</t>
    <rPh sb="0" eb="2">
      <t>トクテイ</t>
    </rPh>
    <rPh sb="2" eb="5">
      <t>ジギョウショ</t>
    </rPh>
    <rPh sb="5" eb="7">
      <t>カサン</t>
    </rPh>
    <rPh sb="9" eb="11">
      <t>イガイ</t>
    </rPh>
    <phoneticPr fontId="5"/>
  </si>
  <si>
    <t>介護予防訪問看護</t>
  </si>
  <si>
    <t>２　該当</t>
    <phoneticPr fontId="3"/>
  </si>
  <si>
    <t>２　居宅介護支援事業者</t>
    <phoneticPr fontId="3"/>
  </si>
  <si>
    <t>１　なし</t>
    <phoneticPr fontId="3"/>
  </si>
  <si>
    <t>１　地域包括支援センター</t>
    <phoneticPr fontId="3"/>
  </si>
  <si>
    <t>介護予防福祉用具貸与</t>
  </si>
  <si>
    <t>３　養護老人ホーム</t>
  </si>
  <si>
    <t>生活介護</t>
  </si>
  <si>
    <t>２　軽費老人ホーム</t>
  </si>
  <si>
    <t>介護予防特定施設入居者</t>
  </si>
  <si>
    <t>１　有料老人ホーム</t>
  </si>
  <si>
    <t>2B</t>
    <phoneticPr fontId="3"/>
  </si>
  <si>
    <t>５　ユニット型Ⅱ型介護医療院</t>
    <phoneticPr fontId="3"/>
  </si>
  <si>
    <t>４　ユニット型Ⅰ型介護医療院</t>
    <phoneticPr fontId="3"/>
  </si>
  <si>
    <t>３　特別介護医療院</t>
    <rPh sb="2" eb="4">
      <t>トクベツ</t>
    </rPh>
    <rPh sb="4" eb="6">
      <t>カイゴ</t>
    </rPh>
    <rPh sb="6" eb="8">
      <t>イリョウ</t>
    </rPh>
    <rPh sb="8" eb="9">
      <t>イン</t>
    </rPh>
    <phoneticPr fontId="3"/>
  </si>
  <si>
    <t>２　Ⅱ型介護医療院</t>
    <phoneticPr fontId="3"/>
  </si>
  <si>
    <t xml:space="preserve">１　Ⅱ型（Ⅰ） </t>
  </si>
  <si>
    <t>１　Ⅰ型介護医療院</t>
    <phoneticPr fontId="3"/>
  </si>
  <si>
    <t xml:space="preserve">１　Ⅰ型（Ⅰ） </t>
  </si>
  <si>
    <t>２　診療所型</t>
    <phoneticPr fontId="3"/>
  </si>
  <si>
    <t>介護予防短期入所療養介護</t>
  </si>
  <si>
    <t>療養環境基準</t>
  </si>
  <si>
    <t>６　ユニット型病院療養型</t>
    <phoneticPr fontId="3"/>
  </si>
  <si>
    <t>１　病院療養型</t>
    <phoneticPr fontId="3"/>
  </si>
  <si>
    <t>１　介護老人保健施設（Ⅰ）</t>
    <phoneticPr fontId="3"/>
  </si>
  <si>
    <t>サービス提供体制強化加算
（併設型、空床型）</t>
    <rPh sb="4" eb="6">
      <t>テイキョウ</t>
    </rPh>
    <rPh sb="6" eb="8">
      <t>タイセイ</t>
    </rPh>
    <rPh sb="8" eb="10">
      <t>キョウカ</t>
    </rPh>
    <rPh sb="10" eb="12">
      <t>カサン</t>
    </rPh>
    <rPh sb="18" eb="20">
      <t>クウショウ</t>
    </rPh>
    <rPh sb="20" eb="21">
      <t>ガタ</t>
    </rPh>
    <phoneticPr fontId="3"/>
  </si>
  <si>
    <t>居宅療養管理指導</t>
    <phoneticPr fontId="3"/>
  </si>
  <si>
    <t>介護予防</t>
    <rPh sb="0" eb="2">
      <t>カイゴ</t>
    </rPh>
    <rPh sb="2" eb="4">
      <t>ヨボウ</t>
    </rPh>
    <phoneticPr fontId="3"/>
  </si>
  <si>
    <t>看護体制強化加算</t>
    <rPh sb="0" eb="2">
      <t>カンゴ</t>
    </rPh>
    <rPh sb="2" eb="4">
      <t>タイセイ</t>
    </rPh>
    <rPh sb="4" eb="6">
      <t>キョウカ</t>
    </rPh>
    <rPh sb="6" eb="8">
      <t>カサン</t>
    </rPh>
    <phoneticPr fontId="3"/>
  </si>
  <si>
    <t>特別管理体制</t>
    <phoneticPr fontId="3"/>
  </si>
  <si>
    <t>緊急時介護予防訪問看護加算</t>
    <rPh sb="3" eb="5">
      <t>カイゴ</t>
    </rPh>
    <rPh sb="5" eb="7">
      <t>ヨボウ</t>
    </rPh>
    <phoneticPr fontId="3"/>
  </si>
  <si>
    <t>そ　 　　の　 　　他　　 　該　　 　当　　 　す 　　　る 　　　体 　　　制 　　　等</t>
  </si>
  <si>
    <t>介 護 給 付 費 算 定 に 係 る 体 制 等 状 況 一 覧 表 （介護予防サービス）</t>
    <rPh sb="37" eb="38">
      <t>スケ</t>
    </rPh>
    <rPh sb="38" eb="39">
      <t>ユズル</t>
    </rPh>
    <rPh sb="39" eb="40">
      <t>ヨ</t>
    </rPh>
    <rPh sb="40" eb="41">
      <t>ボウ</t>
    </rPh>
    <phoneticPr fontId="3"/>
  </si>
  <si>
    <t>（別紙１－２）</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</si>
</sst>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 &quot;¥&quot;* #,##0_ ;_ &quot;¥&quot;* \-#,##0_ ;_ &quot;¥&quot;* &quot;-&quot;_ ;_ @_ "/>
    <numFmt numFmtId="176" formatCode="0.0_ "/>
    <numFmt numFmtId="177" formatCode="#,##0.0;[Red]\-#,##0.0"/>
    <numFmt numFmtId="178" formatCode="0.0%"/>
    <numFmt numFmtId="179" formatCode="0.000"/>
    <numFmt numFmtId="180" formatCode="0.0"/>
    <numFmt numFmtId="181" formatCode="#,##0.000;[Red]\-#,##0.000"/>
    <numFmt numFmtId="182" formatCode="[$-411]ggge&quot;年&quot;m&quot;月&quot;;@"/>
    <numFmt numFmtId="183" formatCode="#,##0.000000;[Red]\-#,##0.000000"/>
    <numFmt numFmtId="184" formatCode="&quot;令&quot;&quot;和&quot;0&quot;年&quot;"/>
    <numFmt numFmtId="185" formatCode="#,##0_ ;[Red]\-#,##0\ "/>
    <numFmt numFmtId="186" formatCode="0_ ;[Red]\-0\ "/>
    <numFmt numFmtId="187" formatCode="####&quot;年&quot;"/>
    <numFmt numFmtId="188" formatCode="yyyy&quot;年&quot;m&quot;月&quot;d&quot;日&quot;;@"/>
    <numFmt numFmtId="189" formatCode="0_ "/>
    <numFmt numFmtId="190" formatCode="[&lt;=999]000;[&lt;=9999]000\-00;000\-0000"/>
    <numFmt numFmtId="191" formatCode="\(&quot;月&quot;&quot;の&quot;&quot;日&quot;&quot;数&quot;0\)"/>
    <numFmt numFmtId="192" formatCode="\(aaa\)"/>
    <numFmt numFmtId="193" formatCode="\(0.00\)"/>
    <numFmt numFmtId="194" formatCode="\(0\)&quot;月の計&quot;"/>
    <numFmt numFmtId="195" formatCode="\(0\)\4&quot;週計&quot;"/>
    <numFmt numFmtId="196" formatCode="0&quot;回&quot;"/>
    <numFmt numFmtId="197" formatCode="0&quot;人&quot;"/>
    <numFmt numFmtId="198" formatCode="h:mm;@"/>
  </numFmts>
  <fonts count="14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u/>
      <sz val="11"/>
      <color indexed="36"/>
      <name val="ＭＳ Ｐゴシック"/>
      <family val="3"/>
      <charset val="128"/>
    </font>
    <font>
      <sz val="11"/>
      <name val="HGSｺﾞｼｯｸM"/>
      <family val="3"/>
      <charset val="128"/>
    </font>
    <font>
      <sz val="10"/>
      <name val="HGSｺﾞｼｯｸM"/>
      <family val="3"/>
      <charset val="128"/>
    </font>
    <font>
      <sz val="10.5"/>
      <name val="ＭＳ 明朝"/>
      <family val="1"/>
      <charset val="128"/>
    </font>
    <font>
      <sz val="14"/>
      <name val="HGSｺﾞｼｯｸM"/>
      <family val="3"/>
      <charset val="128"/>
    </font>
    <font>
      <sz val="11"/>
      <name val="ＭＳ Ｐゴシック"/>
      <family val="3"/>
      <charset val="128"/>
    </font>
    <font>
      <b/>
      <sz val="12"/>
      <name val="HGSｺﾞｼｯｸM"/>
      <family val="3"/>
      <charset val="128"/>
    </font>
    <font>
      <sz val="10"/>
      <name val="ＭＳ Ｐゴシック"/>
      <family val="3"/>
      <charset val="128"/>
    </font>
    <font>
      <sz val="16"/>
      <name val="HGSｺﾞｼｯｸM"/>
      <family val="3"/>
      <charset val="128"/>
    </font>
    <font>
      <sz val="10"/>
      <color indexed="10"/>
      <name val="HGSｺﾞｼｯｸM"/>
      <family val="3"/>
      <charset val="128"/>
    </font>
    <font>
      <sz val="9"/>
      <name val="HGSｺﾞｼｯｸM"/>
      <family val="3"/>
      <charset val="128"/>
    </font>
    <font>
      <sz val="8"/>
      <name val="HGSｺﾞｼｯｸM"/>
      <family val="3"/>
      <charset val="128"/>
    </font>
    <font>
      <b/>
      <sz val="10"/>
      <name val="HGSｺﾞｼｯｸM"/>
      <family val="3"/>
      <charset val="128"/>
    </font>
    <font>
      <sz val="12"/>
      <name val="HGSｺﾞｼｯｸM"/>
      <family val="3"/>
      <charset val="128"/>
    </font>
    <font>
      <b/>
      <sz val="14"/>
      <name val="HGSｺﾞｼｯｸM"/>
      <family val="3"/>
      <charset val="128"/>
    </font>
    <font>
      <u/>
      <sz val="10"/>
      <name val="HGSｺﾞｼｯｸM"/>
      <family val="3"/>
      <charset val="128"/>
    </font>
    <font>
      <sz val="11"/>
      <name val="HGPｺﾞｼｯｸM"/>
      <family val="3"/>
      <charset val="128"/>
    </font>
    <font>
      <sz val="12"/>
      <name val="HGPｺﾞｼｯｸM"/>
      <family val="3"/>
      <charset val="128"/>
    </font>
    <font>
      <sz val="10"/>
      <name val="HGPｺﾞｼｯｸM"/>
      <family val="3"/>
      <charset val="128"/>
    </font>
    <font>
      <sz val="10"/>
      <color indexed="10"/>
      <name val="HGPｺﾞｼｯｸM"/>
      <family val="3"/>
      <charset val="128"/>
    </font>
    <font>
      <b/>
      <sz val="12"/>
      <name val="HGPｺﾞｼｯｸM"/>
      <family val="3"/>
      <charset val="128"/>
    </font>
    <font>
      <sz val="9"/>
      <color indexed="81"/>
      <name val="HGPｺﾞｼｯｸM"/>
      <family val="3"/>
      <charset val="128"/>
    </font>
    <font>
      <b/>
      <sz val="14"/>
      <name val="HGPｺﾞｼｯｸM"/>
      <family val="3"/>
      <charset val="128"/>
    </font>
    <font>
      <sz val="11"/>
      <color indexed="10"/>
      <name val="HGPｺﾞｼｯｸM"/>
      <family val="3"/>
      <charset val="128"/>
    </font>
    <font>
      <b/>
      <sz val="11"/>
      <name val="HGPｺﾞｼｯｸM"/>
      <family val="3"/>
      <charset val="128"/>
    </font>
    <font>
      <u/>
      <sz val="10"/>
      <name val="HGPｺﾞｼｯｸM"/>
      <family val="3"/>
      <charset val="128"/>
    </font>
    <font>
      <i/>
      <sz val="10"/>
      <name val="HGPｺﾞｼｯｸM"/>
      <family val="3"/>
      <charset val="128"/>
    </font>
    <font>
      <u/>
      <sz val="10"/>
      <color indexed="12"/>
      <name val="ＭＳ Ｐゴシック"/>
      <family val="3"/>
      <charset val="128"/>
    </font>
    <font>
      <sz val="12"/>
      <name val="ＭＳ Ｐゴシック"/>
      <family val="3"/>
      <charset val="128"/>
    </font>
    <font>
      <b/>
      <sz val="10"/>
      <name val="HGPｺﾞｼｯｸM"/>
      <family val="3"/>
      <charset val="128"/>
    </font>
    <font>
      <b/>
      <sz val="12"/>
      <color indexed="10"/>
      <name val="HGPｺﾞｼｯｸM"/>
      <family val="3"/>
      <charset val="128"/>
    </font>
    <font>
      <sz val="10"/>
      <name val="HG丸ｺﾞｼｯｸM-PRO"/>
      <family val="3"/>
      <charset val="128"/>
    </font>
    <font>
      <sz val="10.5"/>
      <name val="HGSｺﾞｼｯｸM"/>
      <family val="3"/>
      <charset val="128"/>
    </font>
    <font>
      <sz val="7"/>
      <name val="HGSｺﾞｼｯｸM"/>
      <family val="3"/>
      <charset val="128"/>
    </font>
    <font>
      <u/>
      <sz val="8"/>
      <color indexed="10"/>
      <name val="HGSｺﾞｼｯｸM"/>
      <family val="3"/>
      <charset val="128"/>
    </font>
    <font>
      <sz val="6"/>
      <name val="ＭＳ Ｐゴシック"/>
      <family val="3"/>
      <charset val="128"/>
    </font>
    <font>
      <b/>
      <sz val="16"/>
      <name val="ＭＳ Ｐゴシック"/>
      <family val="3"/>
      <charset val="128"/>
    </font>
    <font>
      <sz val="14"/>
      <name val="ＭＳ Ｐゴシック"/>
      <family val="3"/>
      <charset val="128"/>
    </font>
    <font>
      <sz val="6"/>
      <name val="ＭＳ Ｐゴシック"/>
      <family val="3"/>
      <charset val="128"/>
    </font>
    <font>
      <b/>
      <sz val="12"/>
      <name val="ＭＳ Ｐゴシック"/>
      <family val="3"/>
      <charset val="128"/>
    </font>
    <font>
      <sz val="9"/>
      <name val="ＭＳ Ｐゴシック"/>
      <family val="3"/>
      <charset val="128"/>
    </font>
    <font>
      <sz val="6"/>
      <name val="ＭＳ ゴシック"/>
      <family val="3"/>
      <charset val="128"/>
    </font>
    <font>
      <sz val="8"/>
      <name val="ＭＳ Ｐゴシック"/>
      <family val="3"/>
      <charset val="128"/>
    </font>
    <font>
      <b/>
      <u/>
      <sz val="11"/>
      <name val="ＭＳ Ｐゴシック"/>
      <family val="3"/>
      <charset val="128"/>
    </font>
    <font>
      <b/>
      <sz val="11"/>
      <name val="ＭＳ Ｐゴシック"/>
      <family val="3"/>
      <charset val="128"/>
    </font>
    <font>
      <sz val="20"/>
      <name val="HGSｺﾞｼｯｸM"/>
      <family val="3"/>
      <charset val="128"/>
    </font>
    <font>
      <sz val="12"/>
      <name val="HGPｺﾞｼｯｸE"/>
      <family val="3"/>
      <charset val="128"/>
    </font>
    <font>
      <b/>
      <sz val="16"/>
      <name val="HGSｺﾞｼｯｸM"/>
      <family val="3"/>
      <charset val="128"/>
    </font>
    <font>
      <b/>
      <sz val="18"/>
      <color indexed="10"/>
      <name val="HGSｺﾞｼｯｸM"/>
      <family val="3"/>
      <charset val="128"/>
    </font>
    <font>
      <b/>
      <sz val="11"/>
      <name val="HGSｺﾞｼｯｸM"/>
      <family val="3"/>
      <charset val="128"/>
    </font>
    <font>
      <sz val="11"/>
      <color theme="1"/>
      <name val="ＭＳ Ｐゴシック"/>
      <family val="3"/>
      <charset val="128"/>
      <scheme val="minor"/>
    </font>
    <font>
      <b/>
      <sz val="11"/>
      <color theme="1"/>
      <name val="ＭＳ Ｐゴシック"/>
      <family val="3"/>
      <charset val="128"/>
      <scheme val="minor"/>
    </font>
    <font>
      <sz val="10"/>
      <color rgb="FF0000FF"/>
      <name val="HGSｺﾞｼｯｸM"/>
      <family val="3"/>
      <charset val="128"/>
    </font>
    <font>
      <sz val="10"/>
      <color rgb="FFFF0000"/>
      <name val="HGSｺﾞｼｯｸM"/>
      <family val="3"/>
      <charset val="128"/>
    </font>
    <font>
      <sz val="10"/>
      <color theme="0"/>
      <name val="HGSｺﾞｼｯｸM"/>
      <family val="3"/>
      <charset val="128"/>
    </font>
    <font>
      <sz val="8"/>
      <color theme="0"/>
      <name val="HGSｺﾞｼｯｸM"/>
      <family val="3"/>
      <charset val="128"/>
    </font>
    <font>
      <sz val="8"/>
      <color theme="1"/>
      <name val="HGSｺﾞｼｯｸM"/>
      <family val="3"/>
      <charset val="128"/>
    </font>
    <font>
      <sz val="10"/>
      <color theme="1"/>
      <name val="HGSｺﾞｼｯｸM"/>
      <family val="3"/>
      <charset val="128"/>
    </font>
    <font>
      <sz val="10"/>
      <color rgb="FFFF0000"/>
      <name val="HGPｺﾞｼｯｸM"/>
      <family val="3"/>
      <charset val="128"/>
    </font>
    <font>
      <b/>
      <sz val="14"/>
      <color rgb="FFFF0000"/>
      <name val="HGSｺﾞｼｯｸM"/>
      <family val="3"/>
      <charset val="128"/>
    </font>
    <font>
      <sz val="11"/>
      <color rgb="FFFF0000"/>
      <name val="HGPｺﾞｼｯｸM"/>
      <family val="3"/>
      <charset val="128"/>
    </font>
    <font>
      <b/>
      <sz val="14"/>
      <color rgb="FFFF0000"/>
      <name val="HGPｺﾞｼｯｸM"/>
      <family val="3"/>
      <charset val="128"/>
    </font>
    <font>
      <sz val="11"/>
      <color theme="0"/>
      <name val="HGPｺﾞｼｯｸM"/>
      <family val="3"/>
      <charset val="128"/>
    </font>
    <font>
      <sz val="8"/>
      <color rgb="FFFF0000"/>
      <name val="HGSｺﾞｼｯｸM"/>
      <family val="3"/>
      <charset val="128"/>
    </font>
    <font>
      <sz val="10"/>
      <color rgb="FF0000FF"/>
      <name val="HGPｺﾞｼｯｸM"/>
      <family val="3"/>
      <charset val="128"/>
    </font>
    <font>
      <sz val="14"/>
      <color theme="1"/>
      <name val="Meiryo UI"/>
      <family val="3"/>
      <charset val="128"/>
    </font>
    <font>
      <b/>
      <sz val="14"/>
      <color theme="1"/>
      <name val="Meiryo UI"/>
      <family val="3"/>
      <charset val="128"/>
    </font>
    <font>
      <sz val="12"/>
      <color theme="1"/>
      <name val="Meiryo UI"/>
      <family val="3"/>
      <charset val="128"/>
    </font>
    <font>
      <sz val="9"/>
      <color theme="1"/>
      <name val="Meiryo UI"/>
      <family val="3"/>
      <charset val="128"/>
    </font>
    <font>
      <sz val="11"/>
      <color theme="1"/>
      <name val="Meiryo UI"/>
      <family val="3"/>
      <charset val="128"/>
    </font>
    <font>
      <sz val="11"/>
      <color theme="1"/>
      <name val="ＭＳ Ｐゴシック"/>
      <family val="3"/>
      <charset val="128"/>
    </font>
    <font>
      <sz val="12"/>
      <color theme="1"/>
      <name val="ＭＳ Ｐゴシック"/>
      <family val="3"/>
      <charset val="128"/>
    </font>
    <font>
      <sz val="9"/>
      <color theme="1"/>
      <name val="ＭＳ Ｐゴシック"/>
      <family val="3"/>
      <charset val="128"/>
    </font>
    <font>
      <b/>
      <u/>
      <sz val="16"/>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b/>
      <sz val="14"/>
      <color theme="0"/>
      <name val="HGPｺﾞｼｯｸM"/>
      <family val="3"/>
      <charset val="128"/>
    </font>
    <font>
      <b/>
      <sz val="12"/>
      <color theme="0"/>
      <name val="HGSｺﾞｼｯｸM"/>
      <family val="3"/>
      <charset val="128"/>
    </font>
    <font>
      <sz val="11"/>
      <color theme="1"/>
      <name val="HGSｺﾞｼｯｸM"/>
      <family val="3"/>
      <charset val="128"/>
    </font>
    <font>
      <sz val="12"/>
      <color theme="1"/>
      <name val="HGSｺﾞｼｯｸM"/>
      <family val="3"/>
      <charset val="128"/>
    </font>
    <font>
      <sz val="10"/>
      <color rgb="FFFF0000"/>
      <name val="HG丸ｺﾞｼｯｸM-PRO"/>
      <family val="3"/>
      <charset val="128"/>
    </font>
    <font>
      <sz val="9"/>
      <color rgb="FF0000FF"/>
      <name val="HGPｺﾞｼｯｸM"/>
      <family val="3"/>
      <charset val="128"/>
    </font>
    <font>
      <b/>
      <sz val="16"/>
      <color theme="0"/>
      <name val="HGSｺﾞｼｯｸM"/>
      <family val="3"/>
      <charset val="128"/>
    </font>
    <font>
      <sz val="11"/>
      <color rgb="FFFF0000"/>
      <name val="HGSｺﾞｼｯｸM"/>
      <family val="3"/>
      <charset val="128"/>
    </font>
    <font>
      <b/>
      <sz val="11"/>
      <color theme="0"/>
      <name val="HGSｺﾞｼｯｸM"/>
      <family val="3"/>
      <charset val="128"/>
    </font>
    <font>
      <b/>
      <u/>
      <sz val="11"/>
      <color theme="1"/>
      <name val="ＭＳ Ｐゴシック"/>
      <family val="3"/>
      <charset val="128"/>
      <scheme val="minor"/>
    </font>
    <font>
      <sz val="13"/>
      <color theme="1"/>
      <name val="Meiryo UI"/>
      <family val="3"/>
      <charset val="128"/>
    </font>
    <font>
      <sz val="11.5"/>
      <color theme="1"/>
      <name val="Meiryo UI"/>
      <family val="3"/>
      <charset val="128"/>
    </font>
    <font>
      <b/>
      <sz val="16"/>
      <color theme="1"/>
      <name val="Meiryo UI"/>
      <family val="3"/>
      <charset val="128"/>
    </font>
    <font>
      <sz val="10"/>
      <color theme="1"/>
      <name val="ＭＳ Ｐゴシック"/>
      <family val="3"/>
      <charset val="128"/>
    </font>
    <font>
      <sz val="9"/>
      <color rgb="FF000000"/>
      <name val="Meiryo UI"/>
      <family val="3"/>
      <charset val="128"/>
    </font>
    <font>
      <sz val="10"/>
      <color rgb="FF000000"/>
      <name val="Times New Roman"/>
      <family val="1"/>
    </font>
    <font>
      <b/>
      <sz val="12"/>
      <color theme="1"/>
      <name val="ＭＳ Ｐゴシック"/>
      <family val="3"/>
      <charset val="128"/>
      <scheme val="minor"/>
    </font>
    <font>
      <sz val="10"/>
      <color theme="1"/>
      <name val="ＭＳ Ｐゴシック"/>
      <family val="3"/>
      <charset val="128"/>
      <scheme val="minor"/>
    </font>
    <font>
      <sz val="10.5"/>
      <color theme="1"/>
      <name val="ＭＳ Ｐゴシック"/>
      <family val="3"/>
      <charset val="128"/>
      <scheme val="minor"/>
    </font>
    <font>
      <sz val="10.5"/>
      <color theme="1"/>
      <name val="ＭＳ Ｐゴシック"/>
      <family val="3"/>
      <charset val="128"/>
    </font>
    <font>
      <sz val="6"/>
      <name val="HGSｺﾞｼｯｸM"/>
      <family val="3"/>
      <charset val="128"/>
    </font>
    <font>
      <strike/>
      <sz val="10"/>
      <name val="HGSｺﾞｼｯｸM"/>
      <family val="3"/>
      <charset val="128"/>
    </font>
    <font>
      <strike/>
      <sz val="11"/>
      <name val="HGSｺﾞｼｯｸM"/>
      <family val="3"/>
      <charset val="128"/>
    </font>
    <font>
      <strike/>
      <sz val="11"/>
      <color rgb="FFFF0000"/>
      <name val="HGSｺﾞｼｯｸM"/>
      <family val="3"/>
      <charset val="128"/>
    </font>
    <font>
      <sz val="11"/>
      <name val="ＭＳ Ｐゴシック"/>
      <family val="3"/>
      <charset val="128"/>
      <scheme val="minor"/>
    </font>
    <font>
      <sz val="11"/>
      <color rgb="FFFF0000"/>
      <name val="ＭＳ Ｐゴシック"/>
      <family val="3"/>
      <charset val="128"/>
      <scheme val="minor"/>
    </font>
    <font>
      <u/>
      <sz val="11"/>
      <name val="ＭＳ Ｐゴシック"/>
      <family val="3"/>
      <charset val="128"/>
    </font>
    <font>
      <sz val="8"/>
      <color rgb="FF0000FF"/>
      <name val="HGSｺﾞｼｯｸM"/>
      <family val="3"/>
      <charset val="128"/>
    </font>
    <font>
      <b/>
      <sz val="11"/>
      <color rgb="FFFF0000"/>
      <name val="HGSｺﾞｼｯｸM"/>
      <family val="3"/>
      <charset val="128"/>
    </font>
    <font>
      <sz val="11"/>
      <name val="Wingdings"/>
      <charset val="2"/>
    </font>
    <font>
      <sz val="9"/>
      <color theme="1"/>
      <name val="HGSｺﾞｼｯｸM"/>
      <family val="3"/>
      <charset val="128"/>
    </font>
    <font>
      <sz val="6"/>
      <color theme="1"/>
      <name val="HGSｺﾞｼｯｸM"/>
      <family val="3"/>
      <charset val="128"/>
    </font>
    <font>
      <sz val="10"/>
      <color theme="1"/>
      <name val="HGPｺﾞｼｯｸM"/>
      <family val="3"/>
      <charset val="128"/>
    </font>
    <font>
      <sz val="6"/>
      <name val="ＭＳ Ｐゴシック"/>
      <family val="2"/>
      <charset val="128"/>
      <scheme val="minor"/>
    </font>
    <font>
      <b/>
      <sz val="12"/>
      <color theme="1"/>
      <name val="HGPｺﾞｼｯｸM"/>
      <family val="3"/>
      <charset val="128"/>
    </font>
    <font>
      <b/>
      <u/>
      <sz val="12"/>
      <name val="HGPｺﾞｼｯｸM"/>
      <family val="3"/>
      <charset val="128"/>
    </font>
    <font>
      <b/>
      <sz val="10"/>
      <color rgb="FFFF0000"/>
      <name val="HGPｺﾞｼｯｸM"/>
      <family val="3"/>
      <charset val="128"/>
    </font>
    <font>
      <sz val="9"/>
      <color theme="1"/>
      <name val="HGPｺﾞｼｯｸM"/>
      <family val="3"/>
      <charset val="128"/>
    </font>
    <font>
      <b/>
      <sz val="10"/>
      <color theme="1"/>
      <name val="HGPｺﾞｼｯｸM"/>
      <family val="3"/>
      <charset val="128"/>
    </font>
    <font>
      <sz val="10"/>
      <color theme="0"/>
      <name val="HGPｺﾞｼｯｸM"/>
      <family val="3"/>
      <charset val="128"/>
    </font>
    <font>
      <sz val="9"/>
      <color theme="0"/>
      <name val="HGPｺﾞｼｯｸM"/>
      <family val="3"/>
      <charset val="128"/>
    </font>
    <font>
      <b/>
      <sz val="12"/>
      <color rgb="FFFF0000"/>
      <name val="HGPｺﾞｼｯｸM"/>
      <family val="3"/>
      <charset val="128"/>
    </font>
    <font>
      <b/>
      <sz val="9"/>
      <color indexed="81"/>
      <name val="MS P ゴシック"/>
      <family val="3"/>
      <charset val="128"/>
    </font>
    <font>
      <sz val="9"/>
      <color indexed="81"/>
      <name val="MS P ゴシック"/>
      <family val="3"/>
      <charset val="128"/>
    </font>
    <font>
      <b/>
      <u/>
      <sz val="14"/>
      <color rgb="FFFF0000"/>
      <name val="HGSｺﾞｼｯｸM"/>
      <family val="3"/>
      <charset val="128"/>
    </font>
    <font>
      <b/>
      <sz val="14"/>
      <color theme="1"/>
      <name val="HGSｺﾞｼｯｸM"/>
      <family val="3"/>
      <charset val="128"/>
    </font>
    <font>
      <sz val="16"/>
      <color theme="1"/>
      <name val="HGSｺﾞｼｯｸM"/>
      <family val="3"/>
      <charset val="128"/>
    </font>
    <font>
      <strike/>
      <sz val="11"/>
      <color theme="1"/>
      <name val="游ゴシック Light"/>
      <family val="3"/>
      <charset val="128"/>
    </font>
    <font>
      <u/>
      <sz val="11"/>
      <color theme="10"/>
      <name val="ＭＳ Ｐゴシック"/>
      <family val="3"/>
      <charset val="128"/>
    </font>
    <font>
      <u/>
      <sz val="10.5"/>
      <name val="HGSｺﾞｼｯｸM"/>
      <family val="3"/>
      <charset val="128"/>
    </font>
    <font>
      <sz val="11"/>
      <color theme="1"/>
      <name val="ＭＳ ゴシック"/>
      <family val="3"/>
      <charset val="128"/>
    </font>
    <font>
      <strike/>
      <sz val="11"/>
      <color theme="1"/>
      <name val="HGSｺﾞｼｯｸM"/>
      <family val="3"/>
      <charset val="128"/>
    </font>
    <font>
      <strike/>
      <sz val="11"/>
      <color theme="1"/>
      <name val="ＭＳ Ｐゴシック"/>
      <family val="3"/>
      <charset val="128"/>
    </font>
    <font>
      <sz val="11"/>
      <color rgb="FFFF0000"/>
      <name val="ＭＳ Ｐゴシック"/>
      <family val="3"/>
      <charset val="128"/>
    </font>
    <font>
      <sz val="14"/>
      <color theme="1"/>
      <name val="HGSｺﾞｼｯｸM"/>
      <family val="3"/>
      <charset val="128"/>
    </font>
    <font>
      <sz val="11"/>
      <color theme="1"/>
      <name val="HGｺﾞｼｯｸM"/>
      <family val="3"/>
      <charset val="128"/>
    </font>
    <font>
      <sz val="11"/>
      <color theme="1"/>
      <name val="ＭＳ Ｐゴシック"/>
      <family val="3"/>
      <charset val="128"/>
      <scheme val="major"/>
    </font>
    <font>
      <sz val="11"/>
      <color theme="1"/>
      <name val="HGPｺﾞｼｯｸM"/>
      <family val="3"/>
      <charset val="128"/>
    </font>
    <font>
      <strike/>
      <sz val="11"/>
      <color theme="1"/>
      <name val="HGPｺﾞｼｯｸM"/>
      <family val="3"/>
      <charset val="128"/>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000"/>
        <bgColor indexed="64"/>
      </patternFill>
    </fill>
    <fill>
      <patternFill patternType="solid">
        <fgColor rgb="FFFFFF99"/>
        <bgColor indexed="64"/>
      </patternFill>
    </fill>
    <fill>
      <patternFill patternType="solid">
        <fgColor rgb="FFFFFFCC"/>
        <bgColor indexed="64"/>
      </patternFill>
    </fill>
    <fill>
      <patternFill patternType="solid">
        <fgColor rgb="FFCCFFFF"/>
        <bgColor indexed="64"/>
      </patternFill>
    </fill>
    <fill>
      <patternFill patternType="solid">
        <fgColor theme="9" tint="0.39997558519241921"/>
        <bgColor indexed="64"/>
      </patternFill>
    </fill>
    <fill>
      <patternFill patternType="solid">
        <fgColor rgb="FF0000FF"/>
        <bgColor indexed="64"/>
      </patternFill>
    </fill>
    <fill>
      <patternFill patternType="solid">
        <fgColor rgb="FFFFFF00"/>
        <bgColor indexed="64"/>
      </patternFill>
    </fill>
    <fill>
      <patternFill patternType="solid">
        <fgColor rgb="FFDDEBF7"/>
        <bgColor indexed="64"/>
      </patternFill>
    </fill>
    <fill>
      <patternFill patternType="solid">
        <fgColor rgb="FFFFF2CC"/>
        <bgColor indexed="64"/>
      </patternFill>
    </fill>
    <fill>
      <patternFill patternType="solid">
        <fgColor rgb="FFE2EFDA"/>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FF66"/>
        <bgColor indexed="64"/>
      </patternFill>
    </fill>
    <fill>
      <patternFill patternType="solid">
        <fgColor rgb="FFCCECFF"/>
        <bgColor indexed="64"/>
      </patternFill>
    </fill>
    <fill>
      <patternFill patternType="solid">
        <fgColor theme="8" tint="0.39997558519241921"/>
        <bgColor indexed="64"/>
      </patternFill>
    </fill>
  </fills>
  <borders count="255">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bottom/>
      <diagonal/>
    </border>
    <border>
      <left style="thin">
        <color indexed="64"/>
      </left>
      <right/>
      <top/>
      <bottom style="hair">
        <color indexed="64"/>
      </bottom>
      <diagonal/>
    </border>
    <border>
      <left style="double">
        <color indexed="64"/>
      </left>
      <right/>
      <top/>
      <bottom/>
      <diagonal/>
    </border>
    <border>
      <left style="double">
        <color indexed="64"/>
      </left>
      <right/>
      <top/>
      <bottom style="thin">
        <color indexed="64"/>
      </bottom>
      <diagonal/>
    </border>
    <border>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left/>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diagonal/>
    </border>
    <border>
      <left/>
      <right/>
      <top style="medium">
        <color indexed="64"/>
      </top>
      <bottom style="medium">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style="dashed">
        <color indexed="64"/>
      </left>
      <right/>
      <top/>
      <bottom/>
      <diagonal/>
    </border>
    <border>
      <left/>
      <right style="dashed">
        <color indexed="64"/>
      </right>
      <top style="double">
        <color indexed="64"/>
      </top>
      <bottom style="thin">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diagonalUp="1">
      <left style="thin">
        <color indexed="64"/>
      </left>
      <right style="thin">
        <color indexed="64"/>
      </right>
      <top style="thin">
        <color indexed="64"/>
      </top>
      <bottom style="dashed">
        <color indexed="64"/>
      </bottom>
      <diagonal style="thin">
        <color indexed="64"/>
      </diagonal>
    </border>
    <border>
      <left style="thin">
        <color indexed="64"/>
      </left>
      <right style="thin">
        <color indexed="64"/>
      </right>
      <top style="dashed">
        <color indexed="64"/>
      </top>
      <bottom/>
      <diagonal/>
    </border>
    <border diagonalUp="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style="thin">
        <color indexed="64"/>
      </right>
      <top/>
      <bottom style="dashed">
        <color indexed="64"/>
      </bottom>
      <diagonal style="thin">
        <color indexed="64"/>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indexed="64"/>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medium">
        <color indexed="64"/>
      </right>
      <top style="thin">
        <color rgb="FF000000"/>
      </top>
      <bottom/>
      <diagonal/>
    </border>
    <border>
      <left style="thin">
        <color rgb="FF000000"/>
      </left>
      <right/>
      <top/>
      <bottom/>
      <diagonal/>
    </border>
    <border>
      <left/>
      <right style="medium">
        <color indexed="64"/>
      </right>
      <top style="thin">
        <color indexed="64"/>
      </top>
      <bottom style="thin">
        <color indexed="64"/>
      </bottom>
      <diagonal/>
    </border>
    <border>
      <left style="medium">
        <color indexed="64"/>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top style="thin">
        <color rgb="FF000000"/>
      </top>
      <bottom/>
      <diagonal/>
    </border>
    <border>
      <left style="medium">
        <color indexed="64"/>
      </left>
      <right/>
      <top/>
      <bottom style="thin">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diagonalUp="1">
      <left/>
      <right style="medium">
        <color indexed="64"/>
      </right>
      <top style="thin">
        <color indexed="64"/>
      </top>
      <bottom/>
      <diagonal style="thin">
        <color indexed="64"/>
      </diagonal>
    </border>
    <border>
      <left/>
      <right style="thin">
        <color rgb="FF000000"/>
      </right>
      <top/>
      <bottom style="thin">
        <color rgb="FF000000"/>
      </bottom>
      <diagonal/>
    </border>
    <border diagonalUp="1">
      <left/>
      <right style="medium">
        <color indexed="64"/>
      </right>
      <top/>
      <bottom/>
      <diagonal style="thin">
        <color indexed="64"/>
      </diagonal>
    </border>
    <border>
      <left style="medium">
        <color indexed="64"/>
      </left>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diagonalUp="1">
      <left/>
      <right style="medium">
        <color indexed="64"/>
      </right>
      <top/>
      <bottom style="thin">
        <color indexed="64"/>
      </bottom>
      <diagonal style="thin">
        <color indexed="64"/>
      </diagonal>
    </border>
    <border>
      <left style="medium">
        <color indexed="64"/>
      </left>
      <right style="medium">
        <color indexed="64"/>
      </right>
      <top/>
      <bottom style="medium">
        <color indexed="64"/>
      </bottom>
      <diagonal/>
    </border>
    <border>
      <left/>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thin">
        <color indexed="64"/>
      </right>
      <top/>
      <bottom style="medium">
        <color indexed="64"/>
      </bottom>
      <diagonal/>
    </border>
    <border>
      <left style="thin">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right style="thin">
        <color indexed="64"/>
      </right>
      <top style="medium">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style="thin">
        <color indexed="64"/>
      </right>
      <top style="thin">
        <color indexed="64"/>
      </top>
      <bottom style="hair">
        <color indexed="64"/>
      </bottom>
      <diagonal/>
    </border>
    <border>
      <left style="thin">
        <color indexed="64"/>
      </left>
      <right style="double">
        <color rgb="FFFF0000"/>
      </right>
      <top style="thin">
        <color indexed="64"/>
      </top>
      <bottom style="hair">
        <color indexed="64"/>
      </bottom>
      <diagonal/>
    </border>
    <border>
      <left style="double">
        <color rgb="FFFF0000"/>
      </left>
      <right style="thin">
        <color indexed="64"/>
      </right>
      <top/>
      <bottom style="thin">
        <color indexed="64"/>
      </bottom>
      <diagonal/>
    </border>
    <border>
      <left/>
      <right style="double">
        <color rgb="FFFF0000"/>
      </right>
      <top/>
      <bottom style="thin">
        <color indexed="64"/>
      </bottom>
      <diagonal/>
    </border>
    <border>
      <left style="double">
        <color rgb="FFFF0000"/>
      </left>
      <right style="thin">
        <color indexed="64"/>
      </right>
      <top style="hair">
        <color indexed="64"/>
      </top>
      <bottom style="thin">
        <color indexed="64"/>
      </bottom>
      <diagonal/>
    </border>
    <border>
      <left style="thin">
        <color indexed="64"/>
      </left>
      <right style="double">
        <color rgb="FFFF0000"/>
      </right>
      <top style="hair">
        <color indexed="64"/>
      </top>
      <bottom style="thin">
        <color indexed="64"/>
      </bottom>
      <diagonal/>
    </border>
    <border>
      <left/>
      <right/>
      <top/>
      <bottom style="double">
        <color rgb="FFFF0000"/>
      </bottom>
      <diagonal/>
    </border>
    <border>
      <left/>
      <right style="thin">
        <color indexed="64"/>
      </right>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thin">
        <color indexed="64"/>
      </right>
      <top style="thin">
        <color indexed="64"/>
      </top>
      <bottom/>
      <diagonal/>
    </border>
    <border>
      <left style="thin">
        <color indexed="64"/>
      </left>
      <right style="double">
        <color rgb="FFFF0000"/>
      </right>
      <top style="thin">
        <color indexed="64"/>
      </top>
      <bottom/>
      <diagonal/>
    </border>
    <border>
      <left style="double">
        <color rgb="FFFF0000"/>
      </left>
      <right style="thin">
        <color indexed="64"/>
      </right>
      <top style="hair">
        <color indexed="64"/>
      </top>
      <bottom style="hair">
        <color indexed="64"/>
      </bottom>
      <diagonal/>
    </border>
    <border>
      <left style="thin">
        <color indexed="64"/>
      </left>
      <right style="double">
        <color rgb="FFFF0000"/>
      </right>
      <top style="hair">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dotted">
        <color indexed="64"/>
      </top>
      <bottom style="dashed">
        <color indexed="64"/>
      </bottom>
      <diagonal/>
    </border>
    <border>
      <left/>
      <right style="thin">
        <color indexed="64"/>
      </right>
      <top style="hair">
        <color indexed="64"/>
      </top>
      <bottom style="dashed">
        <color indexed="64"/>
      </bottom>
      <diagonal/>
    </border>
    <border>
      <left style="thin">
        <color indexed="64"/>
      </left>
      <right style="thin">
        <color indexed="64"/>
      </right>
      <top style="dotted">
        <color indexed="64"/>
      </top>
      <bottom style="dashed">
        <color indexed="64"/>
      </bottom>
      <diagonal/>
    </border>
    <border>
      <left style="dashed">
        <color indexed="64"/>
      </left>
      <right/>
      <top style="dashed">
        <color indexed="64"/>
      </top>
      <bottom style="dashed">
        <color indexed="64"/>
      </bottom>
      <diagonal/>
    </border>
  </borders>
  <cellStyleXfs count="27">
    <xf numFmtId="0" fontId="0" fillId="0" borderId="0"/>
    <xf numFmtId="0" fontId="10" fillId="0" borderId="0">
      <alignment vertical="center"/>
    </xf>
    <xf numFmtId="0" fontId="10" fillId="0" borderId="0">
      <alignment vertical="center"/>
    </xf>
    <xf numFmtId="9" fontId="2" fillId="0" borderId="0" applyFont="0" applyFill="0" applyBorder="0" applyAlignment="0" applyProtection="0"/>
    <xf numFmtId="9" fontId="12" fillId="0" borderId="0" applyFont="0" applyFill="0" applyBorder="0" applyAlignment="0" applyProtection="0">
      <alignment vertical="center"/>
    </xf>
    <xf numFmtId="9" fontId="55" fillId="0" borderId="0" applyFont="0" applyFill="0" applyBorder="0" applyAlignment="0" applyProtection="0">
      <alignment vertical="center"/>
    </xf>
    <xf numFmtId="0" fontId="32" fillId="0" borderId="0" applyNumberFormat="0" applyFill="0" applyBorder="0" applyAlignment="0" applyProtection="0">
      <alignment vertical="top"/>
      <protection locked="0"/>
    </xf>
    <xf numFmtId="38" fontId="2" fillId="0" borderId="0" applyFont="0" applyFill="0" applyBorder="0" applyAlignment="0" applyProtection="0"/>
    <xf numFmtId="38" fontId="10" fillId="0" borderId="0" applyFont="0" applyFill="0" applyBorder="0" applyAlignment="0" applyProtection="0"/>
    <xf numFmtId="38" fontId="55" fillId="0" borderId="0" applyFont="0" applyFill="0" applyBorder="0" applyAlignment="0" applyProtection="0">
      <alignment vertical="center"/>
    </xf>
    <xf numFmtId="0" fontId="10" fillId="0" borderId="0"/>
    <xf numFmtId="0" fontId="10" fillId="0" borderId="0">
      <alignment vertical="center"/>
    </xf>
    <xf numFmtId="0" fontId="10" fillId="0" borderId="0">
      <alignment vertical="center"/>
    </xf>
    <xf numFmtId="0" fontId="55" fillId="0" borderId="0">
      <alignment vertical="center"/>
    </xf>
    <xf numFmtId="0" fontId="55" fillId="0" borderId="0">
      <alignment vertical="center"/>
    </xf>
    <xf numFmtId="0" fontId="12" fillId="0" borderId="0">
      <alignment vertical="center"/>
    </xf>
    <xf numFmtId="0" fontId="10" fillId="0" borderId="0">
      <alignment vertical="center"/>
    </xf>
    <xf numFmtId="0" fontId="33" fillId="0" borderId="0"/>
    <xf numFmtId="0" fontId="2" fillId="0" borderId="0"/>
    <xf numFmtId="0" fontId="97" fillId="0" borderId="0"/>
    <xf numFmtId="0" fontId="2" fillId="0" borderId="0"/>
    <xf numFmtId="38" fontId="2" fillId="0" borderId="0" applyFont="0" applyFill="0" applyBorder="0" applyAlignment="0" applyProtection="0">
      <alignment vertical="center"/>
    </xf>
    <xf numFmtId="38" fontId="55" fillId="0" borderId="0" applyFont="0" applyFill="0" applyBorder="0" applyAlignment="0" applyProtection="0">
      <alignment vertical="center"/>
    </xf>
    <xf numFmtId="0" fontId="55" fillId="0" borderId="0">
      <alignment vertical="center"/>
    </xf>
    <xf numFmtId="9" fontId="55" fillId="0" borderId="0" applyFont="0" applyFill="0" applyBorder="0" applyAlignment="0" applyProtection="0">
      <alignment vertical="center"/>
    </xf>
    <xf numFmtId="0" fontId="1" fillId="0" borderId="0">
      <alignment vertical="center"/>
    </xf>
    <xf numFmtId="0" fontId="130" fillId="0" borderId="0" applyNumberFormat="0" applyFill="0" applyBorder="0" applyAlignment="0" applyProtection="0"/>
  </cellStyleXfs>
  <cellXfs count="3293">
    <xf numFmtId="0" fontId="0" fillId="0" borderId="0" xfId="0"/>
    <xf numFmtId="0" fontId="6" fillId="0" borderId="0" xfId="0" applyFont="1" applyAlignment="1">
      <alignment horizontal="left" vertical="center"/>
    </xf>
    <xf numFmtId="0" fontId="6" fillId="0" borderId="0" xfId="0" applyFont="1" applyAlignment="1">
      <alignment vertical="center"/>
    </xf>
    <xf numFmtId="0" fontId="6" fillId="0" borderId="0" xfId="0" applyFont="1"/>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0" xfId="0" applyFont="1" applyAlignment="1">
      <alignment horizontal="center" vertical="center"/>
    </xf>
    <xf numFmtId="0" fontId="6" fillId="0" borderId="9" xfId="0" applyFont="1" applyBorder="1" applyAlignment="1">
      <alignment horizontal="left" vertical="center"/>
    </xf>
    <xf numFmtId="0" fontId="6" fillId="0" borderId="0" xfId="0" applyFont="1" applyAlignment="1">
      <alignment horizontal="left"/>
    </xf>
    <xf numFmtId="0" fontId="6" fillId="0" borderId="6" xfId="0" applyFont="1" applyBorder="1"/>
    <xf numFmtId="0" fontId="6" fillId="0" borderId="7" xfId="0" applyFont="1" applyBorder="1"/>
    <xf numFmtId="0" fontId="6" fillId="0" borderId="8" xfId="0" applyFont="1" applyBorder="1"/>
    <xf numFmtId="0" fontId="6" fillId="0" borderId="6" xfId="0" applyFont="1" applyBorder="1" applyAlignment="1">
      <alignment horizontal="justify" wrapText="1"/>
    </xf>
    <xf numFmtId="0" fontId="6" fillId="0" borderId="7" xfId="0" applyFont="1" applyBorder="1" applyAlignment="1">
      <alignment horizontal="justify" wrapText="1"/>
    </xf>
    <xf numFmtId="0" fontId="6" fillId="0" borderId="0" xfId="0" applyFont="1" applyAlignment="1">
      <alignment horizontal="justify" vertical="center" wrapText="1"/>
    </xf>
    <xf numFmtId="0" fontId="6" fillId="0" borderId="0" xfId="0" applyFont="1" applyAlignment="1">
      <alignment horizontal="left" vertical="center" wrapText="1"/>
    </xf>
    <xf numFmtId="0" fontId="6" fillId="0" borderId="4" xfId="0" applyFont="1" applyBorder="1" applyAlignment="1">
      <alignment vertical="center"/>
    </xf>
    <xf numFmtId="0" fontId="6" fillId="0" borderId="1" xfId="0" applyFont="1" applyBorder="1" applyAlignment="1">
      <alignment vertical="center"/>
    </xf>
    <xf numFmtId="0" fontId="6" fillId="0" borderId="6" xfId="0" applyFont="1" applyBorder="1" applyAlignment="1">
      <alignment horizontal="justify" vertical="center"/>
    </xf>
    <xf numFmtId="0" fontId="6" fillId="0" borderId="7" xfId="0" applyFont="1" applyBorder="1" applyAlignment="1">
      <alignment horizontal="justify" vertical="center"/>
    </xf>
    <xf numFmtId="0" fontId="6" fillId="0" borderId="8" xfId="0" applyFont="1" applyBorder="1" applyAlignment="1">
      <alignment horizontal="justify" vertical="center"/>
    </xf>
    <xf numFmtId="0" fontId="6" fillId="0" borderId="0" xfId="0" applyFont="1" applyAlignment="1">
      <alignment horizontal="left" wrapText="1"/>
    </xf>
    <xf numFmtId="0" fontId="6" fillId="0" borderId="3" xfId="0" applyFont="1" applyBorder="1" applyAlignment="1">
      <alignment horizontal="justify" vertical="center"/>
    </xf>
    <xf numFmtId="0" fontId="6" fillId="0" borderId="6" xfId="0" applyFont="1" applyBorder="1" applyAlignment="1">
      <alignment horizontal="justify"/>
    </xf>
    <xf numFmtId="0" fontId="6" fillId="0" borderId="7" xfId="0" applyFont="1" applyBorder="1" applyAlignment="1">
      <alignment horizontal="justify"/>
    </xf>
    <xf numFmtId="0" fontId="6" fillId="0" borderId="8" xfId="0" applyFont="1" applyBorder="1" applyAlignment="1">
      <alignment horizontal="justify"/>
    </xf>
    <xf numFmtId="0" fontId="6" fillId="0" borderId="4" xfId="0" applyFont="1" applyBorder="1" applyAlignment="1">
      <alignment horizontal="justify" vertical="center"/>
    </xf>
    <xf numFmtId="0" fontId="6" fillId="0" borderId="1" xfId="0" applyFont="1" applyBorder="1" applyAlignment="1">
      <alignment horizontal="justify" vertical="center"/>
    </xf>
    <xf numFmtId="0" fontId="6" fillId="0" borderId="4" xfId="0" applyFont="1" applyBorder="1" applyAlignment="1">
      <alignment horizontal="justify" wrapText="1"/>
    </xf>
    <xf numFmtId="0" fontId="6" fillId="0" borderId="1" xfId="0" applyFont="1" applyBorder="1" applyAlignment="1">
      <alignment horizontal="justify" wrapText="1"/>
    </xf>
    <xf numFmtId="0" fontId="6" fillId="0" borderId="8" xfId="0" applyFont="1" applyBorder="1" applyAlignment="1">
      <alignment horizontal="justify" wrapText="1"/>
    </xf>
    <xf numFmtId="0" fontId="6" fillId="0" borderId="10" xfId="0" applyFont="1" applyBorder="1" applyAlignment="1">
      <alignment horizontal="justify" wrapText="1"/>
    </xf>
    <xf numFmtId="0" fontId="6" fillId="0" borderId="9" xfId="0" applyFont="1" applyBorder="1" applyAlignment="1">
      <alignment horizontal="justify" wrapText="1"/>
    </xf>
    <xf numFmtId="0" fontId="6" fillId="0" borderId="9" xfId="0" applyFont="1" applyBorder="1"/>
    <xf numFmtId="0" fontId="6" fillId="0" borderId="11" xfId="0" applyFont="1" applyBorder="1" applyAlignment="1">
      <alignment horizontal="left"/>
    </xf>
    <xf numFmtId="0" fontId="6" fillId="0" borderId="3" xfId="0" applyFont="1" applyBorder="1" applyAlignment="1">
      <alignment vertical="center"/>
    </xf>
    <xf numFmtId="0" fontId="6" fillId="0" borderId="12"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0" xfId="0" applyFont="1" applyAlignment="1">
      <alignment horizontal="right" vertical="center"/>
    </xf>
    <xf numFmtId="0" fontId="8" fillId="0" borderId="0" xfId="0" applyFont="1" applyAlignment="1">
      <alignment horizontal="justify"/>
    </xf>
    <xf numFmtId="0" fontId="6" fillId="0" borderId="7" xfId="0" applyFont="1" applyBorder="1" applyAlignment="1">
      <alignment horizontal="left"/>
    </xf>
    <xf numFmtId="0" fontId="6" fillId="0" borderId="7" xfId="0" applyFont="1" applyBorder="1" applyAlignment="1">
      <alignment horizontal="left" wrapText="1"/>
    </xf>
    <xf numFmtId="0" fontId="6" fillId="0" borderId="4" xfId="0" applyFont="1" applyBorder="1" applyAlignment="1">
      <alignment horizontal="left"/>
    </xf>
    <xf numFmtId="0" fontId="6" fillId="0" borderId="1" xfId="0" applyFont="1" applyBorder="1" applyAlignment="1">
      <alignment horizontal="left"/>
    </xf>
    <xf numFmtId="0" fontId="6" fillId="0" borderId="5" xfId="0" applyFont="1" applyBorder="1" applyAlignment="1">
      <alignment horizontal="left"/>
    </xf>
    <xf numFmtId="0" fontId="6" fillId="0" borderId="15" xfId="0" applyFont="1" applyBorder="1" applyAlignment="1">
      <alignment horizontal="left"/>
    </xf>
    <xf numFmtId="0" fontId="6" fillId="0" borderId="3" xfId="0" applyFont="1" applyBorder="1" applyAlignment="1">
      <alignment horizontal="left"/>
    </xf>
    <xf numFmtId="0" fontId="6" fillId="0" borderId="16" xfId="0" applyFont="1" applyBorder="1" applyAlignment="1">
      <alignment horizontal="left"/>
    </xf>
    <xf numFmtId="0" fontId="6" fillId="0" borderId="17" xfId="0" applyFont="1" applyBorder="1" applyAlignment="1">
      <alignment horizontal="left"/>
    </xf>
    <xf numFmtId="0" fontId="6" fillId="0" borderId="3" xfId="0" applyFont="1" applyBorder="1"/>
    <xf numFmtId="0" fontId="6" fillId="0" borderId="4" xfId="0" applyFont="1" applyBorder="1"/>
    <xf numFmtId="0" fontId="6" fillId="0" borderId="1" xfId="0" applyFont="1" applyBorder="1"/>
    <xf numFmtId="0" fontId="6" fillId="0" borderId="5" xfId="0" applyFont="1" applyBorder="1"/>
    <xf numFmtId="0" fontId="6" fillId="0" borderId="15" xfId="0" applyFont="1" applyBorder="1"/>
    <xf numFmtId="0" fontId="6" fillId="0" borderId="18" xfId="0" applyFont="1" applyBorder="1" applyAlignment="1">
      <alignment horizontal="center" vertical="center" textRotation="255"/>
    </xf>
    <xf numFmtId="0" fontId="6" fillId="0" borderId="19" xfId="0" applyFont="1" applyBorder="1" applyAlignment="1">
      <alignment horizontal="justify" wrapText="1"/>
    </xf>
    <xf numFmtId="0" fontId="6" fillId="0" borderId="19" xfId="0" applyFont="1" applyBorder="1" applyAlignment="1">
      <alignment horizontal="left" vertical="center"/>
    </xf>
    <xf numFmtId="0" fontId="6" fillId="0" borderId="20" xfId="0" applyFont="1" applyBorder="1" applyAlignment="1">
      <alignment horizontal="left" vertical="center"/>
    </xf>
    <xf numFmtId="0" fontId="6" fillId="0" borderId="6" xfId="0" applyFont="1" applyBorder="1" applyAlignment="1">
      <alignment horizontal="center" vertical="center" textRotation="255"/>
    </xf>
    <xf numFmtId="0" fontId="6" fillId="0" borderId="4" xfId="0" applyFont="1" applyBorder="1" applyAlignment="1">
      <alignment horizontal="justify"/>
    </xf>
    <xf numFmtId="0" fontId="6" fillId="0" borderId="5" xfId="0" applyFont="1" applyBorder="1" applyAlignment="1">
      <alignment horizontal="justify"/>
    </xf>
    <xf numFmtId="0" fontId="6" fillId="0" borderId="6" xfId="0" applyFont="1" applyBorder="1" applyAlignment="1">
      <alignment horizontal="center" vertical="center" textRotation="255" wrapText="1"/>
    </xf>
    <xf numFmtId="0" fontId="6" fillId="0" borderId="3" xfId="0" applyFont="1" applyBorder="1" applyAlignment="1">
      <alignment horizontal="center" vertical="center" textRotation="255" wrapText="1"/>
    </xf>
    <xf numFmtId="0" fontId="6" fillId="0" borderId="20" xfId="0" applyFont="1" applyBorder="1" applyAlignment="1">
      <alignment horizontal="justify" wrapText="1"/>
    </xf>
    <xf numFmtId="0" fontId="6" fillId="0" borderId="21" xfId="0" applyFont="1" applyBorder="1" applyAlignment="1">
      <alignment horizontal="center" vertical="center" textRotation="255" wrapText="1"/>
    </xf>
    <xf numFmtId="0" fontId="6" fillId="0" borderId="22" xfId="0" applyFont="1" applyBorder="1" applyAlignment="1">
      <alignment horizontal="justify" wrapText="1"/>
    </xf>
    <xf numFmtId="0" fontId="6" fillId="0" borderId="23" xfId="0" applyFont="1" applyBorder="1" applyAlignment="1">
      <alignment horizontal="justify" wrapText="1"/>
    </xf>
    <xf numFmtId="0" fontId="6" fillId="0" borderId="24" xfId="0" applyFont="1" applyBorder="1" applyAlignment="1">
      <alignment horizontal="justify" wrapText="1"/>
    </xf>
    <xf numFmtId="0" fontId="6" fillId="0" borderId="21" xfId="0" applyFont="1" applyBorder="1" applyAlignment="1">
      <alignment horizontal="left" vertical="center"/>
    </xf>
    <xf numFmtId="0" fontId="6" fillId="0" borderId="23" xfId="0" applyFont="1" applyBorder="1" applyAlignment="1">
      <alignment horizontal="justify"/>
    </xf>
    <xf numFmtId="0" fontId="6" fillId="0" borderId="23" xfId="0" applyFont="1" applyBorder="1"/>
    <xf numFmtId="0" fontId="6" fillId="0" borderId="24" xfId="0" applyFont="1" applyBorder="1"/>
    <xf numFmtId="0" fontId="6" fillId="0" borderId="3" xfId="0" applyFont="1" applyBorder="1" applyAlignment="1">
      <alignment horizontal="justify" wrapText="1"/>
    </xf>
    <xf numFmtId="0" fontId="6" fillId="0" borderId="25" xfId="0" applyFont="1" applyBorder="1" applyAlignment="1">
      <alignment horizontal="left" vertical="center"/>
    </xf>
    <xf numFmtId="0" fontId="6" fillId="0" borderId="21" xfId="0" applyFont="1" applyBorder="1" applyAlignment="1">
      <alignment horizontal="justify" wrapText="1"/>
    </xf>
    <xf numFmtId="0" fontId="6" fillId="0" borderId="24" xfId="0" applyFont="1" applyBorder="1" applyAlignment="1">
      <alignment horizontal="left" vertical="center"/>
    </xf>
    <xf numFmtId="0" fontId="6" fillId="0" borderId="26" xfId="0" applyFont="1" applyBorder="1" applyAlignment="1">
      <alignment horizontal="left" vertical="center"/>
    </xf>
    <xf numFmtId="0" fontId="6" fillId="0" borderId="21" xfId="0" applyFont="1" applyBorder="1"/>
    <xf numFmtId="0" fontId="7" fillId="3" borderId="0" xfId="0" applyFont="1" applyFill="1" applyAlignment="1">
      <alignment vertical="center"/>
    </xf>
    <xf numFmtId="0" fontId="11" fillId="3" borderId="0" xfId="0" applyFont="1" applyFill="1" applyAlignment="1">
      <alignment vertical="center"/>
    </xf>
    <xf numFmtId="0" fontId="7" fillId="3" borderId="0" xfId="0" applyFont="1" applyFill="1" applyAlignment="1">
      <alignment horizontal="center" vertical="center"/>
    </xf>
    <xf numFmtId="0" fontId="7" fillId="3" borderId="17" xfId="0" applyFont="1" applyFill="1" applyBorder="1" applyAlignment="1">
      <alignment vertical="center"/>
    </xf>
    <xf numFmtId="0" fontId="7" fillId="3" borderId="0" xfId="0" applyFont="1" applyFill="1" applyAlignment="1">
      <alignment vertical="center" shrinkToFit="1"/>
    </xf>
    <xf numFmtId="0" fontId="57" fillId="3" borderId="0" xfId="0" applyFont="1" applyFill="1" applyAlignment="1">
      <alignment vertical="center"/>
    </xf>
    <xf numFmtId="0" fontId="7" fillId="3" borderId="0" xfId="0" applyFont="1" applyFill="1" applyAlignment="1">
      <alignment vertical="top"/>
    </xf>
    <xf numFmtId="0" fontId="57" fillId="3" borderId="0" xfId="0" applyFont="1" applyFill="1" applyAlignment="1">
      <alignment vertical="top"/>
    </xf>
    <xf numFmtId="0" fontId="7" fillId="3" borderId="0" xfId="0" applyFont="1" applyFill="1" applyAlignment="1">
      <alignment horizontal="left" vertical="top"/>
    </xf>
    <xf numFmtId="0" fontId="58" fillId="3" borderId="0" xfId="0" applyFont="1" applyFill="1" applyAlignment="1">
      <alignment horizontal="left" vertical="top"/>
    </xf>
    <xf numFmtId="0" fontId="7" fillId="3" borderId="0" xfId="0" applyFont="1" applyFill="1" applyAlignment="1">
      <alignment vertical="top" shrinkToFit="1"/>
    </xf>
    <xf numFmtId="0" fontId="7" fillId="3" borderId="0" xfId="0" applyFont="1" applyFill="1" applyAlignment="1">
      <alignment horizontal="center" vertical="center" shrinkToFit="1"/>
    </xf>
    <xf numFmtId="0" fontId="7" fillId="3" borderId="0" xfId="0" applyFont="1" applyFill="1" applyAlignment="1">
      <alignment horizontal="left" vertical="center"/>
    </xf>
    <xf numFmtId="0" fontId="57" fillId="3" borderId="0" xfId="0" applyFont="1" applyFill="1" applyAlignment="1">
      <alignment vertical="top" shrinkToFit="1"/>
    </xf>
    <xf numFmtId="0" fontId="7" fillId="3" borderId="6" xfId="0" applyFont="1" applyFill="1" applyBorder="1" applyAlignment="1">
      <alignment horizontal="center" vertical="center" shrinkToFit="1"/>
    </xf>
    <xf numFmtId="0" fontId="7" fillId="3" borderId="0" xfId="0" applyFont="1" applyFill="1" applyAlignment="1">
      <alignment vertical="center" wrapText="1"/>
    </xf>
    <xf numFmtId="0" fontId="6" fillId="3" borderId="0" xfId="0" applyFont="1" applyFill="1" applyAlignment="1">
      <alignment vertical="center"/>
    </xf>
    <xf numFmtId="0" fontId="6" fillId="3" borderId="0" xfId="0" applyFont="1" applyFill="1" applyAlignment="1">
      <alignment vertical="center" shrinkToFit="1"/>
    </xf>
    <xf numFmtId="0" fontId="6" fillId="3" borderId="3" xfId="0" applyFont="1" applyFill="1" applyBorder="1" applyAlignment="1">
      <alignment vertical="center" shrinkToFit="1"/>
    </xf>
    <xf numFmtId="0" fontId="6" fillId="3" borderId="17" xfId="0" applyFont="1" applyFill="1" applyBorder="1" applyAlignment="1">
      <alignment vertical="center" shrinkToFit="1"/>
    </xf>
    <xf numFmtId="0" fontId="6" fillId="3" borderId="16" xfId="0" applyFont="1" applyFill="1" applyBorder="1" applyAlignment="1">
      <alignment vertical="center" shrinkToFit="1"/>
    </xf>
    <xf numFmtId="0" fontId="6" fillId="3" borderId="0" xfId="0" applyFont="1" applyFill="1" applyAlignment="1">
      <alignment vertical="center" wrapText="1"/>
    </xf>
    <xf numFmtId="0" fontId="7" fillId="3" borderId="2" xfId="0" applyFont="1" applyFill="1" applyBorder="1" applyAlignment="1">
      <alignment vertical="center"/>
    </xf>
    <xf numFmtId="0" fontId="7" fillId="5" borderId="7" xfId="0" applyFont="1" applyFill="1" applyBorder="1" applyAlignment="1">
      <alignment vertical="center"/>
    </xf>
    <xf numFmtId="0" fontId="7" fillId="3" borderId="7" xfId="0" applyFont="1" applyFill="1" applyBorder="1" applyAlignment="1">
      <alignment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shrinkToFit="1"/>
    </xf>
    <xf numFmtId="0" fontId="7" fillId="3" borderId="3" xfId="0" applyFont="1" applyFill="1" applyBorder="1" applyAlignment="1">
      <alignment vertical="center"/>
    </xf>
    <xf numFmtId="2" fontId="7" fillId="3" borderId="1" xfId="0" applyNumberFormat="1" applyFont="1" applyFill="1" applyBorder="1" applyAlignment="1">
      <alignment horizontal="left" vertical="center"/>
    </xf>
    <xf numFmtId="0" fontId="7" fillId="3" borderId="16" xfId="0" applyFont="1" applyFill="1" applyBorder="1" applyAlignment="1">
      <alignment vertical="center"/>
    </xf>
    <xf numFmtId="0" fontId="7" fillId="7" borderId="7" xfId="0" applyFont="1" applyFill="1" applyBorder="1" applyAlignment="1">
      <alignment vertical="center"/>
    </xf>
    <xf numFmtId="0" fontId="7" fillId="3" borderId="8" xfId="0" applyFont="1" applyFill="1" applyBorder="1" applyAlignment="1">
      <alignment vertical="center"/>
    </xf>
    <xf numFmtId="0" fontId="7" fillId="3" borderId="0" xfId="0" applyFont="1" applyFill="1" applyAlignment="1">
      <alignment horizontal="right" vertical="center"/>
    </xf>
    <xf numFmtId="0" fontId="16" fillId="3" borderId="3" xfId="0" applyFont="1" applyFill="1" applyBorder="1" applyAlignment="1">
      <alignment horizontal="left" vertical="center"/>
    </xf>
    <xf numFmtId="0" fontId="16" fillId="3" borderId="5" xfId="0" applyFont="1" applyFill="1" applyBorder="1" applyAlignment="1">
      <alignment horizontal="center" vertical="top" wrapText="1"/>
    </xf>
    <xf numFmtId="0" fontId="16" fillId="3" borderId="16" xfId="0" applyFont="1" applyFill="1" applyBorder="1" applyAlignment="1">
      <alignment horizontal="center" vertical="top" wrapText="1"/>
    </xf>
    <xf numFmtId="0" fontId="16" fillId="7" borderId="5" xfId="0" applyFont="1" applyFill="1" applyBorder="1" applyAlignment="1">
      <alignment vertical="top" wrapText="1"/>
    </xf>
    <xf numFmtId="0" fontId="16" fillId="5" borderId="5" xfId="0" applyFont="1" applyFill="1" applyBorder="1" applyAlignment="1">
      <alignment horizontal="center" vertical="top" wrapText="1"/>
    </xf>
    <xf numFmtId="0" fontId="16" fillId="3" borderId="17" xfId="0" applyFont="1" applyFill="1" applyBorder="1" applyAlignment="1">
      <alignment horizontal="center" vertical="top" wrapText="1"/>
    </xf>
    <xf numFmtId="0" fontId="16" fillId="7" borderId="0" xfId="0" applyFont="1" applyFill="1" applyAlignment="1">
      <alignment vertical="top" wrapText="1"/>
    </xf>
    <xf numFmtId="0" fontId="16" fillId="3" borderId="0" xfId="0" applyFont="1" applyFill="1" applyAlignment="1">
      <alignment horizontal="center" vertical="top" wrapText="1"/>
    </xf>
    <xf numFmtId="0" fontId="16" fillId="5" borderId="0" xfId="0" applyFont="1" applyFill="1" applyAlignment="1">
      <alignment horizontal="center" vertical="top" wrapText="1"/>
    </xf>
    <xf numFmtId="180" fontId="16" fillId="7" borderId="0" xfId="0" applyNumberFormat="1" applyFont="1" applyFill="1" applyAlignment="1">
      <alignment horizontal="right" vertical="top" wrapText="1"/>
    </xf>
    <xf numFmtId="0" fontId="16" fillId="3" borderId="0" xfId="0" applyFont="1" applyFill="1" applyAlignment="1">
      <alignment horizontal="right" vertical="top" wrapText="1"/>
    </xf>
    <xf numFmtId="0" fontId="58" fillId="3" borderId="0" xfId="0" applyFont="1" applyFill="1" applyAlignment="1">
      <alignment vertical="center"/>
    </xf>
    <xf numFmtId="0" fontId="59" fillId="3" borderId="0" xfId="0" applyFont="1" applyFill="1" applyAlignment="1">
      <alignment horizontal="center" vertical="center"/>
    </xf>
    <xf numFmtId="0" fontId="59" fillId="3" borderId="0" xfId="0" applyFont="1" applyFill="1" applyAlignment="1">
      <alignment vertical="center"/>
    </xf>
    <xf numFmtId="0" fontId="60" fillId="3" borderId="0" xfId="0" applyFont="1" applyFill="1" applyAlignment="1">
      <alignment vertical="top" wrapText="1"/>
    </xf>
    <xf numFmtId="180" fontId="59" fillId="3" borderId="0" xfId="0" applyNumberFormat="1" applyFont="1" applyFill="1" applyAlignment="1">
      <alignment horizontal="center" vertical="center"/>
    </xf>
    <xf numFmtId="0" fontId="60" fillId="3" borderId="0" xfId="0" applyFont="1" applyFill="1" applyAlignment="1">
      <alignment horizontal="center" vertical="top" wrapText="1"/>
    </xf>
    <xf numFmtId="0" fontId="59" fillId="3" borderId="0" xfId="0" applyFont="1" applyFill="1" applyAlignment="1">
      <alignment horizontal="right" vertical="center"/>
    </xf>
    <xf numFmtId="180" fontId="59" fillId="3" borderId="0" xfId="0" applyNumberFormat="1" applyFont="1" applyFill="1" applyAlignment="1">
      <alignment horizontal="right" vertical="center"/>
    </xf>
    <xf numFmtId="0" fontId="59" fillId="3" borderId="0" xfId="0" applyFont="1" applyFill="1" applyAlignment="1">
      <alignment horizontal="center" vertical="center" wrapText="1"/>
    </xf>
    <xf numFmtId="2" fontId="59" fillId="3" borderId="0" xfId="0" applyNumberFormat="1" applyFont="1" applyFill="1" applyAlignment="1">
      <alignment horizontal="left" vertical="center"/>
    </xf>
    <xf numFmtId="0" fontId="60" fillId="3" borderId="0" xfId="0" applyFont="1" applyFill="1" applyAlignment="1">
      <alignment vertical="center"/>
    </xf>
    <xf numFmtId="0" fontId="61" fillId="3" borderId="0" xfId="0" applyFont="1" applyFill="1" applyAlignment="1">
      <alignment vertical="top" wrapText="1"/>
    </xf>
    <xf numFmtId="180" fontId="62" fillId="3" borderId="0" xfId="0" applyNumberFormat="1" applyFont="1" applyFill="1" applyAlignment="1">
      <alignment horizontal="right" vertical="center"/>
    </xf>
    <xf numFmtId="0" fontId="62" fillId="3" borderId="0" xfId="0" applyFont="1" applyFill="1" applyAlignment="1">
      <alignment horizontal="right" vertical="center"/>
    </xf>
    <xf numFmtId="0" fontId="61" fillId="3" borderId="0" xfId="0" applyFont="1" applyFill="1" applyAlignment="1">
      <alignment horizontal="left" vertical="center"/>
    </xf>
    <xf numFmtId="0" fontId="61" fillId="3" borderId="0" xfId="0" applyFont="1" applyFill="1" applyAlignment="1">
      <alignment vertical="center"/>
    </xf>
    <xf numFmtId="180" fontId="62" fillId="3" borderId="0" xfId="0" applyNumberFormat="1" applyFont="1" applyFill="1" applyAlignment="1">
      <alignment vertical="center"/>
    </xf>
    <xf numFmtId="0" fontId="61" fillId="3" borderId="3" xfId="0" applyFont="1" applyFill="1" applyBorder="1" applyAlignment="1">
      <alignment vertical="center"/>
    </xf>
    <xf numFmtId="0" fontId="61" fillId="3" borderId="4" xfId="0" applyFont="1" applyFill="1" applyBorder="1" applyAlignment="1">
      <alignment vertical="center"/>
    </xf>
    <xf numFmtId="180" fontId="62" fillId="3" borderId="4" xfId="0" applyNumberFormat="1" applyFont="1" applyFill="1" applyBorder="1" applyAlignment="1">
      <alignment horizontal="right" vertical="center"/>
    </xf>
    <xf numFmtId="0" fontId="61" fillId="3" borderId="1" xfId="0" applyFont="1" applyFill="1" applyBorder="1" applyAlignment="1">
      <alignment vertical="center"/>
    </xf>
    <xf numFmtId="0" fontId="61" fillId="3" borderId="16" xfId="0" applyFont="1" applyFill="1" applyBorder="1" applyAlignment="1">
      <alignment vertical="center"/>
    </xf>
    <xf numFmtId="180" fontId="62" fillId="5" borderId="5" xfId="0" applyNumberFormat="1" applyFont="1" applyFill="1" applyBorder="1" applyAlignment="1">
      <alignment horizontal="right" vertical="center"/>
    </xf>
    <xf numFmtId="180" fontId="62" fillId="3" borderId="5" xfId="0" applyNumberFormat="1" applyFont="1" applyFill="1" applyBorder="1" applyAlignment="1">
      <alignment horizontal="right" vertical="center"/>
    </xf>
    <xf numFmtId="0" fontId="61" fillId="3" borderId="15" xfId="0" applyFont="1" applyFill="1" applyBorder="1" applyAlignment="1">
      <alignment vertical="center"/>
    </xf>
    <xf numFmtId="0" fontId="62" fillId="3" borderId="0" xfId="0" applyFont="1" applyFill="1" applyAlignment="1">
      <alignment horizontal="left" vertical="center"/>
    </xf>
    <xf numFmtId="0" fontId="59" fillId="3" borderId="0" xfId="0" applyFont="1" applyFill="1" applyAlignment="1">
      <alignment vertical="top" wrapText="1"/>
    </xf>
    <xf numFmtId="0" fontId="7" fillId="3" borderId="6"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7" xfId="0" applyFont="1" applyFill="1" applyBorder="1" applyAlignment="1">
      <alignment horizontal="center" vertical="center" shrinkToFit="1"/>
    </xf>
    <xf numFmtId="0" fontId="16" fillId="3" borderId="3" xfId="0" applyFont="1" applyFill="1" applyBorder="1" applyAlignment="1">
      <alignment vertical="top" wrapText="1"/>
    </xf>
    <xf numFmtId="0" fontId="16" fillId="3" borderId="4" xfId="0" applyFont="1" applyFill="1" applyBorder="1" applyAlignment="1">
      <alignment vertical="top" wrapText="1"/>
    </xf>
    <xf numFmtId="0" fontId="16" fillId="3" borderId="1" xfId="0" applyFont="1" applyFill="1" applyBorder="1" applyAlignment="1">
      <alignment vertical="top" wrapText="1"/>
    </xf>
    <xf numFmtId="0" fontId="16" fillId="3" borderId="17" xfId="0" applyFont="1" applyFill="1" applyBorder="1" applyAlignment="1">
      <alignment vertical="top" wrapText="1"/>
    </xf>
    <xf numFmtId="0" fontId="16" fillId="3" borderId="0" xfId="0" applyFont="1" applyFill="1" applyAlignment="1">
      <alignment vertical="top" wrapText="1"/>
    </xf>
    <xf numFmtId="0" fontId="16" fillId="3" borderId="27" xfId="0" applyFont="1" applyFill="1" applyBorder="1" applyAlignment="1">
      <alignment vertical="top" wrapText="1"/>
    </xf>
    <xf numFmtId="0" fontId="16" fillId="3" borderId="16" xfId="0" applyFont="1" applyFill="1" applyBorder="1" applyAlignment="1">
      <alignment vertical="top" wrapText="1"/>
    </xf>
    <xf numFmtId="0" fontId="16" fillId="3" borderId="5" xfId="0" applyFont="1" applyFill="1" applyBorder="1" applyAlignment="1">
      <alignment vertical="top" wrapText="1"/>
    </xf>
    <xf numFmtId="0" fontId="16" fillId="3" borderId="15" xfId="0" applyFont="1" applyFill="1" applyBorder="1" applyAlignment="1">
      <alignment vertical="top" wrapText="1"/>
    </xf>
    <xf numFmtId="0" fontId="7" fillId="3" borderId="1" xfId="0" applyFont="1" applyFill="1" applyBorder="1" applyAlignment="1">
      <alignment horizontal="center" vertical="center"/>
    </xf>
    <xf numFmtId="0" fontId="7" fillId="3" borderId="1" xfId="0" applyFont="1" applyFill="1" applyBorder="1" applyAlignment="1">
      <alignment vertical="center"/>
    </xf>
    <xf numFmtId="0" fontId="7" fillId="3" borderId="27" xfId="0" applyFont="1" applyFill="1" applyBorder="1" applyAlignment="1">
      <alignment vertical="center"/>
    </xf>
    <xf numFmtId="0" fontId="7" fillId="3" borderId="15" xfId="0" applyFont="1" applyFill="1" applyBorder="1" applyAlignment="1">
      <alignment vertical="center"/>
    </xf>
    <xf numFmtId="0" fontId="7" fillId="3" borderId="4" xfId="0" applyFont="1" applyFill="1" applyBorder="1" applyAlignment="1">
      <alignment vertical="center"/>
    </xf>
    <xf numFmtId="0" fontId="7" fillId="3" borderId="5" xfId="0" applyFont="1" applyFill="1" applyBorder="1" applyAlignment="1">
      <alignment vertical="center"/>
    </xf>
    <xf numFmtId="0" fontId="7" fillId="7" borderId="7" xfId="0" applyFont="1" applyFill="1" applyBorder="1" applyAlignment="1">
      <alignment horizontal="center" vertical="center" shrinkToFit="1"/>
    </xf>
    <xf numFmtId="0" fontId="16" fillId="3" borderId="17" xfId="0" applyFont="1" applyFill="1" applyBorder="1" applyAlignment="1">
      <alignment horizontal="left" vertical="top" wrapText="1"/>
    </xf>
    <xf numFmtId="0" fontId="16" fillId="3" borderId="27" xfId="0" applyFont="1" applyFill="1" applyBorder="1" applyAlignment="1">
      <alignment horizontal="left" vertical="top" wrapText="1"/>
    </xf>
    <xf numFmtId="0" fontId="62" fillId="3" borderId="0" xfId="0" applyFont="1" applyFill="1" applyAlignment="1">
      <alignment horizontal="center" vertical="center"/>
    </xf>
    <xf numFmtId="0" fontId="62" fillId="3" borderId="4" xfId="0" applyFont="1" applyFill="1" applyBorder="1" applyAlignment="1">
      <alignment vertical="center"/>
    </xf>
    <xf numFmtId="0" fontId="62" fillId="3" borderId="5" xfId="0" applyFont="1" applyFill="1" applyBorder="1" applyAlignment="1">
      <alignment vertical="center"/>
    </xf>
    <xf numFmtId="0" fontId="62" fillId="3" borderId="0" xfId="0" applyFont="1" applyFill="1" applyAlignment="1">
      <alignment vertical="center"/>
    </xf>
    <xf numFmtId="0" fontId="21" fillId="3" borderId="28" xfId="0" applyFont="1" applyFill="1" applyBorder="1" applyAlignment="1">
      <alignment vertical="center" shrinkToFit="1"/>
    </xf>
    <xf numFmtId="0" fontId="23" fillId="3" borderId="0" xfId="0" applyFont="1" applyFill="1" applyAlignment="1">
      <alignment vertical="center"/>
    </xf>
    <xf numFmtId="0" fontId="19" fillId="3" borderId="0" xfId="0" applyFont="1" applyFill="1" applyAlignment="1">
      <alignment vertical="center"/>
    </xf>
    <xf numFmtId="0" fontId="7" fillId="8" borderId="3" xfId="0" applyFont="1" applyFill="1" applyBorder="1" applyAlignment="1">
      <alignment horizontal="center" vertical="center"/>
    </xf>
    <xf numFmtId="0" fontId="7" fillId="8" borderId="1" xfId="0" applyFont="1" applyFill="1" applyBorder="1" applyAlignment="1">
      <alignment horizontal="right" vertical="center" shrinkToFit="1"/>
    </xf>
    <xf numFmtId="0" fontId="7" fillId="8" borderId="4" xfId="0" applyFont="1" applyFill="1" applyBorder="1" applyAlignment="1">
      <alignment horizontal="right" vertical="center" shrinkToFit="1"/>
    </xf>
    <xf numFmtId="0" fontId="7" fillId="8" borderId="6" xfId="0" applyFont="1" applyFill="1" applyBorder="1" applyAlignment="1">
      <alignment horizontal="center" vertical="center" shrinkToFit="1"/>
    </xf>
    <xf numFmtId="0" fontId="7" fillId="8" borderId="3" xfId="0" applyFont="1" applyFill="1" applyBorder="1" applyAlignment="1">
      <alignment horizontal="center" vertical="center" shrinkToFit="1"/>
    </xf>
    <xf numFmtId="0" fontId="7" fillId="8" borderId="2" xfId="0" applyFont="1" applyFill="1" applyBorder="1" applyAlignment="1">
      <alignment horizontal="center" vertical="center" shrinkToFit="1"/>
    </xf>
    <xf numFmtId="0" fontId="7" fillId="8" borderId="17" xfId="0" applyFont="1" applyFill="1" applyBorder="1" applyAlignment="1">
      <alignment vertical="center"/>
    </xf>
    <xf numFmtId="0" fontId="7" fillId="8" borderId="27" xfId="0" applyFont="1" applyFill="1" applyBorder="1" applyAlignment="1">
      <alignment vertical="center" shrinkToFit="1"/>
    </xf>
    <xf numFmtId="0" fontId="7" fillId="8" borderId="0" xfId="0" applyFont="1" applyFill="1" applyAlignment="1">
      <alignment vertical="center" shrinkToFit="1"/>
    </xf>
    <xf numFmtId="0" fontId="7" fillId="8" borderId="16" xfId="0" applyFont="1" applyFill="1" applyBorder="1" applyAlignment="1">
      <alignment horizontal="center" vertical="center"/>
    </xf>
    <xf numFmtId="0" fontId="7" fillId="8" borderId="15" xfId="0" applyFont="1" applyFill="1" applyBorder="1" applyAlignment="1">
      <alignment vertical="center" shrinkToFit="1"/>
    </xf>
    <xf numFmtId="0" fontId="7" fillId="8" borderId="5" xfId="0" applyFont="1" applyFill="1" applyBorder="1" applyAlignment="1">
      <alignment vertical="center" shrinkToFit="1"/>
    </xf>
    <xf numFmtId="0" fontId="7" fillId="8" borderId="2" xfId="0" applyFont="1" applyFill="1" applyBorder="1" applyAlignment="1">
      <alignment horizontal="center" vertical="center"/>
    </xf>
    <xf numFmtId="0" fontId="64" fillId="3" borderId="0" xfId="0" applyFont="1" applyFill="1" applyAlignment="1">
      <alignment vertical="center"/>
    </xf>
    <xf numFmtId="0" fontId="21" fillId="3" borderId="4" xfId="0" applyFont="1" applyFill="1" applyBorder="1" applyAlignment="1">
      <alignment vertical="center" shrinkToFit="1"/>
    </xf>
    <xf numFmtId="0" fontId="21" fillId="3" borderId="0" xfId="0" applyFont="1" applyFill="1" applyAlignment="1">
      <alignment vertical="top"/>
    </xf>
    <xf numFmtId="0" fontId="27" fillId="3" borderId="0" xfId="0" applyFont="1" applyFill="1" applyAlignment="1">
      <alignment vertical="top"/>
    </xf>
    <xf numFmtId="0" fontId="65" fillId="3" borderId="0" xfId="0" applyFont="1" applyFill="1" applyAlignment="1">
      <alignment vertical="top"/>
    </xf>
    <xf numFmtId="0" fontId="66" fillId="3" borderId="0" xfId="0" applyFont="1" applyFill="1" applyAlignment="1">
      <alignment vertical="top"/>
    </xf>
    <xf numFmtId="0" fontId="67" fillId="9" borderId="25" xfId="0" applyFont="1" applyFill="1" applyBorder="1" applyAlignment="1">
      <alignment horizontal="center" vertical="center" shrinkToFit="1"/>
    </xf>
    <xf numFmtId="0" fontId="67" fillId="9" borderId="2" xfId="0" applyFont="1" applyFill="1" applyBorder="1" applyAlignment="1">
      <alignment horizontal="center" vertical="center" shrinkToFit="1"/>
    </xf>
    <xf numFmtId="0" fontId="21" fillId="3" borderId="3" xfId="0" applyFont="1" applyFill="1" applyBorder="1" applyAlignment="1">
      <alignment vertical="center" shrinkToFit="1"/>
    </xf>
    <xf numFmtId="0" fontId="21" fillId="3" borderId="25" xfId="0" applyFont="1" applyFill="1" applyBorder="1" applyAlignment="1">
      <alignment vertical="center" shrinkToFit="1"/>
    </xf>
    <xf numFmtId="0" fontId="21" fillId="3" borderId="16" xfId="0" applyFont="1" applyFill="1" applyBorder="1" applyAlignment="1">
      <alignment vertical="center" shrinkToFit="1"/>
    </xf>
    <xf numFmtId="0" fontId="21" fillId="3" borderId="5" xfId="0" applyFont="1" applyFill="1" applyBorder="1" applyAlignment="1">
      <alignment vertical="center" shrinkToFit="1"/>
    </xf>
    <xf numFmtId="0" fontId="21" fillId="3" borderId="29" xfId="0" applyFont="1" applyFill="1" applyBorder="1" applyAlignment="1">
      <alignment horizontal="center" vertical="center" shrinkToFit="1"/>
    </xf>
    <xf numFmtId="0" fontId="21" fillId="3" borderId="29" xfId="0" applyFont="1" applyFill="1" applyBorder="1" applyAlignment="1">
      <alignment vertical="center" shrinkToFit="1"/>
    </xf>
    <xf numFmtId="0" fontId="21" fillId="3" borderId="41" xfId="0" applyFont="1" applyFill="1" applyBorder="1" applyAlignment="1">
      <alignment vertical="center" shrinkToFit="1"/>
    </xf>
    <xf numFmtId="0" fontId="21" fillId="3" borderId="28" xfId="0" applyFont="1" applyFill="1" applyBorder="1" applyAlignment="1">
      <alignment horizontal="center" vertical="center" shrinkToFit="1"/>
    </xf>
    <xf numFmtId="0" fontId="21" fillId="4" borderId="25" xfId="0" applyFont="1" applyFill="1" applyBorder="1" applyAlignment="1">
      <alignment vertical="center" shrinkToFit="1"/>
    </xf>
    <xf numFmtId="0" fontId="21" fillId="4" borderId="29" xfId="0" applyFont="1" applyFill="1" applyBorder="1" applyAlignment="1">
      <alignment vertical="center" shrinkToFit="1"/>
    </xf>
    <xf numFmtId="0" fontId="21" fillId="4" borderId="3" xfId="0" applyFont="1" applyFill="1" applyBorder="1" applyAlignment="1">
      <alignment vertical="center" shrinkToFit="1"/>
    </xf>
    <xf numFmtId="0" fontId="21" fillId="4" borderId="17" xfId="0" applyFont="1" applyFill="1" applyBorder="1" applyAlignment="1">
      <alignment vertical="center" shrinkToFit="1"/>
    </xf>
    <xf numFmtId="0" fontId="21" fillId="4" borderId="0" xfId="0" applyFont="1" applyFill="1" applyAlignment="1">
      <alignment horizontal="center" vertical="center" shrinkToFit="1"/>
    </xf>
    <xf numFmtId="0" fontId="21" fillId="4" borderId="16" xfId="0" applyFont="1" applyFill="1" applyBorder="1" applyAlignment="1">
      <alignment vertical="center" shrinkToFit="1"/>
    </xf>
    <xf numFmtId="0" fontId="21" fillId="4" borderId="28" xfId="0" applyFont="1" applyFill="1" applyBorder="1" applyAlignment="1">
      <alignment vertical="center" shrinkToFit="1"/>
    </xf>
    <xf numFmtId="0" fontId="22" fillId="3" borderId="0" xfId="0" applyFont="1" applyFill="1" applyAlignment="1">
      <alignment vertical="top"/>
    </xf>
    <xf numFmtId="0" fontId="21" fillId="4" borderId="29" xfId="0" applyFont="1" applyFill="1" applyBorder="1" applyAlignment="1">
      <alignment horizontal="center" vertical="center" shrinkToFit="1"/>
    </xf>
    <xf numFmtId="0" fontId="21" fillId="4" borderId="25" xfId="0" applyFont="1" applyFill="1" applyBorder="1" applyAlignment="1">
      <alignment horizontal="center" vertical="center" shrinkToFit="1"/>
    </xf>
    <xf numFmtId="0" fontId="23" fillId="3" borderId="42" xfId="0" applyFont="1" applyFill="1" applyBorder="1" applyAlignment="1">
      <alignment vertical="center"/>
    </xf>
    <xf numFmtId="0" fontId="6" fillId="3" borderId="17" xfId="0" applyFont="1" applyFill="1" applyBorder="1" applyAlignment="1">
      <alignment horizontal="left" vertical="center"/>
    </xf>
    <xf numFmtId="0" fontId="6" fillId="3" borderId="3" xfId="0" applyFont="1" applyFill="1" applyBorder="1" applyAlignment="1">
      <alignment horizontal="left" vertical="center"/>
    </xf>
    <xf numFmtId="0" fontId="23" fillId="3" borderId="6" xfId="0" applyFont="1" applyFill="1" applyBorder="1" applyAlignment="1">
      <alignment horizontal="center" vertical="center"/>
    </xf>
    <xf numFmtId="180" fontId="7" fillId="3" borderId="0" xfId="0" applyNumberFormat="1" applyFont="1" applyFill="1" applyAlignment="1">
      <alignment horizontal="center" vertical="center"/>
    </xf>
    <xf numFmtId="0" fontId="16" fillId="3" borderId="0" xfId="0" applyFont="1" applyFill="1" applyAlignment="1">
      <alignment horizontal="left" vertical="center"/>
    </xf>
    <xf numFmtId="0" fontId="16" fillId="3" borderId="0" xfId="0" applyFont="1" applyFill="1" applyAlignment="1">
      <alignment horizontal="left" vertical="top"/>
    </xf>
    <xf numFmtId="0" fontId="16" fillId="3" borderId="0" xfId="0" applyFont="1" applyFill="1" applyAlignment="1">
      <alignment horizontal="right" vertical="center" shrinkToFit="1"/>
    </xf>
    <xf numFmtId="0" fontId="15" fillId="3" borderId="0" xfId="0" applyFont="1" applyFill="1" applyAlignment="1">
      <alignment vertical="center" wrapText="1"/>
    </xf>
    <xf numFmtId="0" fontId="68" fillId="3" borderId="0" xfId="0" applyFont="1" applyFill="1" applyAlignment="1">
      <alignment vertical="center" wrapText="1"/>
    </xf>
    <xf numFmtId="0" fontId="23" fillId="3" borderId="0" xfId="16" applyFont="1" applyFill="1">
      <alignment vertical="center"/>
    </xf>
    <xf numFmtId="38" fontId="23" fillId="3" borderId="0" xfId="7" applyFont="1" applyFill="1" applyBorder="1" applyAlignment="1">
      <alignment horizontal="center" vertical="center"/>
    </xf>
    <xf numFmtId="0" fontId="23" fillId="3" borderId="17" xfId="16" applyFont="1" applyFill="1" applyBorder="1" applyAlignment="1">
      <alignment horizontal="center" vertical="center"/>
    </xf>
    <xf numFmtId="0" fontId="23" fillId="4" borderId="0" xfId="0" applyFont="1" applyFill="1" applyAlignment="1">
      <alignment horizontal="center" vertical="center"/>
    </xf>
    <xf numFmtId="0" fontId="23" fillId="3" borderId="27" xfId="0" applyFont="1" applyFill="1" applyBorder="1" applyAlignment="1">
      <alignment vertical="center"/>
    </xf>
    <xf numFmtId="0" fontId="23" fillId="3" borderId="7" xfId="16" applyFont="1" applyFill="1" applyBorder="1" applyAlignment="1">
      <alignment horizontal="center" vertical="center" shrinkToFit="1"/>
    </xf>
    <xf numFmtId="0" fontId="23" fillId="3" borderId="5" xfId="16" applyFont="1" applyFill="1" applyBorder="1" applyAlignment="1">
      <alignment horizontal="center" vertical="center" shrinkToFit="1"/>
    </xf>
    <xf numFmtId="0" fontId="23" fillId="3" borderId="5" xfId="16" applyFont="1" applyFill="1" applyBorder="1" applyAlignment="1">
      <alignment horizontal="left" vertical="center" shrinkToFit="1"/>
    </xf>
    <xf numFmtId="0" fontId="23" fillId="3" borderId="15" xfId="16" applyFont="1" applyFill="1" applyBorder="1" applyAlignment="1">
      <alignment horizontal="left" vertical="center" shrinkToFit="1"/>
    </xf>
    <xf numFmtId="38" fontId="23" fillId="3" borderId="0" xfId="7" applyFont="1" applyFill="1" applyBorder="1" applyAlignment="1">
      <alignment horizontal="left" vertical="center"/>
    </xf>
    <xf numFmtId="0" fontId="23" fillId="3" borderId="27" xfId="16" applyFont="1" applyFill="1" applyBorder="1" applyAlignment="1">
      <alignment horizontal="right" vertical="center"/>
    </xf>
    <xf numFmtId="0" fontId="23" fillId="3" borderId="0" xfId="16" applyFont="1" applyFill="1" applyAlignment="1">
      <alignment horizontal="right" vertical="center"/>
    </xf>
    <xf numFmtId="181" fontId="23" fillId="3" borderId="0" xfId="7" applyNumberFormat="1" applyFont="1" applyFill="1" applyBorder="1" applyAlignment="1">
      <alignment horizontal="center" vertical="center"/>
    </xf>
    <xf numFmtId="38" fontId="23" fillId="3" borderId="0" xfId="7" applyFont="1" applyFill="1" applyBorder="1" applyAlignment="1">
      <alignment vertical="center"/>
    </xf>
    <xf numFmtId="0" fontId="23" fillId="3" borderId="5" xfId="16" applyFont="1" applyFill="1" applyBorder="1">
      <alignment vertical="center"/>
    </xf>
    <xf numFmtId="0" fontId="23" fillId="3" borderId="0" xfId="0" applyFont="1" applyFill="1" applyAlignment="1">
      <alignment vertical="center" wrapText="1"/>
    </xf>
    <xf numFmtId="0" fontId="23" fillId="3" borderId="0" xfId="16" applyFont="1" applyFill="1" applyAlignment="1">
      <alignment horizontal="center" vertical="center"/>
    </xf>
    <xf numFmtId="0" fontId="23" fillId="3" borderId="0" xfId="16" applyFont="1" applyFill="1" applyAlignment="1">
      <alignment horizontal="distributed" vertical="center"/>
    </xf>
    <xf numFmtId="0" fontId="23" fillId="3" borderId="0" xfId="16" applyFont="1" applyFill="1" applyAlignment="1">
      <alignment horizontal="left" vertical="center" shrinkToFit="1"/>
    </xf>
    <xf numFmtId="0" fontId="23" fillId="3" borderId="17" xfId="16" applyFont="1" applyFill="1" applyBorder="1">
      <alignment vertical="center"/>
    </xf>
    <xf numFmtId="0" fontId="23" fillId="3" borderId="27" xfId="16" applyFont="1" applyFill="1" applyBorder="1">
      <alignment vertical="center"/>
    </xf>
    <xf numFmtId="0" fontId="23" fillId="3" borderId="16" xfId="16" applyFont="1" applyFill="1" applyBorder="1">
      <alignment vertical="center"/>
    </xf>
    <xf numFmtId="0" fontId="23" fillId="3" borderId="15" xfId="16" applyFont="1" applyFill="1" applyBorder="1">
      <alignment vertical="center"/>
    </xf>
    <xf numFmtId="0" fontId="23" fillId="8" borderId="0" xfId="16" applyFont="1" applyFill="1">
      <alignment vertical="center"/>
    </xf>
    <xf numFmtId="0" fontId="23" fillId="8" borderId="27" xfId="16" applyFont="1" applyFill="1" applyBorder="1">
      <alignment vertical="center"/>
    </xf>
    <xf numFmtId="0" fontId="23" fillId="8" borderId="4" xfId="16" applyFont="1" applyFill="1" applyBorder="1">
      <alignment vertical="center"/>
    </xf>
    <xf numFmtId="0" fontId="23" fillId="8" borderId="1" xfId="16" applyFont="1" applyFill="1" applyBorder="1">
      <alignment vertical="center"/>
    </xf>
    <xf numFmtId="0" fontId="23" fillId="3" borderId="43" xfId="16" applyFont="1" applyFill="1" applyBorder="1">
      <alignment vertical="center"/>
    </xf>
    <xf numFmtId="0" fontId="23" fillId="3" borderId="44" xfId="16" applyFont="1" applyFill="1" applyBorder="1">
      <alignment vertical="center"/>
    </xf>
    <xf numFmtId="0" fontId="23" fillId="3" borderId="45" xfId="16" applyFont="1" applyFill="1" applyBorder="1" applyAlignment="1">
      <alignment horizontal="right" vertical="center"/>
    </xf>
    <xf numFmtId="0" fontId="23" fillId="3" borderId="45" xfId="16" applyFont="1" applyFill="1" applyBorder="1" applyAlignment="1">
      <alignment horizontal="center" vertical="center"/>
    </xf>
    <xf numFmtId="0" fontId="23" fillId="3" borderId="45" xfId="16" applyFont="1" applyFill="1" applyBorder="1">
      <alignment vertical="center"/>
    </xf>
    <xf numFmtId="0" fontId="23" fillId="3" borderId="46" xfId="16" applyFont="1" applyFill="1" applyBorder="1">
      <alignment vertical="center"/>
    </xf>
    <xf numFmtId="0" fontId="23" fillId="3" borderId="42" xfId="16" applyFont="1" applyFill="1" applyBorder="1">
      <alignment vertical="center"/>
    </xf>
    <xf numFmtId="0" fontId="23" fillId="3" borderId="47" xfId="16" applyFont="1" applyFill="1" applyBorder="1">
      <alignment vertical="center"/>
    </xf>
    <xf numFmtId="0" fontId="23" fillId="3" borderId="48" xfId="16" applyFont="1" applyFill="1" applyBorder="1" applyAlignment="1">
      <alignment horizontal="center" vertical="center"/>
    </xf>
    <xf numFmtId="0" fontId="23" fillId="3" borderId="49" xfId="16" applyFont="1" applyFill="1" applyBorder="1">
      <alignment vertical="center"/>
    </xf>
    <xf numFmtId="0" fontId="23" fillId="3" borderId="46" xfId="16" applyFont="1" applyFill="1" applyBorder="1" applyAlignment="1">
      <alignment horizontal="right" vertical="center"/>
    </xf>
    <xf numFmtId="0" fontId="23" fillId="3" borderId="0" xfId="16" applyFont="1" applyFill="1" applyAlignment="1">
      <alignment vertical="top" wrapText="1"/>
    </xf>
    <xf numFmtId="0" fontId="23" fillId="3" borderId="0" xfId="16" applyFont="1" applyFill="1" applyAlignment="1">
      <alignment vertical="top"/>
    </xf>
    <xf numFmtId="0" fontId="23" fillId="3" borderId="0" xfId="16" applyFont="1" applyFill="1" applyAlignment="1">
      <alignment horizontal="center" vertical="top"/>
    </xf>
    <xf numFmtId="0" fontId="23" fillId="5" borderId="0" xfId="16" applyFont="1" applyFill="1" applyAlignment="1">
      <alignment horizontal="center" vertical="top"/>
    </xf>
    <xf numFmtId="0" fontId="23" fillId="3" borderId="49" xfId="16" applyFont="1" applyFill="1" applyBorder="1" applyAlignment="1">
      <alignment vertical="top"/>
    </xf>
    <xf numFmtId="0" fontId="23" fillId="3" borderId="42" xfId="16" applyFont="1" applyFill="1" applyBorder="1" applyAlignment="1">
      <alignment vertical="top"/>
    </xf>
    <xf numFmtId="0" fontId="23" fillId="3" borderId="47" xfId="16" applyFont="1" applyFill="1" applyBorder="1" applyAlignment="1">
      <alignment vertical="top"/>
    </xf>
    <xf numFmtId="0" fontId="69" fillId="3" borderId="0" xfId="16" applyFont="1" applyFill="1" applyAlignment="1">
      <alignment horizontal="center" vertical="center"/>
    </xf>
    <xf numFmtId="0" fontId="23" fillId="3" borderId="46" xfId="16" applyFont="1" applyFill="1" applyBorder="1" applyAlignment="1">
      <alignment horizontal="center" vertical="center"/>
    </xf>
    <xf numFmtId="0" fontId="23" fillId="3" borderId="48" xfId="16" applyFont="1" applyFill="1" applyBorder="1">
      <alignment vertical="center"/>
    </xf>
    <xf numFmtId="0" fontId="23" fillId="3" borderId="17" xfId="16" applyFont="1" applyFill="1" applyBorder="1" applyAlignment="1">
      <alignment horizontal="right" vertical="center"/>
    </xf>
    <xf numFmtId="0" fontId="29" fillId="3" borderId="17" xfId="16" applyFont="1" applyFill="1" applyBorder="1">
      <alignment vertical="center"/>
    </xf>
    <xf numFmtId="0" fontId="23" fillId="3" borderId="0" xfId="0" applyFont="1" applyFill="1" applyAlignment="1">
      <alignment vertical="top" wrapText="1"/>
    </xf>
    <xf numFmtId="0" fontId="23" fillId="3" borderId="27" xfId="0" applyFont="1" applyFill="1" applyBorder="1" applyAlignment="1">
      <alignment vertical="top" wrapText="1"/>
    </xf>
    <xf numFmtId="0" fontId="23" fillId="3" borderId="17" xfId="0" applyFont="1" applyFill="1" applyBorder="1" applyAlignment="1">
      <alignment vertical="top"/>
    </xf>
    <xf numFmtId="0" fontId="23" fillId="3" borderId="0" xfId="0" applyFont="1" applyFill="1" applyAlignment="1">
      <alignment vertical="top"/>
    </xf>
    <xf numFmtId="0" fontId="23" fillId="3" borderId="2" xfId="16" applyFont="1" applyFill="1" applyBorder="1" applyAlignment="1">
      <alignment horizontal="center" vertical="center"/>
    </xf>
    <xf numFmtId="0" fontId="69" fillId="3" borderId="45" xfId="16" applyFont="1" applyFill="1" applyBorder="1" applyAlignment="1">
      <alignment horizontal="center" vertical="center"/>
    </xf>
    <xf numFmtId="0" fontId="69" fillId="3" borderId="46" xfId="16" applyFont="1" applyFill="1" applyBorder="1" applyAlignment="1">
      <alignment horizontal="center" vertical="center"/>
    </xf>
    <xf numFmtId="0" fontId="34" fillId="8" borderId="17" xfId="16" applyFont="1" applyFill="1" applyBorder="1">
      <alignment vertical="center"/>
    </xf>
    <xf numFmtId="0" fontId="23" fillId="3" borderId="17" xfId="16" applyFont="1" applyFill="1" applyBorder="1" applyAlignment="1">
      <alignment horizontal="left" vertical="center"/>
    </xf>
    <xf numFmtId="0" fontId="23" fillId="3" borderId="27" xfId="16" applyFont="1" applyFill="1" applyBorder="1" applyAlignment="1">
      <alignment horizontal="left" vertical="center" shrinkToFit="1"/>
    </xf>
    <xf numFmtId="0" fontId="23" fillId="3" borderId="17" xfId="16" applyFont="1" applyFill="1" applyBorder="1" applyAlignment="1">
      <alignment horizontal="distributed" vertical="center"/>
    </xf>
    <xf numFmtId="0" fontId="25" fillId="8" borderId="3" xfId="16" applyFont="1" applyFill="1" applyBorder="1">
      <alignment vertical="center"/>
    </xf>
    <xf numFmtId="0" fontId="69" fillId="3" borderId="0" xfId="16" applyFont="1" applyFill="1" applyAlignment="1">
      <alignment vertical="top" wrapText="1"/>
    </xf>
    <xf numFmtId="0" fontId="69" fillId="3" borderId="49" xfId="16" applyFont="1" applyFill="1" applyBorder="1" applyAlignment="1">
      <alignment vertical="top" wrapText="1"/>
    </xf>
    <xf numFmtId="0" fontId="23" fillId="3" borderId="50" xfId="16" applyFont="1" applyFill="1" applyBorder="1">
      <alignment vertical="center"/>
    </xf>
    <xf numFmtId="0" fontId="23" fillId="3" borderId="43" xfId="16" applyFont="1" applyFill="1" applyBorder="1" applyAlignment="1">
      <alignment horizontal="center" vertical="center"/>
    </xf>
    <xf numFmtId="0" fontId="34" fillId="8" borderId="51" xfId="16" applyFont="1" applyFill="1" applyBorder="1">
      <alignment vertical="center"/>
    </xf>
    <xf numFmtId="0" fontId="23" fillId="3" borderId="51" xfId="16" applyFont="1" applyFill="1" applyBorder="1">
      <alignment vertical="center"/>
    </xf>
    <xf numFmtId="0" fontId="23" fillId="3" borderId="52" xfId="16" applyFont="1" applyFill="1" applyBorder="1">
      <alignment vertical="center"/>
    </xf>
    <xf numFmtId="0" fontId="25" fillId="8" borderId="17" xfId="16" applyFont="1" applyFill="1" applyBorder="1" applyAlignment="1">
      <alignment horizontal="left" vertical="center"/>
    </xf>
    <xf numFmtId="0" fontId="25" fillId="8" borderId="0" xfId="16" applyFont="1" applyFill="1" applyAlignment="1">
      <alignment horizontal="distributed" vertical="center"/>
    </xf>
    <xf numFmtId="0" fontId="25" fillId="8" borderId="0" xfId="16" applyFont="1" applyFill="1" applyAlignment="1">
      <alignment horizontal="left" vertical="center" shrinkToFit="1"/>
    </xf>
    <xf numFmtId="0" fontId="25" fillId="8" borderId="27" xfId="16" applyFont="1" applyFill="1" applyBorder="1" applyAlignment="1">
      <alignment horizontal="left" vertical="center" shrinkToFit="1"/>
    </xf>
    <xf numFmtId="0" fontId="23" fillId="5" borderId="0" xfId="16" applyFont="1" applyFill="1" applyAlignment="1">
      <alignment horizontal="center" vertical="center" shrinkToFit="1"/>
    </xf>
    <xf numFmtId="0" fontId="23" fillId="5" borderId="0" xfId="16" applyFont="1" applyFill="1" applyAlignment="1">
      <alignment horizontal="center" vertical="top" shrinkToFit="1"/>
    </xf>
    <xf numFmtId="0" fontId="23" fillId="3" borderId="0" xfId="16" applyFont="1" applyFill="1" applyAlignment="1">
      <alignment horizontal="left" vertical="top" wrapText="1"/>
    </xf>
    <xf numFmtId="0" fontId="23" fillId="3" borderId="0" xfId="0" applyFont="1" applyFill="1" applyAlignment="1">
      <alignment horizontal="left" vertical="top" wrapText="1"/>
    </xf>
    <xf numFmtId="0" fontId="23" fillId="3" borderId="27" xfId="0" applyFont="1" applyFill="1" applyBorder="1" applyAlignment="1">
      <alignment horizontal="left" vertical="top" wrapText="1"/>
    </xf>
    <xf numFmtId="38" fontId="23" fillId="3" borderId="42" xfId="7" applyFont="1" applyFill="1" applyBorder="1" applyAlignment="1">
      <alignment vertical="center"/>
    </xf>
    <xf numFmtId="181" fontId="23" fillId="3" borderId="42" xfId="7" applyNumberFormat="1" applyFont="1" applyFill="1" applyBorder="1" applyAlignment="1">
      <alignment horizontal="center" vertical="center"/>
    </xf>
    <xf numFmtId="38" fontId="23" fillId="3" borderId="42" xfId="7" applyFont="1" applyFill="1" applyBorder="1" applyAlignment="1">
      <alignment horizontal="center" vertical="center"/>
    </xf>
    <xf numFmtId="0" fontId="23" fillId="3" borderId="53" xfId="16" applyFont="1" applyFill="1" applyBorder="1">
      <alignment vertical="center"/>
    </xf>
    <xf numFmtId="0" fontId="69" fillId="3" borderId="51" xfId="16" applyFont="1" applyFill="1" applyBorder="1" applyAlignment="1">
      <alignment vertical="top" wrapText="1"/>
    </xf>
    <xf numFmtId="0" fontId="23" fillId="3" borderId="51" xfId="16" applyFont="1" applyFill="1" applyBorder="1" applyAlignment="1">
      <alignment vertical="top" wrapText="1"/>
    </xf>
    <xf numFmtId="0" fontId="16" fillId="3" borderId="0" xfId="0" applyFont="1" applyFill="1" applyAlignment="1">
      <alignment horizontal="left" vertical="center" shrinkToFit="1"/>
    </xf>
    <xf numFmtId="0" fontId="16" fillId="3" borderId="0" xfId="0" applyFont="1" applyFill="1" applyAlignment="1">
      <alignment vertical="center"/>
    </xf>
    <xf numFmtId="180" fontId="7" fillId="3" borderId="0" xfId="0" applyNumberFormat="1" applyFont="1" applyFill="1" applyAlignment="1">
      <alignment horizontal="right" vertical="center"/>
    </xf>
    <xf numFmtId="180" fontId="7" fillId="3" borderId="0" xfId="0" applyNumberFormat="1" applyFont="1" applyFill="1" applyAlignment="1">
      <alignment vertical="center"/>
    </xf>
    <xf numFmtId="180" fontId="16" fillId="3" borderId="0" xfId="0" applyNumberFormat="1" applyFont="1" applyFill="1" applyAlignment="1">
      <alignment vertical="top" wrapText="1"/>
    </xf>
    <xf numFmtId="0" fontId="6" fillId="3" borderId="0" xfId="0" applyFont="1" applyFill="1" applyAlignment="1">
      <alignment vertical="top" wrapText="1"/>
    </xf>
    <xf numFmtId="0" fontId="7" fillId="8" borderId="40" xfId="0" applyFont="1" applyFill="1" applyBorder="1" applyAlignment="1">
      <alignment vertical="center"/>
    </xf>
    <xf numFmtId="0" fontId="7" fillId="3" borderId="40" xfId="0" applyFont="1" applyFill="1" applyBorder="1" applyAlignment="1">
      <alignment vertical="center" shrinkToFit="1"/>
    </xf>
    <xf numFmtId="0" fontId="7" fillId="3" borderId="32" xfId="0" applyFont="1" applyFill="1" applyBorder="1" applyAlignment="1">
      <alignment vertical="center" shrinkToFit="1"/>
    </xf>
    <xf numFmtId="0" fontId="7" fillId="3" borderId="32" xfId="0" applyFont="1" applyFill="1" applyBorder="1" applyAlignment="1">
      <alignment horizontal="center" vertical="center" shrinkToFit="1"/>
    </xf>
    <xf numFmtId="0" fontId="7" fillId="3" borderId="40" xfId="0" applyFont="1" applyFill="1" applyBorder="1" applyAlignment="1">
      <alignment horizontal="center" vertical="center" shrinkToFit="1"/>
    </xf>
    <xf numFmtId="0" fontId="7" fillId="3" borderId="40" xfId="0" applyFont="1" applyFill="1" applyBorder="1" applyAlignment="1">
      <alignment vertical="center" wrapText="1"/>
    </xf>
    <xf numFmtId="0" fontId="7" fillId="8" borderId="35" xfId="0" applyFont="1" applyFill="1" applyBorder="1" applyAlignment="1">
      <alignment vertical="center"/>
    </xf>
    <xf numFmtId="0" fontId="7" fillId="3" borderId="35" xfId="0" applyFont="1" applyFill="1" applyBorder="1" applyAlignment="1">
      <alignment vertical="center" shrinkToFit="1"/>
    </xf>
    <xf numFmtId="0" fontId="7" fillId="3" borderId="36" xfId="0" applyFont="1" applyFill="1" applyBorder="1" applyAlignment="1">
      <alignment vertical="center" shrinkToFit="1"/>
    </xf>
    <xf numFmtId="0" fontId="7" fillId="3" borderId="36" xfId="0" applyFont="1" applyFill="1" applyBorder="1" applyAlignment="1">
      <alignment horizontal="center" vertical="center" shrinkToFit="1"/>
    </xf>
    <xf numFmtId="0" fontId="7" fillId="3" borderId="35" xfId="0" applyFont="1" applyFill="1" applyBorder="1" applyAlignment="1">
      <alignment horizontal="center" vertical="center" shrinkToFit="1"/>
    </xf>
    <xf numFmtId="0" fontId="7" fillId="3" borderId="35" xfId="0" applyFont="1" applyFill="1" applyBorder="1" applyAlignment="1">
      <alignment vertical="center" wrapText="1"/>
    </xf>
    <xf numFmtId="0" fontId="7" fillId="3" borderId="35" xfId="0" applyFont="1" applyFill="1" applyBorder="1" applyAlignment="1">
      <alignment vertical="center"/>
    </xf>
    <xf numFmtId="0" fontId="7" fillId="8" borderId="54" xfId="0" applyFont="1" applyFill="1" applyBorder="1" applyAlignment="1">
      <alignment vertical="center"/>
    </xf>
    <xf numFmtId="0" fontId="7" fillId="3" borderId="54" xfId="0" applyFont="1" applyFill="1" applyBorder="1" applyAlignment="1">
      <alignment vertical="center" shrinkToFit="1"/>
    </xf>
    <xf numFmtId="0" fontId="7" fillId="3" borderId="37" xfId="0" applyFont="1" applyFill="1" applyBorder="1" applyAlignment="1">
      <alignment horizontal="center" vertical="center" shrinkToFit="1"/>
    </xf>
    <xf numFmtId="0" fontId="7" fillId="3" borderId="54" xfId="0" applyFont="1" applyFill="1" applyBorder="1" applyAlignment="1">
      <alignment horizontal="center" vertical="center" shrinkToFit="1"/>
    </xf>
    <xf numFmtId="0" fontId="7" fillId="3" borderId="54" xfId="0" applyFont="1" applyFill="1" applyBorder="1" applyAlignment="1">
      <alignment vertical="center" wrapText="1"/>
    </xf>
    <xf numFmtId="0" fontId="58" fillId="3" borderId="35" xfId="0" applyFont="1" applyFill="1" applyBorder="1" applyAlignment="1">
      <alignment vertical="center" wrapText="1"/>
    </xf>
    <xf numFmtId="0" fontId="7" fillId="3" borderId="35" xfId="0" applyFont="1" applyFill="1" applyBorder="1" applyAlignment="1">
      <alignment horizontal="center" vertical="top" shrinkToFit="1"/>
    </xf>
    <xf numFmtId="0" fontId="7" fillId="3" borderId="36" xfId="0" applyFont="1" applyFill="1" applyBorder="1" applyAlignment="1">
      <alignment horizontal="center" vertical="top" shrinkToFit="1"/>
    </xf>
    <xf numFmtId="0" fontId="36" fillId="5" borderId="7" xfId="0" applyFont="1" applyFill="1" applyBorder="1" applyAlignment="1">
      <alignment horizontal="left" vertical="center" shrinkToFit="1"/>
    </xf>
    <xf numFmtId="0" fontId="36" fillId="3" borderId="7" xfId="0" applyFont="1" applyFill="1" applyBorder="1" applyAlignment="1">
      <alignment horizontal="left" vertical="center"/>
    </xf>
    <xf numFmtId="0" fontId="36" fillId="3" borderId="7" xfId="0" applyFont="1" applyFill="1" applyBorder="1" applyAlignment="1">
      <alignment horizontal="center" vertical="center"/>
    </xf>
    <xf numFmtId="0" fontId="36" fillId="3" borderId="8" xfId="0" applyFont="1" applyFill="1" applyBorder="1" applyAlignment="1">
      <alignment horizontal="left" vertical="center"/>
    </xf>
    <xf numFmtId="0" fontId="21" fillId="3" borderId="5" xfId="0" applyFont="1" applyFill="1" applyBorder="1" applyAlignment="1">
      <alignment horizontal="center" vertical="center"/>
    </xf>
    <xf numFmtId="0" fontId="21" fillId="3" borderId="0" xfId="0" applyFont="1" applyFill="1" applyAlignment="1">
      <alignment vertical="center"/>
    </xf>
    <xf numFmtId="0" fontId="6" fillId="3" borderId="5" xfId="0" applyFont="1" applyFill="1" applyBorder="1" applyAlignment="1">
      <alignment vertical="center" shrinkToFit="1"/>
    </xf>
    <xf numFmtId="0" fontId="6" fillId="3" borderId="4" xfId="0" applyFont="1" applyFill="1" applyBorder="1" applyAlignment="1">
      <alignment horizontal="center" vertical="center" shrinkToFit="1"/>
    </xf>
    <xf numFmtId="0" fontId="6" fillId="3" borderId="1" xfId="0" applyFont="1" applyFill="1" applyBorder="1" applyAlignment="1">
      <alignment horizontal="center" vertical="center" shrinkToFit="1"/>
    </xf>
    <xf numFmtId="0" fontId="6" fillId="3" borderId="0" xfId="0" applyFont="1" applyFill="1" applyAlignment="1">
      <alignment horizontal="center" vertical="center" shrinkToFit="1"/>
    </xf>
    <xf numFmtId="0" fontId="6" fillId="3" borderId="27" xfId="0" applyFont="1" applyFill="1" applyBorder="1" applyAlignment="1">
      <alignment horizontal="center" vertical="center" shrinkToFit="1"/>
    </xf>
    <xf numFmtId="0" fontId="6" fillId="3" borderId="2" xfId="0" applyFont="1" applyFill="1" applyBorder="1" applyAlignment="1">
      <alignment horizontal="center" vertical="center" shrinkToFit="1"/>
    </xf>
    <xf numFmtId="0" fontId="6" fillId="3" borderId="27" xfId="0" applyFont="1" applyFill="1" applyBorder="1" applyAlignment="1">
      <alignment vertical="center" wrapText="1"/>
    </xf>
    <xf numFmtId="0" fontId="6" fillId="3" borderId="4" xfId="0" applyFont="1" applyFill="1" applyBorder="1" applyAlignment="1">
      <alignment vertical="center" shrinkToFit="1"/>
    </xf>
    <xf numFmtId="0" fontId="6" fillId="3" borderId="1" xfId="0" applyFont="1" applyFill="1" applyBorder="1" applyAlignment="1">
      <alignment vertical="center" shrinkToFit="1"/>
    </xf>
    <xf numFmtId="0" fontId="6" fillId="3" borderId="15" xfId="0" applyFont="1" applyFill="1" applyBorder="1" applyAlignment="1">
      <alignment vertical="center" shrinkToFit="1"/>
    </xf>
    <xf numFmtId="0" fontId="6" fillId="3" borderId="27" xfId="0" applyFont="1" applyFill="1" applyBorder="1" applyAlignment="1">
      <alignment vertical="center" shrinkToFit="1"/>
    </xf>
    <xf numFmtId="0" fontId="6" fillId="3" borderId="17" xfId="0" applyFont="1" applyFill="1" applyBorder="1" applyAlignment="1">
      <alignment vertical="center" textRotation="255" shrinkToFit="1"/>
    </xf>
    <xf numFmtId="0" fontId="21" fillId="3" borderId="0" xfId="0" applyFont="1" applyFill="1" applyAlignment="1">
      <alignment vertical="center" shrinkToFit="1"/>
    </xf>
    <xf numFmtId="0" fontId="6" fillId="3" borderId="27" xfId="0" applyFont="1" applyFill="1" applyBorder="1" applyAlignment="1">
      <alignment vertical="top" wrapText="1"/>
    </xf>
    <xf numFmtId="0" fontId="6" fillId="3" borderId="16" xfId="0" applyFont="1" applyFill="1" applyBorder="1" applyAlignment="1">
      <alignment vertical="top" wrapText="1"/>
    </xf>
    <xf numFmtId="0" fontId="6" fillId="3" borderId="5" xfId="0" applyFont="1" applyFill="1" applyBorder="1" applyAlignment="1">
      <alignment vertical="top" wrapText="1"/>
    </xf>
    <xf numFmtId="0" fontId="6" fillId="3" borderId="15" xfId="0" applyFont="1" applyFill="1" applyBorder="1" applyAlignment="1">
      <alignment vertical="top" wrapText="1"/>
    </xf>
    <xf numFmtId="0" fontId="6" fillId="3" borderId="16" xfId="0" applyFont="1" applyFill="1" applyBorder="1" applyAlignment="1">
      <alignment vertical="center" textRotation="255" shrinkToFit="1"/>
    </xf>
    <xf numFmtId="0" fontId="6" fillId="3" borderId="0" xfId="0" applyFont="1" applyFill="1" applyAlignment="1">
      <alignment horizontal="center" vertical="center" wrapText="1" shrinkToFit="1"/>
    </xf>
    <xf numFmtId="0" fontId="21" fillId="3" borderId="0" xfId="0" applyFont="1" applyFill="1" applyAlignment="1">
      <alignment horizontal="left" vertical="center"/>
    </xf>
    <xf numFmtId="0" fontId="23" fillId="3" borderId="0" xfId="0" applyFont="1" applyFill="1" applyAlignment="1">
      <alignment horizontal="left" vertical="center"/>
    </xf>
    <xf numFmtId="0" fontId="21" fillId="3" borderId="2" xfId="0" applyFont="1" applyFill="1" applyBorder="1" applyAlignment="1">
      <alignment horizontal="center" vertical="center"/>
    </xf>
    <xf numFmtId="0" fontId="27" fillId="3" borderId="0" xfId="0" applyFont="1" applyFill="1" applyAlignment="1">
      <alignment horizontal="center" vertical="center"/>
    </xf>
    <xf numFmtId="0" fontId="27" fillId="3" borderId="4" xfId="0" applyFont="1" applyFill="1" applyBorder="1" applyAlignment="1">
      <alignment horizontal="center" vertical="center"/>
    </xf>
    <xf numFmtId="0" fontId="27" fillId="3" borderId="1" xfId="0" applyFont="1" applyFill="1" applyBorder="1" applyAlignment="1">
      <alignment horizontal="center" vertical="center"/>
    </xf>
    <xf numFmtId="0" fontId="27" fillId="3" borderId="27" xfId="0" applyFont="1" applyFill="1" applyBorder="1" applyAlignment="1">
      <alignment horizontal="center" vertical="center"/>
    </xf>
    <xf numFmtId="0" fontId="27" fillId="3" borderId="5" xfId="0" applyFont="1" applyFill="1" applyBorder="1" applyAlignment="1">
      <alignment horizontal="center" vertical="center"/>
    </xf>
    <xf numFmtId="0" fontId="27" fillId="3" borderId="15" xfId="0" applyFont="1" applyFill="1" applyBorder="1" applyAlignment="1">
      <alignment horizontal="center" vertical="center"/>
    </xf>
    <xf numFmtId="0" fontId="6" fillId="3" borderId="16" xfId="0" applyFont="1" applyFill="1" applyBorder="1" applyAlignment="1">
      <alignment horizontal="distributed" vertical="center" wrapText="1"/>
    </xf>
    <xf numFmtId="0" fontId="6" fillId="3" borderId="5" xfId="0" applyFont="1" applyFill="1" applyBorder="1" applyAlignment="1">
      <alignment horizontal="distributed" vertical="center" wrapText="1"/>
    </xf>
    <xf numFmtId="0" fontId="6" fillId="3" borderId="15" xfId="0" applyFont="1" applyFill="1" applyBorder="1" applyAlignment="1">
      <alignment horizontal="distributed" vertical="center" wrapText="1"/>
    </xf>
    <xf numFmtId="0" fontId="21" fillId="3" borderId="3" xfId="0" applyFont="1" applyFill="1" applyBorder="1" applyAlignment="1">
      <alignment horizontal="distributed" vertical="center"/>
    </xf>
    <xf numFmtId="0" fontId="21" fillId="3" borderId="4" xfId="0" applyFont="1" applyFill="1" applyBorder="1" applyAlignment="1">
      <alignment horizontal="distributed" vertical="center"/>
    </xf>
    <xf numFmtId="0" fontId="21" fillId="3" borderId="4" xfId="0" applyFont="1" applyFill="1" applyBorder="1" applyAlignment="1">
      <alignment vertical="center"/>
    </xf>
    <xf numFmtId="0" fontId="21" fillId="3" borderId="16" xfId="0" applyFont="1" applyFill="1" applyBorder="1" applyAlignment="1">
      <alignment horizontal="distributed" vertical="center"/>
    </xf>
    <xf numFmtId="0" fontId="21" fillId="3" borderId="5" xfId="0" applyFont="1" applyFill="1" applyBorder="1" applyAlignment="1">
      <alignment horizontal="distributed" vertical="center"/>
    </xf>
    <xf numFmtId="0" fontId="21" fillId="3" borderId="5" xfId="0" applyFont="1" applyFill="1" applyBorder="1" applyAlignment="1">
      <alignment vertical="center"/>
    </xf>
    <xf numFmtId="0" fontId="7" fillId="3" borderId="35" xfId="0" applyFont="1" applyFill="1" applyBorder="1" applyAlignment="1">
      <alignment vertical="center" wrapText="1" shrinkToFit="1"/>
    </xf>
    <xf numFmtId="0" fontId="7" fillId="5" borderId="35" xfId="0" applyFont="1" applyFill="1" applyBorder="1" applyAlignment="1">
      <alignment vertical="center" wrapText="1" shrinkToFit="1"/>
    </xf>
    <xf numFmtId="0" fontId="7" fillId="5" borderId="36" xfId="0" applyFont="1" applyFill="1" applyBorder="1" applyAlignment="1">
      <alignment vertical="center" shrinkToFit="1"/>
    </xf>
    <xf numFmtId="0" fontId="7" fillId="5" borderId="36" xfId="0" applyFont="1" applyFill="1" applyBorder="1" applyAlignment="1">
      <alignment horizontal="center" vertical="center" shrinkToFit="1"/>
    </xf>
    <xf numFmtId="0" fontId="7" fillId="5" borderId="35" xfId="0" applyFont="1" applyFill="1" applyBorder="1" applyAlignment="1">
      <alignment horizontal="center" vertical="center" shrinkToFit="1"/>
    </xf>
    <xf numFmtId="0" fontId="7" fillId="5" borderId="35" xfId="0" applyFont="1" applyFill="1" applyBorder="1" applyAlignment="1">
      <alignment vertical="center" wrapText="1"/>
    </xf>
    <xf numFmtId="0" fontId="6" fillId="3" borderId="1" xfId="0" applyFont="1" applyFill="1" applyBorder="1" applyAlignment="1">
      <alignment vertical="center"/>
    </xf>
    <xf numFmtId="0" fontId="7" fillId="8" borderId="55" xfId="0" applyFont="1" applyFill="1" applyBorder="1" applyAlignment="1">
      <alignment vertical="center"/>
    </xf>
    <xf numFmtId="0" fontId="7" fillId="3" borderId="55" xfId="0" applyFont="1" applyFill="1" applyBorder="1" applyAlignment="1">
      <alignment vertical="center" shrinkToFit="1"/>
    </xf>
    <xf numFmtId="0" fontId="7" fillId="3" borderId="56" xfId="0" applyFont="1" applyFill="1" applyBorder="1" applyAlignment="1">
      <alignment vertical="center" shrinkToFit="1"/>
    </xf>
    <xf numFmtId="0" fontId="7" fillId="3" borderId="56" xfId="0" applyFont="1" applyFill="1" applyBorder="1" applyAlignment="1">
      <alignment horizontal="center" vertical="center" shrinkToFit="1"/>
    </xf>
    <xf numFmtId="0" fontId="7" fillId="3" borderId="55" xfId="0" applyFont="1" applyFill="1" applyBorder="1" applyAlignment="1">
      <alignment horizontal="center" vertical="center" shrinkToFit="1"/>
    </xf>
    <xf numFmtId="0" fontId="7" fillId="3" borderId="55" xfId="0" applyFont="1" applyFill="1" applyBorder="1" applyAlignment="1">
      <alignment vertical="center" wrapText="1"/>
    </xf>
    <xf numFmtId="0" fontId="58" fillId="3" borderId="55" xfId="0" applyFont="1" applyFill="1" applyBorder="1" applyAlignment="1">
      <alignment vertical="center" wrapText="1"/>
    </xf>
    <xf numFmtId="0" fontId="6" fillId="0" borderId="4" xfId="0" applyFont="1" applyBorder="1" applyAlignment="1">
      <alignment horizontal="right" vertical="center"/>
    </xf>
    <xf numFmtId="0" fontId="6" fillId="0" borderId="27" xfId="0" applyFont="1" applyBorder="1" applyAlignment="1">
      <alignment horizontal="left" vertical="center"/>
    </xf>
    <xf numFmtId="0" fontId="6" fillId="0" borderId="57" xfId="0" applyFont="1" applyBorder="1" applyAlignment="1">
      <alignment horizontal="left" vertical="center"/>
    </xf>
    <xf numFmtId="0" fontId="6" fillId="0" borderId="58" xfId="0" applyFont="1" applyBorder="1" applyAlignment="1">
      <alignment horizontal="left"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17" xfId="0" applyFont="1" applyBorder="1" applyAlignment="1">
      <alignment horizontal="left" vertical="center"/>
    </xf>
    <xf numFmtId="0" fontId="6" fillId="0" borderId="16" xfId="0" applyFont="1" applyBorder="1" applyAlignment="1">
      <alignment horizontal="left" vertical="center"/>
    </xf>
    <xf numFmtId="0" fontId="6" fillId="0" borderId="59" xfId="0" applyFont="1" applyBorder="1" applyAlignment="1">
      <alignment horizontal="center" vertical="center"/>
    </xf>
    <xf numFmtId="0" fontId="6" fillId="0" borderId="61" xfId="0" applyFont="1" applyBorder="1" applyAlignment="1">
      <alignment horizontal="center" vertical="center"/>
    </xf>
    <xf numFmtId="0" fontId="7" fillId="0" borderId="0" xfId="0" applyFont="1" applyAlignment="1">
      <alignment vertical="center" wrapText="1"/>
    </xf>
    <xf numFmtId="0" fontId="7" fillId="0" borderId="27" xfId="0" applyFont="1" applyBorder="1" applyAlignment="1">
      <alignment horizontal="center" vertical="center"/>
    </xf>
    <xf numFmtId="0" fontId="6" fillId="0" borderId="5" xfId="0" applyFont="1" applyBorder="1" applyAlignment="1">
      <alignment horizontal="center" vertical="center" wrapText="1"/>
    </xf>
    <xf numFmtId="0" fontId="15" fillId="0" borderId="5" xfId="0" quotePrefix="1" applyFont="1" applyBorder="1" applyAlignment="1">
      <alignment horizontal="center" vertical="center" wrapText="1"/>
    </xf>
    <xf numFmtId="0" fontId="7" fillId="0" borderId="5" xfId="0" applyFont="1" applyBorder="1" applyAlignment="1">
      <alignment horizontal="center" vertical="center"/>
    </xf>
    <xf numFmtId="0" fontId="15" fillId="0" borderId="59" xfId="0" quotePrefix="1" applyFont="1" applyBorder="1" applyAlignment="1">
      <alignment horizontal="center" vertical="center"/>
    </xf>
    <xf numFmtId="0" fontId="15" fillId="0" borderId="0" xfId="0" quotePrefix="1" applyFont="1" applyAlignment="1">
      <alignment horizontal="center" vertical="center"/>
    </xf>
    <xf numFmtId="0" fontId="15" fillId="0" borderId="27" xfId="0" quotePrefix="1" applyFont="1" applyBorder="1" applyAlignment="1">
      <alignment horizontal="center" vertical="center"/>
    </xf>
    <xf numFmtId="0" fontId="7" fillId="0" borderId="4" xfId="0" applyFont="1" applyBorder="1" applyAlignment="1">
      <alignment horizontal="center" vertical="center"/>
    </xf>
    <xf numFmtId="0" fontId="6" fillId="0" borderId="59" xfId="0" applyFont="1" applyBorder="1" applyAlignment="1">
      <alignment horizontal="left" vertical="center"/>
    </xf>
    <xf numFmtId="0" fontId="6" fillId="0" borderId="61" xfId="0" applyFont="1" applyBorder="1" applyAlignment="1">
      <alignment horizontal="left" vertical="center"/>
    </xf>
    <xf numFmtId="0" fontId="6" fillId="0" borderId="64" xfId="0" applyFont="1" applyBorder="1" applyAlignment="1">
      <alignment horizontal="left" vertical="center"/>
    </xf>
    <xf numFmtId="0" fontId="6" fillId="0" borderId="15" xfId="0" applyFont="1" applyBorder="1" applyAlignment="1">
      <alignment horizontal="left" vertical="center"/>
    </xf>
    <xf numFmtId="0" fontId="15" fillId="0" borderId="5" xfId="0" quotePrefix="1" applyFont="1" applyBorder="1" applyAlignment="1">
      <alignment horizontal="center" vertical="center"/>
    </xf>
    <xf numFmtId="0" fontId="7" fillId="0" borderId="27" xfId="0" applyFont="1" applyBorder="1" applyAlignment="1">
      <alignment vertical="center" wrapText="1"/>
    </xf>
    <xf numFmtId="0" fontId="6" fillId="0" borderId="0" xfId="0" applyFont="1" applyAlignment="1">
      <alignment horizontal="left" vertical="top"/>
    </xf>
    <xf numFmtId="0" fontId="7" fillId="0" borderId="0" xfId="0" applyFont="1"/>
    <xf numFmtId="0" fontId="6" fillId="0" borderId="17" xfId="0" applyFont="1" applyBorder="1" applyAlignment="1">
      <alignment horizontal="center"/>
    </xf>
    <xf numFmtId="0" fontId="6" fillId="0" borderId="27" xfId="0" applyFont="1" applyBorder="1"/>
    <xf numFmtId="0" fontId="15" fillId="0" borderId="0" xfId="0" applyFont="1"/>
    <xf numFmtId="0" fontId="6" fillId="0" borderId="16" xfId="0" applyFont="1" applyBorder="1"/>
    <xf numFmtId="0" fontId="6" fillId="0" borderId="17" xfId="0" applyFont="1" applyBorder="1"/>
    <xf numFmtId="0" fontId="70" fillId="0" borderId="0" xfId="0" applyFont="1" applyAlignment="1">
      <alignment vertical="center"/>
    </xf>
    <xf numFmtId="0" fontId="70" fillId="0" borderId="2" xfId="0" applyFont="1" applyBorder="1" applyAlignment="1">
      <alignment vertical="center"/>
    </xf>
    <xf numFmtId="0" fontId="70" fillId="0" borderId="0" xfId="0" applyFont="1" applyAlignment="1">
      <alignment horizontal="left" vertical="center"/>
    </xf>
    <xf numFmtId="0" fontId="71" fillId="0" borderId="0" xfId="0" applyFont="1" applyAlignment="1">
      <alignment vertical="center"/>
    </xf>
    <xf numFmtId="0" fontId="70" fillId="0" borderId="0" xfId="0" applyFont="1" applyAlignment="1">
      <alignment horizontal="right" vertical="center"/>
    </xf>
    <xf numFmtId="0" fontId="70" fillId="0" borderId="2" xfId="0" applyFont="1" applyBorder="1" applyAlignment="1">
      <alignment horizontal="left" vertical="center"/>
    </xf>
    <xf numFmtId="0" fontId="70" fillId="0" borderId="7" xfId="0" applyFont="1" applyBorder="1" applyAlignment="1">
      <alignment vertical="center"/>
    </xf>
    <xf numFmtId="0" fontId="70" fillId="0" borderId="8" xfId="0" applyFont="1" applyBorder="1" applyAlignment="1">
      <alignment vertical="center"/>
    </xf>
    <xf numFmtId="182" fontId="70" fillId="0" borderId="0" xfId="0" applyNumberFormat="1" applyFont="1" applyAlignment="1">
      <alignment horizontal="right" vertical="center"/>
    </xf>
    <xf numFmtId="58" fontId="70" fillId="0" borderId="0" xfId="0" applyNumberFormat="1" applyFont="1" applyAlignment="1">
      <alignment vertical="center"/>
    </xf>
    <xf numFmtId="0" fontId="70" fillId="0" borderId="1" xfId="0" applyFont="1" applyBorder="1" applyAlignment="1">
      <alignment horizontal="center" vertical="center"/>
    </xf>
    <xf numFmtId="0" fontId="70" fillId="0" borderId="0" xfId="0" applyFont="1" applyAlignment="1">
      <alignment horizontal="center" vertical="center"/>
    </xf>
    <xf numFmtId="0" fontId="70" fillId="0" borderId="8" xfId="0" applyFont="1" applyBorder="1" applyAlignment="1">
      <alignment horizontal="center" vertical="center"/>
    </xf>
    <xf numFmtId="183" fontId="70" fillId="0" borderId="0" xfId="7" applyNumberFormat="1" applyFont="1" applyAlignment="1">
      <alignment horizontal="right" vertical="center"/>
    </xf>
    <xf numFmtId="10" fontId="70" fillId="0" borderId="0" xfId="3" applyNumberFormat="1" applyFont="1" applyAlignment="1">
      <alignment horizontal="center" vertical="center"/>
    </xf>
    <xf numFmtId="0" fontId="72" fillId="0" borderId="0" xfId="0" applyFont="1" applyAlignment="1">
      <alignment horizontal="left" vertical="center" wrapText="1"/>
    </xf>
    <xf numFmtId="0" fontId="73" fillId="0" borderId="0" xfId="0" applyFont="1" applyAlignment="1">
      <alignment horizontal="right"/>
    </xf>
    <xf numFmtId="0" fontId="73" fillId="0" borderId="0" xfId="0" applyFont="1" applyAlignment="1">
      <alignment horizontal="left"/>
    </xf>
    <xf numFmtId="0" fontId="73" fillId="0" borderId="0" xfId="0" applyFont="1"/>
    <xf numFmtId="0" fontId="74" fillId="0" borderId="0" xfId="0" applyFont="1" applyAlignment="1">
      <alignment vertical="center"/>
    </xf>
    <xf numFmtId="0" fontId="75" fillId="0" borderId="0" xfId="10" applyFont="1" applyAlignment="1">
      <alignment vertical="center"/>
    </xf>
    <xf numFmtId="0" fontId="12" fillId="0" borderId="0" xfId="11" applyFont="1" applyAlignment="1">
      <alignment horizontal="left" vertical="center"/>
    </xf>
    <xf numFmtId="0" fontId="10" fillId="0" borderId="0" xfId="11" applyAlignment="1">
      <alignment horizontal="left" vertical="center"/>
    </xf>
    <xf numFmtId="0" fontId="76" fillId="0" borderId="0" xfId="12" applyFont="1">
      <alignment vertical="center"/>
    </xf>
    <xf numFmtId="0" fontId="42" fillId="0" borderId="0" xfId="11" applyFont="1" applyAlignment="1">
      <alignment horizontal="center"/>
    </xf>
    <xf numFmtId="0" fontId="12" fillId="0" borderId="0" xfId="11" applyFont="1" applyAlignment="1">
      <alignment horizontal="center" vertical="center"/>
    </xf>
    <xf numFmtId="0" fontId="75" fillId="0" borderId="0" xfId="10" applyFont="1" applyAlignment="1">
      <alignment vertical="center" wrapText="1"/>
    </xf>
    <xf numFmtId="0" fontId="75" fillId="0" borderId="0" xfId="0" applyFont="1"/>
    <xf numFmtId="0" fontId="44" fillId="0" borderId="0" xfId="11" applyFont="1">
      <alignment vertical="center"/>
    </xf>
    <xf numFmtId="0" fontId="45" fillId="0" borderId="0" xfId="11" applyFont="1">
      <alignment vertical="center"/>
    </xf>
    <xf numFmtId="0" fontId="77" fillId="0" borderId="0" xfId="12" applyFont="1">
      <alignment vertical="center"/>
    </xf>
    <xf numFmtId="0" fontId="45" fillId="3" borderId="3" xfId="11" applyFont="1" applyFill="1" applyBorder="1" applyAlignment="1">
      <alignment vertical="center" textRotation="255"/>
    </xf>
    <xf numFmtId="0" fontId="45" fillId="3" borderId="4" xfId="11" applyFont="1" applyFill="1" applyBorder="1">
      <alignment vertical="center"/>
    </xf>
    <xf numFmtId="0" fontId="45" fillId="3" borderId="4" xfId="11" applyFont="1" applyFill="1" applyBorder="1" applyAlignment="1">
      <alignment horizontal="center" vertical="center"/>
    </xf>
    <xf numFmtId="0" fontId="45" fillId="3" borderId="1" xfId="11" applyFont="1" applyFill="1" applyBorder="1" applyAlignment="1">
      <alignment horizontal="center" vertical="center"/>
    </xf>
    <xf numFmtId="0" fontId="45" fillId="3" borderId="6" xfId="11" applyFont="1" applyFill="1" applyBorder="1" applyAlignment="1"/>
    <xf numFmtId="0" fontId="45" fillId="3" borderId="7" xfId="11" applyFont="1" applyFill="1" applyBorder="1" applyAlignment="1"/>
    <xf numFmtId="0" fontId="45" fillId="3" borderId="7" xfId="11" applyFont="1" applyFill="1" applyBorder="1" applyAlignment="1">
      <alignment horizontal="right"/>
    </xf>
    <xf numFmtId="0" fontId="45" fillId="3" borderId="8" xfId="11" applyFont="1" applyFill="1" applyBorder="1" applyAlignment="1"/>
    <xf numFmtId="0" fontId="45" fillId="3" borderId="16" xfId="11" applyFont="1" applyFill="1" applyBorder="1" applyAlignment="1">
      <alignment vertical="center" textRotation="255"/>
    </xf>
    <xf numFmtId="0" fontId="45" fillId="3" borderId="5" xfId="11" applyFont="1" applyFill="1" applyBorder="1">
      <alignment vertical="center"/>
    </xf>
    <xf numFmtId="0" fontId="45" fillId="3" borderId="5" xfId="11" applyFont="1" applyFill="1" applyBorder="1" applyAlignment="1">
      <alignment horizontal="center" vertical="center"/>
    </xf>
    <xf numFmtId="0" fontId="45" fillId="3" borderId="15" xfId="11" applyFont="1" applyFill="1" applyBorder="1" applyAlignment="1">
      <alignment horizontal="center" vertical="center"/>
    </xf>
    <xf numFmtId="0" fontId="45" fillId="3" borderId="7" xfId="11" applyFont="1" applyFill="1" applyBorder="1" applyAlignment="1">
      <alignment horizontal="center"/>
    </xf>
    <xf numFmtId="0" fontId="45" fillId="3" borderId="2" xfId="11" applyFont="1" applyFill="1" applyBorder="1" applyAlignment="1">
      <alignment horizontal="center"/>
    </xf>
    <xf numFmtId="0" fontId="45" fillId="3" borderId="8" xfId="11" applyFont="1" applyFill="1" applyBorder="1" applyAlignment="1">
      <alignment horizontal="center"/>
    </xf>
    <xf numFmtId="12" fontId="12" fillId="0" borderId="29" xfId="11" applyNumberFormat="1" applyFont="1" applyBorder="1" applyAlignment="1">
      <alignment horizontal="center" vertical="center"/>
    </xf>
    <xf numFmtId="2" fontId="10" fillId="0" borderId="65" xfId="9" applyNumberFormat="1" applyFont="1" applyFill="1" applyBorder="1" applyAlignment="1" applyProtection="1"/>
    <xf numFmtId="12" fontId="12" fillId="0" borderId="35" xfId="11" applyNumberFormat="1" applyFont="1" applyBorder="1" applyAlignment="1">
      <alignment horizontal="center" vertical="center"/>
    </xf>
    <xf numFmtId="0" fontId="12" fillId="0" borderId="35" xfId="11" applyFont="1" applyBorder="1" applyAlignment="1">
      <alignment horizontal="center" vertical="center"/>
    </xf>
    <xf numFmtId="12" fontId="12" fillId="3" borderId="25" xfId="11" applyNumberFormat="1" applyFont="1" applyFill="1" applyBorder="1" applyAlignment="1">
      <alignment horizontal="center" vertical="center"/>
    </xf>
    <xf numFmtId="12" fontId="12" fillId="3" borderId="35" xfId="11" applyNumberFormat="1" applyFont="1" applyFill="1" applyBorder="1" applyAlignment="1">
      <alignment horizontal="center" vertical="center"/>
    </xf>
    <xf numFmtId="0" fontId="12" fillId="0" borderId="55" xfId="11" applyFont="1" applyBorder="1" applyAlignment="1">
      <alignment horizontal="center" vertical="center"/>
    </xf>
    <xf numFmtId="0" fontId="12" fillId="0" borderId="3" xfId="11" applyFont="1" applyBorder="1" applyAlignment="1">
      <alignment horizontal="center" vertical="center" shrinkToFit="1"/>
    </xf>
    <xf numFmtId="0" fontId="12" fillId="0" borderId="25" xfId="11" applyFont="1" applyBorder="1" applyAlignment="1">
      <alignment horizontal="center" vertical="center"/>
    </xf>
    <xf numFmtId="0" fontId="12" fillId="0" borderId="6" xfId="11" applyFont="1" applyBorder="1" applyAlignment="1">
      <alignment horizontal="center" vertical="center" textRotation="255"/>
    </xf>
    <xf numFmtId="0" fontId="12" fillId="0" borderId="7" xfId="11" applyFont="1" applyBorder="1" applyAlignment="1">
      <alignment horizontal="center" vertical="center"/>
    </xf>
    <xf numFmtId="0" fontId="45" fillId="0" borderId="7" xfId="11" applyFont="1" applyBorder="1" applyAlignment="1">
      <alignment horizontal="left" vertical="center" wrapText="1"/>
    </xf>
    <xf numFmtId="0" fontId="12" fillId="0" borderId="8" xfId="11" applyFont="1" applyBorder="1" applyAlignment="1">
      <alignment horizontal="center" vertical="center"/>
    </xf>
    <xf numFmtId="185" fontId="10" fillId="0" borderId="8" xfId="9" applyNumberFormat="1" applyFont="1" applyFill="1" applyBorder="1" applyAlignment="1" applyProtection="1">
      <alignment vertical="center"/>
    </xf>
    <xf numFmtId="185" fontId="10" fillId="0" borderId="2" xfId="9" applyNumberFormat="1" applyFont="1" applyFill="1" applyBorder="1" applyAlignment="1" applyProtection="1">
      <alignment vertical="center"/>
    </xf>
    <xf numFmtId="185" fontId="75" fillId="0" borderId="2" xfId="8" applyNumberFormat="1" applyFont="1" applyFill="1" applyBorder="1" applyAlignment="1" applyProtection="1">
      <alignment vertical="center"/>
    </xf>
    <xf numFmtId="0" fontId="12" fillId="3" borderId="6" xfId="11" applyFont="1" applyFill="1" applyBorder="1" applyAlignment="1">
      <alignment horizontal="center" vertical="center" textRotation="255"/>
    </xf>
    <xf numFmtId="0" fontId="12" fillId="3" borderId="8" xfId="11" applyFont="1" applyFill="1" applyBorder="1" applyAlignment="1">
      <alignment horizontal="center"/>
    </xf>
    <xf numFmtId="185" fontId="75" fillId="0" borderId="65" xfId="8" applyNumberFormat="1" applyFont="1" applyFill="1" applyBorder="1" applyAlignment="1" applyProtection="1">
      <alignment vertical="center"/>
    </xf>
    <xf numFmtId="0" fontId="12" fillId="3" borderId="3" xfId="11" applyFont="1" applyFill="1" applyBorder="1" applyAlignment="1">
      <alignment horizontal="center" vertical="center" textRotation="255"/>
    </xf>
    <xf numFmtId="0" fontId="12" fillId="3" borderId="1" xfId="11" applyFont="1" applyFill="1" applyBorder="1" applyAlignment="1">
      <alignment horizontal="center"/>
    </xf>
    <xf numFmtId="49" fontId="10" fillId="0" borderId="17" xfId="11" applyNumberFormat="1" applyBorder="1" applyAlignment="1">
      <alignment horizontal="left" shrinkToFit="1"/>
    </xf>
    <xf numFmtId="49" fontId="10" fillId="0" borderId="0" xfId="11" applyNumberFormat="1" applyAlignment="1">
      <alignment horizontal="left" shrinkToFit="1"/>
    </xf>
    <xf numFmtId="49" fontId="10" fillId="0" borderId="0" xfId="11" quotePrefix="1" applyNumberFormat="1" applyAlignment="1">
      <alignment horizontal="left" shrinkToFit="1"/>
    </xf>
    <xf numFmtId="0" fontId="10" fillId="0" borderId="0" xfId="11" applyAlignment="1">
      <alignment vertical="top" wrapText="1"/>
    </xf>
    <xf numFmtId="0" fontId="10" fillId="0" borderId="0" xfId="11" applyAlignment="1">
      <alignment horizontal="center" vertical="center" wrapText="1"/>
    </xf>
    <xf numFmtId="9" fontId="10" fillId="0" borderId="0" xfId="3" applyFont="1" applyFill="1" applyBorder="1" applyAlignment="1" applyProtection="1">
      <alignment horizontal="center" vertical="center" wrapText="1"/>
    </xf>
    <xf numFmtId="0" fontId="75" fillId="3" borderId="0" xfId="10" applyFont="1" applyFill="1" applyAlignment="1">
      <alignment vertical="center"/>
    </xf>
    <xf numFmtId="0" fontId="45" fillId="11" borderId="7" xfId="11" applyFont="1" applyFill="1" applyBorder="1" applyAlignment="1">
      <alignment horizontal="center"/>
    </xf>
    <xf numFmtId="185" fontId="10" fillId="11" borderId="40" xfId="9" applyNumberFormat="1" applyFont="1" applyFill="1" applyBorder="1" applyAlignment="1" applyProtection="1">
      <alignment vertical="center"/>
      <protection locked="0"/>
    </xf>
    <xf numFmtId="185" fontId="10" fillId="11" borderId="35" xfId="9" applyNumberFormat="1" applyFont="1" applyFill="1" applyBorder="1" applyAlignment="1" applyProtection="1">
      <alignment vertical="center"/>
      <protection locked="0"/>
    </xf>
    <xf numFmtId="185" fontId="10" fillId="11" borderId="54" xfId="9" applyNumberFormat="1" applyFont="1" applyFill="1" applyBorder="1" applyAlignment="1" applyProtection="1">
      <alignment vertical="center"/>
      <protection locked="0"/>
    </xf>
    <xf numFmtId="185" fontId="10" fillId="11" borderId="0" xfId="9" applyNumberFormat="1" applyFont="1" applyFill="1" applyBorder="1" applyAlignment="1" applyProtection="1">
      <alignment vertical="center"/>
      <protection locked="0"/>
    </xf>
    <xf numFmtId="185" fontId="10" fillId="11" borderId="29" xfId="9" applyNumberFormat="1" applyFont="1" applyFill="1" applyBorder="1" applyAlignment="1" applyProtection="1">
      <alignment vertical="center"/>
      <protection locked="0"/>
    </xf>
    <xf numFmtId="185" fontId="10" fillId="11" borderId="27" xfId="9" applyNumberFormat="1" applyFont="1" applyFill="1" applyBorder="1" applyAlignment="1" applyProtection="1">
      <alignment vertical="center"/>
      <protection locked="0"/>
    </xf>
    <xf numFmtId="185" fontId="10" fillId="11" borderId="33" xfId="9" applyNumberFormat="1" applyFont="1" applyFill="1" applyBorder="1" applyAlignment="1" applyProtection="1">
      <alignment vertical="center"/>
      <protection locked="0"/>
    </xf>
    <xf numFmtId="185" fontId="10" fillId="11" borderId="34" xfId="9" applyNumberFormat="1" applyFont="1" applyFill="1" applyBorder="1" applyAlignment="1" applyProtection="1">
      <alignment vertical="center"/>
      <protection locked="0"/>
    </xf>
    <xf numFmtId="185" fontId="10" fillId="11" borderId="5" xfId="9" applyNumberFormat="1" applyFont="1" applyFill="1" applyBorder="1" applyAlignment="1" applyProtection="1">
      <alignment vertical="center"/>
      <protection locked="0"/>
    </xf>
    <xf numFmtId="185" fontId="10" fillId="11" borderId="28" xfId="9" applyNumberFormat="1" applyFont="1" applyFill="1" applyBorder="1" applyAlignment="1" applyProtection="1">
      <alignment vertical="center"/>
      <protection locked="0"/>
    </xf>
    <xf numFmtId="185" fontId="10" fillId="11" borderId="15" xfId="9" applyNumberFormat="1" applyFont="1" applyFill="1" applyBorder="1" applyAlignment="1" applyProtection="1">
      <alignment vertical="center"/>
      <protection locked="0"/>
    </xf>
    <xf numFmtId="2" fontId="10" fillId="12" borderId="8" xfId="9" applyNumberFormat="1" applyFont="1" applyFill="1" applyBorder="1" applyAlignment="1" applyProtection="1"/>
    <xf numFmtId="12" fontId="12" fillId="13" borderId="8" xfId="9" applyNumberFormat="1" applyFont="1" applyFill="1" applyBorder="1" applyAlignment="1" applyProtection="1">
      <alignment horizontal="center"/>
      <protection locked="0"/>
    </xf>
    <xf numFmtId="179" fontId="10" fillId="12" borderId="1" xfId="9" applyNumberFormat="1" applyFont="1" applyFill="1" applyBorder="1" applyAlignment="1" applyProtection="1"/>
    <xf numFmtId="2" fontId="10" fillId="12" borderId="1" xfId="9" applyNumberFormat="1" applyFont="1" applyFill="1" applyBorder="1" applyAlignment="1" applyProtection="1"/>
    <xf numFmtId="2" fontId="10" fillId="12" borderId="7" xfId="9" applyNumberFormat="1" applyFont="1" applyFill="1" applyBorder="1" applyAlignment="1" applyProtection="1"/>
    <xf numFmtId="186" fontId="75" fillId="12" borderId="25" xfId="8" applyNumberFormat="1" applyFont="1" applyFill="1" applyBorder="1" applyAlignment="1" applyProtection="1">
      <alignment vertical="center"/>
    </xf>
    <xf numFmtId="179" fontId="49" fillId="12" borderId="66" xfId="9" applyNumberFormat="1" applyFont="1" applyFill="1" applyBorder="1" applyAlignment="1" applyProtection="1">
      <alignment vertical="center"/>
    </xf>
    <xf numFmtId="0" fontId="37" fillId="0" borderId="0" xfId="0" applyFont="1" applyAlignment="1">
      <alignment horizontal="left"/>
    </xf>
    <xf numFmtId="0" fontId="37" fillId="0" borderId="0" xfId="0" applyFont="1" applyAlignment="1">
      <alignment horizontal="justify"/>
    </xf>
    <xf numFmtId="0" fontId="37" fillId="0" borderId="0" xfId="0" applyFont="1" applyAlignment="1">
      <alignment vertical="top"/>
    </xf>
    <xf numFmtId="0" fontId="50" fillId="0" borderId="0" xfId="0" applyFont="1" applyAlignment="1">
      <alignment vertical="center"/>
    </xf>
    <xf numFmtId="0" fontId="37" fillId="0" borderId="2" xfId="0" applyFont="1" applyBorder="1" applyAlignment="1">
      <alignment horizontal="center" vertical="center"/>
    </xf>
    <xf numFmtId="0" fontId="37" fillId="0" borderId="2" xfId="0" applyFont="1" applyBorder="1" applyAlignment="1">
      <alignment horizontal="justify" vertical="center"/>
    </xf>
    <xf numFmtId="0" fontId="37" fillId="0" borderId="6" xfId="0" applyFont="1" applyBorder="1" applyAlignment="1">
      <alignment horizontal="justify" vertical="center"/>
    </xf>
    <xf numFmtId="0" fontId="37" fillId="0" borderId="2" xfId="0" applyFont="1" applyBorder="1" applyAlignment="1">
      <alignment horizontal="justify" vertical="center" wrapText="1"/>
    </xf>
    <xf numFmtId="0" fontId="37" fillId="0" borderId="6" xfId="0" applyFont="1" applyBorder="1" applyAlignment="1">
      <alignment horizontal="justify" vertical="center" wrapText="1"/>
    </xf>
    <xf numFmtId="0" fontId="37" fillId="0" borderId="67" xfId="0" applyFont="1" applyBorder="1" applyAlignment="1">
      <alignment horizontal="justify" vertical="top" wrapText="1"/>
    </xf>
    <xf numFmtId="0" fontId="37" fillId="0" borderId="2" xfId="0" applyFont="1" applyBorder="1" applyAlignment="1">
      <alignment horizontal="justify" vertical="top" wrapText="1"/>
    </xf>
    <xf numFmtId="0" fontId="37" fillId="0" borderId="6" xfId="0" applyFont="1" applyBorder="1" applyAlignment="1">
      <alignment horizontal="center" vertical="center" wrapText="1"/>
    </xf>
    <xf numFmtId="0" fontId="37" fillId="0" borderId="25" xfId="0" applyFont="1" applyBorder="1" applyAlignment="1">
      <alignment horizontal="justify" vertical="top" wrapText="1"/>
    </xf>
    <xf numFmtId="176" fontId="7" fillId="0" borderId="2" xfId="0" applyNumberFormat="1" applyFont="1" applyBorder="1" applyAlignment="1">
      <alignment horizontal="center" vertical="center" wrapText="1"/>
    </xf>
    <xf numFmtId="0" fontId="37" fillId="0" borderId="3" xfId="0" applyFont="1" applyBorder="1" applyAlignment="1">
      <alignment horizontal="justify" vertical="top" wrapText="1"/>
    </xf>
    <xf numFmtId="0" fontId="37" fillId="0" borderId="4" xfId="0" applyFont="1" applyBorder="1" applyAlignment="1">
      <alignment horizontal="justify" vertical="top" wrapText="1"/>
    </xf>
    <xf numFmtId="0" fontId="37" fillId="0" borderId="17" xfId="0" applyFont="1" applyBorder="1" applyAlignment="1">
      <alignment horizontal="left"/>
    </xf>
    <xf numFmtId="0" fontId="37" fillId="0" borderId="0" xfId="0" applyFont="1"/>
    <xf numFmtId="0" fontId="37" fillId="0" borderId="27" xfId="0" applyFont="1" applyBorder="1" applyAlignment="1">
      <alignment horizontal="justify" vertical="top" wrapText="1"/>
    </xf>
    <xf numFmtId="0" fontId="37" fillId="0" borderId="0" xfId="0" applyFont="1" applyAlignment="1">
      <alignment horizontal="justify" vertical="top" wrapText="1"/>
    </xf>
    <xf numFmtId="0" fontId="37" fillId="0" borderId="16" xfId="0" applyFont="1" applyBorder="1" applyAlignment="1">
      <alignment horizontal="left"/>
    </xf>
    <xf numFmtId="0" fontId="51" fillId="0" borderId="0" xfId="0" applyFont="1" applyAlignment="1">
      <alignment horizontal="left" vertical="center"/>
    </xf>
    <xf numFmtId="0" fontId="7" fillId="3" borderId="16" xfId="0" applyFont="1" applyFill="1" applyBorder="1" applyAlignment="1">
      <alignment vertical="center" shrinkToFit="1"/>
    </xf>
    <xf numFmtId="0" fontId="7" fillId="3" borderId="16" xfId="0" applyFont="1" applyFill="1" applyBorder="1" applyAlignment="1">
      <alignment horizontal="center" vertical="center" shrinkToFit="1"/>
    </xf>
    <xf numFmtId="0" fontId="23" fillId="3" borderId="5" xfId="0" applyFont="1" applyFill="1" applyBorder="1" applyAlignment="1">
      <alignment vertical="top" wrapText="1"/>
    </xf>
    <xf numFmtId="0" fontId="23" fillId="3" borderId="15" xfId="0" applyFont="1" applyFill="1" applyBorder="1" applyAlignment="1">
      <alignment vertical="top" wrapText="1"/>
    </xf>
    <xf numFmtId="0" fontId="7" fillId="8" borderId="28" xfId="0" applyFont="1" applyFill="1" applyBorder="1" applyAlignment="1">
      <alignment vertical="center"/>
    </xf>
    <xf numFmtId="0" fontId="7" fillId="3" borderId="28" xfId="0" applyFont="1" applyFill="1" applyBorder="1" applyAlignment="1">
      <alignment vertical="center" shrinkToFit="1"/>
    </xf>
    <xf numFmtId="0" fontId="7" fillId="3" borderId="28" xfId="0" applyFont="1" applyFill="1" applyBorder="1" applyAlignment="1">
      <alignment horizontal="center" vertical="center" shrinkToFit="1"/>
    </xf>
    <xf numFmtId="0" fontId="7" fillId="3" borderId="28" xfId="0" applyFont="1" applyFill="1" applyBorder="1" applyAlignment="1">
      <alignment vertical="center" wrapText="1"/>
    </xf>
    <xf numFmtId="0" fontId="7" fillId="3" borderId="25" xfId="0" applyFont="1" applyFill="1" applyBorder="1" applyAlignment="1">
      <alignment vertical="center" wrapText="1"/>
    </xf>
    <xf numFmtId="0" fontId="23" fillId="3" borderId="16" xfId="0" applyFont="1" applyFill="1" applyBorder="1" applyAlignment="1">
      <alignment vertical="top" wrapText="1"/>
    </xf>
    <xf numFmtId="0" fontId="6" fillId="3" borderId="2"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5" xfId="0" applyFont="1" applyFill="1" applyBorder="1" applyAlignment="1">
      <alignment horizontal="left" vertical="center"/>
    </xf>
    <xf numFmtId="0" fontId="6" fillId="3" borderId="15" xfId="0" applyFont="1" applyFill="1" applyBorder="1" applyAlignment="1">
      <alignment horizontal="left" vertical="center"/>
    </xf>
    <xf numFmtId="0" fontId="6" fillId="3" borderId="5" xfId="0" applyFont="1" applyFill="1" applyBorder="1" applyAlignment="1">
      <alignment vertical="center"/>
    </xf>
    <xf numFmtId="0" fontId="6" fillId="3" borderId="2" xfId="0" applyFont="1" applyFill="1" applyBorder="1" applyAlignment="1">
      <alignment vertical="center"/>
    </xf>
    <xf numFmtId="0" fontId="6" fillId="3" borderId="17" xfId="0" applyFont="1" applyFill="1" applyBorder="1" applyAlignment="1">
      <alignment vertical="center"/>
    </xf>
    <xf numFmtId="0" fontId="6" fillId="3" borderId="27" xfId="0" applyFont="1" applyFill="1" applyBorder="1" applyAlignment="1">
      <alignment vertical="center"/>
    </xf>
    <xf numFmtId="0" fontId="6" fillId="3" borderId="6" xfId="0" applyFont="1" applyFill="1" applyBorder="1" applyAlignment="1">
      <alignment horizontal="center" vertical="center" shrinkToFit="1"/>
    </xf>
    <xf numFmtId="0" fontId="6" fillId="3" borderId="17" xfId="0" applyFont="1" applyFill="1" applyBorder="1" applyAlignment="1">
      <alignment vertical="center" wrapText="1"/>
    </xf>
    <xf numFmtId="0" fontId="6" fillId="3" borderId="0" xfId="0" applyFont="1" applyFill="1" applyAlignment="1">
      <alignment horizontal="left" vertical="center" shrinkToFit="1"/>
    </xf>
    <xf numFmtId="0" fontId="6" fillId="3" borderId="7" xfId="0" applyFont="1" applyFill="1" applyBorder="1" applyAlignment="1">
      <alignment horizontal="center" vertical="center" shrinkToFit="1"/>
    </xf>
    <xf numFmtId="0" fontId="6" fillId="3" borderId="0" xfId="0" applyFont="1" applyFill="1" applyAlignment="1">
      <alignment horizontal="left" wrapText="1"/>
    </xf>
    <xf numFmtId="0" fontId="6" fillId="7" borderId="7" xfId="0" applyFont="1" applyFill="1" applyBorder="1" applyAlignment="1">
      <alignment horizontal="center" vertical="center" shrinkToFit="1"/>
    </xf>
    <xf numFmtId="0" fontId="6" fillId="3" borderId="7" xfId="0" applyFont="1" applyFill="1" applyBorder="1" applyAlignment="1">
      <alignment horizontal="left" vertical="center" shrinkToFit="1"/>
    </xf>
    <xf numFmtId="0" fontId="6" fillId="3" borderId="6" xfId="0" applyFont="1" applyFill="1" applyBorder="1" applyAlignment="1">
      <alignment horizontal="right" vertical="center" shrinkToFit="1"/>
    </xf>
    <xf numFmtId="0" fontId="6" fillId="5" borderId="7" xfId="0" applyFont="1" applyFill="1" applyBorder="1" applyAlignment="1">
      <alignment horizontal="right" vertical="center" shrinkToFit="1"/>
    </xf>
    <xf numFmtId="0" fontId="6" fillId="3" borderId="8" xfId="0" applyFont="1" applyFill="1" applyBorder="1" applyAlignment="1">
      <alignment horizontal="left" vertical="center" shrinkToFit="1"/>
    </xf>
    <xf numFmtId="0" fontId="6" fillId="3" borderId="25" xfId="0" applyFont="1" applyFill="1" applyBorder="1" applyAlignment="1">
      <alignment horizontal="center" vertical="center"/>
    </xf>
    <xf numFmtId="0" fontId="6" fillId="5" borderId="68" xfId="0" applyFont="1" applyFill="1" applyBorder="1" applyAlignment="1">
      <alignment vertical="center" shrinkToFit="1"/>
    </xf>
    <xf numFmtId="0" fontId="6" fillId="5" borderId="69" xfId="0" applyFont="1" applyFill="1" applyBorder="1" applyAlignment="1">
      <alignment vertical="center" shrinkToFit="1"/>
    </xf>
    <xf numFmtId="0" fontId="6" fillId="5" borderId="66" xfId="0" applyFont="1" applyFill="1" applyBorder="1" applyAlignment="1">
      <alignment vertical="center" shrinkToFit="1"/>
    </xf>
    <xf numFmtId="0" fontId="6" fillId="3" borderId="71" xfId="0" applyFont="1" applyFill="1" applyBorder="1" applyAlignment="1">
      <alignment vertical="center" shrinkToFit="1"/>
    </xf>
    <xf numFmtId="0" fontId="6" fillId="7" borderId="72" xfId="0" applyFont="1" applyFill="1" applyBorder="1" applyAlignment="1">
      <alignment vertical="center" shrinkToFit="1"/>
    </xf>
    <xf numFmtId="179" fontId="6" fillId="7" borderId="72" xfId="0" applyNumberFormat="1" applyFont="1" applyFill="1" applyBorder="1" applyAlignment="1">
      <alignment vertical="center" shrinkToFit="1"/>
    </xf>
    <xf numFmtId="0" fontId="6" fillId="3" borderId="28" xfId="0" applyFont="1" applyFill="1" applyBorder="1" applyAlignment="1">
      <alignment vertical="center"/>
    </xf>
    <xf numFmtId="0" fontId="6" fillId="3" borderId="3" xfId="0" applyFont="1" applyFill="1" applyBorder="1" applyAlignment="1">
      <alignment vertical="center"/>
    </xf>
    <xf numFmtId="0" fontId="19" fillId="5" borderId="73" xfId="0" applyFont="1" applyFill="1" applyBorder="1" applyAlignment="1">
      <alignment horizontal="center" vertical="center" shrinkToFit="1"/>
    </xf>
    <xf numFmtId="0" fontId="6" fillId="3" borderId="74" xfId="0" applyFont="1" applyFill="1" applyBorder="1" applyAlignment="1">
      <alignment horizontal="center"/>
    </xf>
    <xf numFmtId="0" fontId="19" fillId="3" borderId="0" xfId="0" applyFont="1" applyFill="1" applyAlignment="1">
      <alignment horizontal="center" vertical="center" wrapText="1"/>
    </xf>
    <xf numFmtId="0" fontId="6" fillId="3" borderId="74" xfId="0" applyFont="1" applyFill="1" applyBorder="1"/>
    <xf numFmtId="0" fontId="6" fillId="3" borderId="0" xfId="0" applyFont="1" applyFill="1" applyAlignment="1">
      <alignment horizontal="center" vertical="center" wrapText="1"/>
    </xf>
    <xf numFmtId="0" fontId="53" fillId="3" borderId="0" xfId="0" applyFont="1" applyFill="1" applyAlignment="1">
      <alignment vertical="center"/>
    </xf>
    <xf numFmtId="0" fontId="6" fillId="3" borderId="16" xfId="0" applyFont="1" applyFill="1" applyBorder="1" applyAlignment="1">
      <alignment vertical="center" wrapText="1"/>
    </xf>
    <xf numFmtId="49" fontId="6" fillId="3" borderId="5" xfId="0" applyNumberFormat="1" applyFont="1" applyFill="1" applyBorder="1" applyAlignment="1">
      <alignment vertical="center"/>
    </xf>
    <xf numFmtId="0" fontId="6" fillId="3" borderId="0" xfId="0" applyFont="1" applyFill="1" applyAlignment="1">
      <alignment horizontal="left" vertical="center"/>
    </xf>
    <xf numFmtId="0" fontId="9" fillId="7" borderId="2" xfId="0" applyFont="1" applyFill="1" applyBorder="1" applyAlignment="1">
      <alignment horizontal="center" vertical="center"/>
    </xf>
    <xf numFmtId="0" fontId="7" fillId="3" borderId="25" xfId="0" applyFont="1" applyFill="1" applyBorder="1" applyAlignment="1">
      <alignment horizontal="center" vertical="center" shrinkToFit="1"/>
    </xf>
    <xf numFmtId="0" fontId="7" fillId="0" borderId="0" xfId="0" applyFont="1" applyAlignment="1">
      <alignment vertical="center"/>
    </xf>
    <xf numFmtId="0" fontId="55" fillId="6" borderId="0" xfId="13" applyFill="1" applyAlignment="1">
      <alignment horizontal="center" vertical="center"/>
    </xf>
    <xf numFmtId="0" fontId="6" fillId="0" borderId="0" xfId="0" applyFont="1" applyAlignment="1">
      <alignment horizontal="center" vertical="center" wrapText="1"/>
    </xf>
    <xf numFmtId="0" fontId="6" fillId="0" borderId="17" xfId="0" applyFont="1" applyBorder="1" applyAlignment="1">
      <alignment horizontal="left" vertical="center" wrapText="1"/>
    </xf>
    <xf numFmtId="0" fontId="6" fillId="0" borderId="27" xfId="0" applyFont="1" applyBorder="1" applyAlignment="1">
      <alignment horizontal="left" vertical="center" wrapText="1"/>
    </xf>
    <xf numFmtId="0" fontId="6" fillId="0" borderId="17" xfId="0" applyFont="1" applyBorder="1" applyAlignment="1">
      <alignment horizontal="center" vertical="center"/>
    </xf>
    <xf numFmtId="0" fontId="6" fillId="0" borderId="62" xfId="0" quotePrefix="1" applyFont="1" applyBorder="1" applyAlignment="1">
      <alignment horizontal="center" vertical="center"/>
    </xf>
    <xf numFmtId="0" fontId="7" fillId="0" borderId="0" xfId="0" applyFont="1" applyAlignment="1">
      <alignment horizontal="left" vertical="center" wrapText="1"/>
    </xf>
    <xf numFmtId="0" fontId="7" fillId="0" borderId="2" xfId="0" applyFont="1" applyBorder="1" applyAlignment="1">
      <alignment horizontal="center" vertical="center"/>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6" fillId="0" borderId="15" xfId="0" applyFont="1" applyBorder="1" applyAlignment="1">
      <alignment horizontal="center" vertical="center" wrapText="1"/>
    </xf>
    <xf numFmtId="0" fontId="7" fillId="0" borderId="0" xfId="0" applyFont="1" applyAlignment="1">
      <alignment horizontal="center" vertical="center" wrapText="1"/>
    </xf>
    <xf numFmtId="0" fontId="7" fillId="0" borderId="5" xfId="0" applyFont="1" applyBorder="1" applyAlignment="1">
      <alignment horizontal="center" vertical="center" wrapText="1"/>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0" fontId="7" fillId="0" borderId="0" xfId="0" applyFont="1" applyAlignment="1">
      <alignment horizontal="center" vertical="center"/>
    </xf>
    <xf numFmtId="0" fontId="15" fillId="0" borderId="63" xfId="0" quotePrefix="1" applyFont="1" applyBorder="1" applyAlignment="1">
      <alignment horizontal="center" vertical="center"/>
    </xf>
    <xf numFmtId="0" fontId="6" fillId="0" borderId="0" xfId="0" applyFont="1" applyAlignment="1">
      <alignment horizontal="center"/>
    </xf>
    <xf numFmtId="0" fontId="6" fillId="0" borderId="27" xfId="0" applyFont="1" applyBorder="1" applyAlignment="1">
      <alignment vertical="center"/>
    </xf>
    <xf numFmtId="0" fontId="6" fillId="0" borderId="8" xfId="0" applyFont="1" applyBorder="1" applyAlignment="1">
      <alignment horizontal="center" vertical="center" wrapText="1"/>
    </xf>
    <xf numFmtId="0" fontId="6" fillId="0" borderId="4" xfId="0" applyFont="1" applyBorder="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4" xfId="0" applyFont="1" applyBorder="1" applyAlignment="1">
      <alignment horizontal="center" vertical="center" wrapText="1"/>
    </xf>
    <xf numFmtId="0" fontId="6" fillId="0" borderId="17" xfId="0" applyFont="1" applyBorder="1" applyAlignment="1">
      <alignment vertical="center"/>
    </xf>
    <xf numFmtId="0" fontId="6" fillId="0" borderId="0" xfId="0" applyFont="1" applyAlignment="1">
      <alignment vertical="top"/>
    </xf>
    <xf numFmtId="0" fontId="6" fillId="0" borderId="27" xfId="0" applyFont="1" applyBorder="1" applyAlignment="1">
      <alignment vertical="top"/>
    </xf>
    <xf numFmtId="0" fontId="6" fillId="0" borderId="17" xfId="0" applyFont="1" applyBorder="1" applyAlignment="1">
      <alignment vertical="top"/>
    </xf>
    <xf numFmtId="0" fontId="6" fillId="0" borderId="29" xfId="0" applyFont="1" applyBorder="1" applyAlignment="1">
      <alignment vertical="center"/>
    </xf>
    <xf numFmtId="0" fontId="6" fillId="0" borderId="16" xfId="0" applyFont="1" applyBorder="1" applyAlignment="1">
      <alignment vertical="center"/>
    </xf>
    <xf numFmtId="0" fontId="6" fillId="0" borderId="28" xfId="0" applyFont="1" applyBorder="1" applyAlignment="1">
      <alignment vertical="center"/>
    </xf>
    <xf numFmtId="0" fontId="6" fillId="0" borderId="15" xfId="0" applyFont="1" applyBorder="1" applyAlignment="1">
      <alignment vertical="center"/>
    </xf>
    <xf numFmtId="0" fontId="0" fillId="0" borderId="0" xfId="0" applyAlignment="1">
      <alignment horizontal="center" vertical="center"/>
    </xf>
    <xf numFmtId="0" fontId="6" fillId="0" borderId="29" xfId="0" applyFont="1" applyBorder="1" applyAlignment="1">
      <alignment horizontal="left" vertical="center"/>
    </xf>
    <xf numFmtId="0" fontId="6" fillId="0" borderId="29" xfId="0" applyFont="1" applyBorder="1" applyAlignment="1">
      <alignment vertical="center" wrapText="1"/>
    </xf>
    <xf numFmtId="0" fontId="89" fillId="0" borderId="0" xfId="0" applyFont="1" applyAlignment="1">
      <alignment horizontal="left" vertical="center"/>
    </xf>
    <xf numFmtId="0" fontId="7" fillId="5" borderId="7" xfId="0" applyFont="1" applyFill="1" applyBorder="1" applyAlignment="1">
      <alignment horizontal="center" vertical="center" shrinkToFit="1"/>
    </xf>
    <xf numFmtId="0" fontId="6" fillId="0" borderId="6" xfId="0" applyFont="1" applyBorder="1" applyAlignment="1">
      <alignment vertical="center"/>
    </xf>
    <xf numFmtId="0" fontId="6" fillId="0" borderId="7" xfId="0" applyFont="1" applyBorder="1" applyAlignment="1">
      <alignment vertical="center"/>
    </xf>
    <xf numFmtId="0" fontId="6" fillId="0" borderId="7" xfId="18" applyFont="1" applyBorder="1" applyAlignment="1">
      <alignment horizontal="center" vertical="center"/>
    </xf>
    <xf numFmtId="0" fontId="6" fillId="0" borderId="0" xfId="18" applyFont="1" applyAlignment="1">
      <alignment horizontal="center" vertical="center"/>
    </xf>
    <xf numFmtId="0" fontId="37" fillId="0" borderId="7" xfId="0" applyFont="1" applyBorder="1" applyAlignment="1">
      <alignment vertical="center"/>
    </xf>
    <xf numFmtId="0" fontId="6" fillId="0" borderId="8" xfId="0" applyFont="1" applyBorder="1" applyAlignment="1">
      <alignment vertical="center"/>
    </xf>
    <xf numFmtId="0" fontId="37" fillId="0" borderId="4" xfId="0" applyFont="1" applyBorder="1" applyAlignment="1">
      <alignment vertical="center"/>
    </xf>
    <xf numFmtId="0" fontId="6" fillId="0" borderId="5" xfId="0" applyFont="1" applyBorder="1" applyAlignment="1">
      <alignment vertical="center"/>
    </xf>
    <xf numFmtId="0" fontId="6" fillId="0" borderId="5" xfId="18" applyFont="1" applyBorder="1" applyAlignment="1">
      <alignment horizontal="center" vertical="center"/>
    </xf>
    <xf numFmtId="0" fontId="37" fillId="0" borderId="5" xfId="0" applyFont="1" applyBorder="1" applyAlignment="1">
      <alignment vertical="center"/>
    </xf>
    <xf numFmtId="0" fontId="6" fillId="0" borderId="61" xfId="18" applyFont="1" applyBorder="1" applyAlignment="1">
      <alignment horizontal="center" vertical="center"/>
    </xf>
    <xf numFmtId="0" fontId="6" fillId="0" borderId="60" xfId="0" applyFont="1" applyBorder="1" applyAlignment="1">
      <alignment horizontal="center" vertical="center"/>
    </xf>
    <xf numFmtId="0" fontId="6" fillId="0" borderId="62" xfId="0" applyFont="1" applyBorder="1" applyAlignment="1">
      <alignment horizontal="center" vertical="center"/>
    </xf>
    <xf numFmtId="0" fontId="84" fillId="0" borderId="0" xfId="0" applyFont="1" applyAlignment="1">
      <alignment horizontal="left" vertical="center"/>
    </xf>
    <xf numFmtId="0" fontId="54" fillId="0" borderId="17" xfId="0" applyFont="1" applyBorder="1" applyAlignment="1">
      <alignment horizontal="center" vertical="center"/>
    </xf>
    <xf numFmtId="0" fontId="54" fillId="0" borderId="0" xfId="0" applyFont="1" applyAlignment="1">
      <alignment horizontal="center" vertical="center"/>
    </xf>
    <xf numFmtId="0" fontId="54" fillId="0" borderId="27" xfId="0" applyFont="1" applyBorder="1" applyAlignment="1">
      <alignment horizontal="center" vertical="center"/>
    </xf>
    <xf numFmtId="0" fontId="6" fillId="0" borderId="17" xfId="18" applyFont="1" applyBorder="1" applyAlignment="1">
      <alignment horizontal="center" vertical="center"/>
    </xf>
    <xf numFmtId="0" fontId="6" fillId="0" borderId="27" xfId="18" applyFont="1" applyBorder="1" applyAlignment="1">
      <alignment horizontal="center" vertical="center"/>
    </xf>
    <xf numFmtId="0" fontId="6" fillId="0" borderId="7" xfId="0" applyFont="1" applyBorder="1" applyAlignment="1">
      <alignment horizontal="right" vertical="center"/>
    </xf>
    <xf numFmtId="0" fontId="6" fillId="0" borderId="8" xfId="0" applyFont="1" applyBorder="1" applyAlignment="1">
      <alignment horizontal="right" vertical="center"/>
    </xf>
    <xf numFmtId="0" fontId="6" fillId="0" borderId="1" xfId="0" applyFont="1" applyBorder="1" applyAlignment="1">
      <alignment horizontal="right" vertical="center"/>
    </xf>
    <xf numFmtId="0" fontId="0" fillId="0" borderId="27" xfId="0" applyBorder="1" applyAlignment="1">
      <alignment horizontal="center" vertical="center"/>
    </xf>
    <xf numFmtId="0" fontId="7" fillId="0" borderId="7" xfId="0" applyFont="1" applyBorder="1" applyAlignment="1">
      <alignment horizontal="center" vertical="center"/>
    </xf>
    <xf numFmtId="0" fontId="0" fillId="0" borderId="0" xfId="0" applyAlignment="1">
      <alignment horizontal="right"/>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135" xfId="0" applyFont="1" applyBorder="1" applyAlignment="1">
      <alignment horizontal="left" vertical="center"/>
    </xf>
    <xf numFmtId="0" fontId="6" fillId="0" borderId="3" xfId="0" applyFont="1" applyBorder="1" applyAlignment="1">
      <alignment horizontal="center" vertical="center"/>
    </xf>
    <xf numFmtId="0" fontId="6" fillId="0" borderId="27" xfId="0" applyFont="1" applyBorder="1" applyAlignment="1">
      <alignment horizontal="center" vertical="center"/>
    </xf>
    <xf numFmtId="0" fontId="6" fillId="0" borderId="0" xfId="0" applyFont="1" applyAlignment="1">
      <alignment horizontal="left" vertical="top" wrapText="1"/>
    </xf>
    <xf numFmtId="0" fontId="6" fillId="0" borderId="3" xfId="0" applyFont="1" applyBorder="1" applyAlignment="1">
      <alignment horizontal="center" vertical="center" wrapText="1"/>
    </xf>
    <xf numFmtId="0" fontId="6" fillId="0" borderId="1" xfId="0" applyFont="1" applyBorder="1" applyAlignment="1">
      <alignment horizontal="center" vertical="center" wrapText="1"/>
    </xf>
    <xf numFmtId="0" fontId="37" fillId="0" borderId="25"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6" xfId="0" applyFont="1" applyBorder="1" applyAlignment="1">
      <alignment horizontal="center" vertical="center"/>
    </xf>
    <xf numFmtId="0" fontId="37" fillId="0" borderId="26" xfId="0" applyFont="1" applyBorder="1" applyAlignment="1">
      <alignment horizontal="center" vertical="center" wrapText="1"/>
    </xf>
    <xf numFmtId="0" fontId="6" fillId="0" borderId="16" xfId="0" applyFont="1" applyBorder="1" applyAlignment="1">
      <alignment horizontal="center" vertical="center"/>
    </xf>
    <xf numFmtId="0" fontId="55" fillId="0" borderId="2" xfId="13" applyBorder="1" applyAlignment="1">
      <alignment horizontal="center" vertical="center"/>
    </xf>
    <xf numFmtId="0" fontId="55" fillId="6" borderId="2" xfId="13" applyFill="1" applyBorder="1" applyAlignment="1">
      <alignment horizontal="center" vertical="center"/>
    </xf>
    <xf numFmtId="0" fontId="6" fillId="0" borderId="16" xfId="0" applyFont="1" applyBorder="1" applyAlignment="1">
      <alignment horizontal="center" vertical="center" wrapText="1"/>
    </xf>
    <xf numFmtId="0" fontId="6" fillId="0" borderId="16" xfId="0" applyFont="1" applyBorder="1" applyAlignment="1">
      <alignment horizontal="center"/>
    </xf>
    <xf numFmtId="0" fontId="6" fillId="0" borderId="3" xfId="0" applyFont="1" applyBorder="1" applyAlignment="1">
      <alignment horizontal="center"/>
    </xf>
    <xf numFmtId="0" fontId="99" fillId="3" borderId="0" xfId="19" applyFont="1" applyFill="1" applyAlignment="1">
      <alignment horizontal="left" vertical="top"/>
    </xf>
    <xf numFmtId="0" fontId="100" fillId="3" borderId="165" xfId="19" applyFont="1" applyFill="1" applyBorder="1" applyAlignment="1">
      <alignment vertical="center" wrapText="1"/>
    </xf>
    <xf numFmtId="0" fontId="100" fillId="3" borderId="163" xfId="19" applyFont="1" applyFill="1" applyBorder="1" applyAlignment="1">
      <alignment vertical="center" wrapText="1"/>
    </xf>
    <xf numFmtId="0" fontId="100" fillId="3" borderId="166" xfId="19" applyFont="1" applyFill="1" applyBorder="1" applyAlignment="1">
      <alignment vertical="center" wrapText="1"/>
    </xf>
    <xf numFmtId="0" fontId="100" fillId="3" borderId="173" xfId="19" applyFont="1" applyFill="1" applyBorder="1" applyAlignment="1">
      <alignment horizontal="center" vertical="center" wrapText="1"/>
    </xf>
    <xf numFmtId="0" fontId="95" fillId="3" borderId="0" xfId="20" applyFont="1" applyFill="1" applyAlignment="1">
      <alignment horizontal="center" vertical="center" wrapText="1"/>
    </xf>
    <xf numFmtId="0" fontId="95" fillId="3" borderId="0" xfId="20" applyFont="1" applyFill="1" applyAlignment="1">
      <alignment vertical="center" wrapText="1"/>
    </xf>
    <xf numFmtId="0" fontId="81" fillId="3" borderId="0" xfId="19" applyFont="1" applyFill="1" applyAlignment="1">
      <alignment horizontal="center" vertical="center" wrapText="1"/>
    </xf>
    <xf numFmtId="0" fontId="100" fillId="16" borderId="73" xfId="19" applyFont="1" applyFill="1" applyBorder="1" applyAlignment="1">
      <alignment vertical="center" textRotation="255" wrapText="1"/>
    </xf>
    <xf numFmtId="0" fontId="99" fillId="3" borderId="0" xfId="19" applyFont="1" applyFill="1" applyAlignment="1">
      <alignment horizontal="left" vertical="center"/>
    </xf>
    <xf numFmtId="0" fontId="100" fillId="3" borderId="192" xfId="19" applyFont="1" applyFill="1" applyBorder="1" applyAlignment="1">
      <alignment horizontal="left" vertical="center" wrapText="1"/>
    </xf>
    <xf numFmtId="0" fontId="100" fillId="3" borderId="191" xfId="19" applyFont="1" applyFill="1" applyBorder="1" applyAlignment="1">
      <alignment vertical="top" wrapText="1"/>
    </xf>
    <xf numFmtId="0" fontId="100" fillId="3" borderId="191" xfId="19" applyFont="1" applyFill="1" applyBorder="1" applyAlignment="1">
      <alignment vertical="center" wrapText="1"/>
    </xf>
    <xf numFmtId="0" fontId="99" fillId="3" borderId="191" xfId="19" applyFont="1" applyFill="1" applyBorder="1" applyAlignment="1">
      <alignment horizontal="left" vertical="center"/>
    </xf>
    <xf numFmtId="0" fontId="99" fillId="3" borderId="103" xfId="19" applyFont="1" applyFill="1" applyBorder="1" applyAlignment="1">
      <alignment horizontal="left" vertical="center"/>
    </xf>
    <xf numFmtId="0" fontId="100" fillId="0" borderId="0" xfId="19" applyFont="1" applyAlignment="1">
      <alignment horizontal="center" vertical="center" wrapText="1"/>
    </xf>
    <xf numFmtId="49" fontId="100" fillId="3" borderId="0" xfId="19" applyNumberFormat="1" applyFont="1" applyFill="1" applyAlignment="1">
      <alignment vertical="center" wrapText="1"/>
    </xf>
    <xf numFmtId="49" fontId="100" fillId="3" borderId="62" xfId="19" applyNumberFormat="1" applyFont="1" applyFill="1" applyBorder="1" applyAlignment="1">
      <alignment vertical="center" wrapText="1"/>
    </xf>
    <xf numFmtId="0" fontId="100" fillId="3" borderId="167" xfId="19" applyFont="1" applyFill="1" applyBorder="1" applyAlignment="1">
      <alignment horizontal="left" vertical="center"/>
    </xf>
    <xf numFmtId="0" fontId="100" fillId="3" borderId="168" xfId="19" applyFont="1" applyFill="1" applyBorder="1" applyAlignment="1">
      <alignment horizontal="left" vertical="center"/>
    </xf>
    <xf numFmtId="0" fontId="100" fillId="3" borderId="168" xfId="19" applyFont="1" applyFill="1" applyBorder="1" applyAlignment="1">
      <alignment horizontal="left" vertical="center" wrapText="1"/>
    </xf>
    <xf numFmtId="0" fontId="100" fillId="3" borderId="163" xfId="19" applyFont="1" applyFill="1" applyBorder="1" applyAlignment="1">
      <alignment horizontal="right" vertical="center" wrapText="1"/>
    </xf>
    <xf numFmtId="0" fontId="100" fillId="3" borderId="168" xfId="19" applyFont="1" applyFill="1" applyBorder="1" applyAlignment="1">
      <alignment horizontal="center" vertical="center" wrapText="1"/>
    </xf>
    <xf numFmtId="0" fontId="100" fillId="3" borderId="164" xfId="19" applyFont="1" applyFill="1" applyBorder="1" applyAlignment="1">
      <alignment horizontal="center" vertical="center" wrapText="1"/>
    </xf>
    <xf numFmtId="0" fontId="100" fillId="3" borderId="208" xfId="19" applyFont="1" applyFill="1" applyBorder="1" applyAlignment="1">
      <alignment horizontal="left" vertical="center"/>
    </xf>
    <xf numFmtId="0" fontId="100" fillId="3" borderId="209" xfId="19" applyFont="1" applyFill="1" applyBorder="1" applyAlignment="1">
      <alignment horizontal="left" vertical="center" wrapText="1"/>
    </xf>
    <xf numFmtId="0" fontId="100" fillId="3" borderId="205" xfId="19" applyFont="1" applyFill="1" applyBorder="1" applyAlignment="1">
      <alignment horizontal="right" vertical="center" wrapText="1"/>
    </xf>
    <xf numFmtId="0" fontId="100" fillId="3" borderId="209" xfId="19" applyFont="1" applyFill="1" applyBorder="1" applyAlignment="1">
      <alignment horizontal="center" vertical="center" wrapText="1"/>
    </xf>
    <xf numFmtId="49" fontId="100" fillId="3" borderId="210" xfId="19" applyNumberFormat="1" applyFont="1" applyFill="1" applyBorder="1" applyAlignment="1">
      <alignment vertical="center" wrapText="1"/>
    </xf>
    <xf numFmtId="0" fontId="100" fillId="3" borderId="93" xfId="19" applyFont="1" applyFill="1" applyBorder="1" applyAlignment="1">
      <alignment vertical="center"/>
    </xf>
    <xf numFmtId="0" fontId="100" fillId="3" borderId="93" xfId="19" applyFont="1" applyFill="1" applyBorder="1" applyAlignment="1">
      <alignment vertical="center" wrapText="1"/>
    </xf>
    <xf numFmtId="0" fontId="100" fillId="3" borderId="74" xfId="19" applyFont="1" applyFill="1" applyBorder="1" applyAlignment="1">
      <alignment vertical="top" wrapText="1"/>
    </xf>
    <xf numFmtId="0" fontId="99" fillId="3" borderId="0" xfId="19" applyFont="1" applyFill="1" applyAlignment="1">
      <alignment horizontal="left" vertical="top" indent="4"/>
    </xf>
    <xf numFmtId="0" fontId="99" fillId="3" borderId="0" xfId="19" applyFont="1" applyFill="1" applyAlignment="1">
      <alignment horizontal="left" vertical="top" indent="6"/>
    </xf>
    <xf numFmtId="0" fontId="15" fillId="5" borderId="35" xfId="0" applyFont="1" applyFill="1" applyBorder="1" applyAlignment="1">
      <alignment vertical="center" wrapText="1" shrinkToFit="1"/>
    </xf>
    <xf numFmtId="0" fontId="6" fillId="0" borderId="8" xfId="0" applyFont="1" applyBorder="1" applyAlignment="1">
      <alignment horizontal="center" vertical="center"/>
    </xf>
    <xf numFmtId="0" fontId="6" fillId="0" borderId="1" xfId="0" applyFont="1" applyBorder="1" applyAlignment="1">
      <alignment horizontal="left" vertical="center" wrapText="1"/>
    </xf>
    <xf numFmtId="0" fontId="6" fillId="0" borderId="15" xfId="0" applyFont="1" applyBorder="1" applyAlignment="1">
      <alignment horizontal="left" vertical="center" wrapText="1"/>
    </xf>
    <xf numFmtId="0" fontId="6" fillId="0" borderId="6" xfId="18" applyFont="1" applyBorder="1" applyAlignment="1">
      <alignment horizontal="center" vertical="center"/>
    </xf>
    <xf numFmtId="0" fontId="104" fillId="0" borderId="0" xfId="0" applyFont="1" applyAlignment="1">
      <alignment vertical="center"/>
    </xf>
    <xf numFmtId="0" fontId="6" fillId="0" borderId="17" xfId="0" applyFont="1" applyBorder="1" applyAlignment="1">
      <alignment horizontal="center" vertical="top"/>
    </xf>
    <xf numFmtId="0" fontId="6" fillId="0" borderId="5" xfId="0" applyFont="1" applyBorder="1" applyAlignment="1">
      <alignment horizontal="right" vertical="center"/>
    </xf>
    <xf numFmtId="0" fontId="6" fillId="0" borderId="29" xfId="0" applyFont="1" applyBorder="1"/>
    <xf numFmtId="0" fontId="6" fillId="0" borderId="0" xfId="0" applyFont="1" applyAlignment="1">
      <alignment vertical="top" wrapText="1"/>
    </xf>
    <xf numFmtId="0" fontId="6" fillId="0" borderId="2" xfId="0" applyFont="1" applyBorder="1" applyAlignment="1">
      <alignment horizontal="centerContinuous" vertical="center"/>
    </xf>
    <xf numFmtId="0" fontId="103" fillId="0" borderId="0" xfId="0" applyFont="1" applyAlignment="1">
      <alignment vertical="center"/>
    </xf>
    <xf numFmtId="0" fontId="6" fillId="0" borderId="7" xfId="0" applyFont="1" applyBorder="1" applyAlignment="1">
      <alignment vertical="center" wrapText="1" shrinkToFit="1"/>
    </xf>
    <xf numFmtId="49" fontId="6" fillId="0" borderId="0" xfId="0" applyNumberFormat="1" applyFont="1" applyAlignment="1">
      <alignment horizontal="left" vertical="center"/>
    </xf>
    <xf numFmtId="0" fontId="7" fillId="0" borderId="27" xfId="0" applyFont="1" applyBorder="1" applyAlignment="1">
      <alignment vertical="center"/>
    </xf>
    <xf numFmtId="0" fontId="7" fillId="0" borderId="17" xfId="0" applyFont="1" applyBorder="1" applyAlignment="1">
      <alignment horizontal="center" vertical="center"/>
    </xf>
    <xf numFmtId="1" fontId="6" fillId="0" borderId="7" xfId="0" applyNumberFormat="1" applyFont="1" applyBorder="1" applyAlignment="1">
      <alignment vertical="center"/>
    </xf>
    <xf numFmtId="0" fontId="16" fillId="0" borderId="0" xfId="0" applyFont="1" applyAlignment="1">
      <alignment horizontal="left" vertical="center"/>
    </xf>
    <xf numFmtId="49" fontId="6" fillId="0" borderId="5" xfId="0" applyNumberFormat="1" applyFont="1" applyBorder="1" applyAlignment="1">
      <alignment horizontal="left" vertical="center"/>
    </xf>
    <xf numFmtId="0" fontId="7" fillId="3" borderId="3" xfId="0" applyFont="1" applyFill="1" applyBorder="1" applyAlignment="1">
      <alignment horizontal="center" vertical="center" shrinkToFit="1"/>
    </xf>
    <xf numFmtId="0" fontId="84" fillId="0" borderId="17" xfId="0" applyFont="1" applyBorder="1" applyAlignment="1">
      <alignment vertical="center"/>
    </xf>
    <xf numFmtId="0" fontId="84" fillId="0" borderId="16" xfId="0" applyFont="1" applyBorder="1" applyAlignment="1">
      <alignment vertical="center"/>
    </xf>
    <xf numFmtId="0" fontId="37" fillId="0" borderId="6" xfId="0" applyFont="1" applyBorder="1" applyAlignment="1">
      <alignment horizontal="left" vertical="center"/>
    </xf>
    <xf numFmtId="0" fontId="37" fillId="0" borderId="7" xfId="0" applyFont="1" applyBorder="1" applyAlignment="1">
      <alignment horizontal="left" vertical="center"/>
    </xf>
    <xf numFmtId="0" fontId="37" fillId="0" borderId="8" xfId="0" applyFont="1" applyBorder="1" applyAlignment="1">
      <alignment horizontal="left" vertical="center"/>
    </xf>
    <xf numFmtId="0" fontId="0" fillId="0" borderId="7" xfId="0" applyBorder="1"/>
    <xf numFmtId="0" fontId="37" fillId="0" borderId="8" xfId="0" applyFont="1" applyBorder="1" applyAlignment="1">
      <alignment vertical="center"/>
    </xf>
    <xf numFmtId="0" fontId="6" fillId="0" borderId="3" xfId="18" applyFont="1" applyBorder="1" applyAlignment="1">
      <alignment horizontal="center" vertical="center"/>
    </xf>
    <xf numFmtId="0" fontId="6" fillId="0" borderId="4" xfId="18" applyFont="1" applyBorder="1" applyAlignment="1">
      <alignment horizontal="center" vertical="center"/>
    </xf>
    <xf numFmtId="0" fontId="37" fillId="0" borderId="1" xfId="0" applyFont="1" applyBorder="1" applyAlignment="1">
      <alignment vertical="center"/>
    </xf>
    <xf numFmtId="0" fontId="37" fillId="0" borderId="0" xfId="0" applyFont="1" applyAlignment="1">
      <alignment vertical="center"/>
    </xf>
    <xf numFmtId="0" fontId="37" fillId="0" borderId="27" xfId="0" applyFont="1" applyBorder="1" applyAlignment="1">
      <alignment vertical="center"/>
    </xf>
    <xf numFmtId="0" fontId="6" fillId="0" borderId="16" xfId="18" applyFont="1" applyBorder="1" applyAlignment="1">
      <alignment horizontal="center" vertical="center"/>
    </xf>
    <xf numFmtId="0" fontId="37" fillId="0" borderId="15" xfId="0" applyFont="1" applyBorder="1" applyAlignment="1">
      <alignment vertical="center"/>
    </xf>
    <xf numFmtId="0" fontId="89" fillId="0" borderId="0" xfId="0" applyFont="1" applyAlignment="1">
      <alignment wrapText="1"/>
    </xf>
    <xf numFmtId="0" fontId="37" fillId="0" borderId="25" xfId="0" applyFont="1" applyBorder="1" applyAlignment="1">
      <alignment vertical="center"/>
    </xf>
    <xf numFmtId="0" fontId="89" fillId="0" borderId="0" xfId="0" applyFont="1" applyAlignment="1">
      <alignment horizontal="left" wrapText="1"/>
    </xf>
    <xf numFmtId="0" fontId="37" fillId="0" borderId="17" xfId="0" applyFont="1" applyBorder="1" applyAlignment="1">
      <alignment vertical="center"/>
    </xf>
    <xf numFmtId="0" fontId="37" fillId="0" borderId="2" xfId="0" applyFont="1" applyBorder="1" applyAlignment="1">
      <alignment vertical="center"/>
    </xf>
    <xf numFmtId="0" fontId="37" fillId="0" borderId="27" xfId="0" applyFont="1" applyBorder="1" applyAlignment="1">
      <alignment horizontal="center" vertical="center"/>
    </xf>
    <xf numFmtId="0" fontId="0" fillId="0" borderId="4" xfId="0" applyBorder="1"/>
    <xf numFmtId="0" fontId="0" fillId="0" borderId="5" xfId="0" applyBorder="1"/>
    <xf numFmtId="0" fontId="6" fillId="0" borderId="17" xfId="18" applyFont="1" applyBorder="1" applyAlignment="1">
      <alignment vertical="center"/>
    </xf>
    <xf numFmtId="0" fontId="6" fillId="0" borderId="0" xfId="18" applyFont="1" applyAlignment="1">
      <alignment vertical="center"/>
    </xf>
    <xf numFmtId="0" fontId="6" fillId="0" borderId="27" xfId="18" applyFont="1" applyBorder="1" applyAlignment="1">
      <alignment vertical="center"/>
    </xf>
    <xf numFmtId="0" fontId="6" fillId="0" borderId="5" xfId="18" applyFont="1" applyBorder="1" applyAlignment="1">
      <alignment horizontal="left" vertical="center"/>
    </xf>
    <xf numFmtId="0" fontId="6" fillId="0" borderId="15" xfId="18" applyFont="1" applyBorder="1" applyAlignment="1">
      <alignment horizontal="left" vertical="center"/>
    </xf>
    <xf numFmtId="0" fontId="6" fillId="0" borderId="0" xfId="18" applyFont="1" applyAlignment="1">
      <alignment horizontal="left" vertical="center"/>
    </xf>
    <xf numFmtId="0" fontId="6" fillId="0" borderId="4" xfId="18" applyFont="1" applyBorder="1" applyAlignment="1">
      <alignment horizontal="left" vertical="center"/>
    </xf>
    <xf numFmtId="0" fontId="6" fillId="0" borderId="1" xfId="18" applyFont="1" applyBorder="1" applyAlignment="1">
      <alignment horizontal="left" vertical="center"/>
    </xf>
    <xf numFmtId="0" fontId="37" fillId="0" borderId="29" xfId="0" applyFont="1" applyBorder="1" applyAlignment="1">
      <alignment vertical="center"/>
    </xf>
    <xf numFmtId="0" fontId="37" fillId="0" borderId="6" xfId="0" applyFont="1" applyBorder="1" applyAlignment="1">
      <alignment vertical="center"/>
    </xf>
    <xf numFmtId="190" fontId="6" fillId="0" borderId="7" xfId="18" applyNumberFormat="1" applyFont="1" applyBorder="1" applyAlignment="1">
      <alignment horizontal="center" vertical="center"/>
    </xf>
    <xf numFmtId="190" fontId="6" fillId="0" borderId="8" xfId="18" applyNumberFormat="1" applyFont="1" applyBorder="1" applyAlignment="1">
      <alignment horizontal="center" vertical="center"/>
    </xf>
    <xf numFmtId="190" fontId="6" fillId="0" borderId="27" xfId="18" applyNumberFormat="1" applyFont="1" applyBorder="1" applyAlignment="1">
      <alignment vertical="center"/>
    </xf>
    <xf numFmtId="0" fontId="6" fillId="0" borderId="16" xfId="0" applyFont="1" applyBorder="1" applyAlignment="1">
      <alignment vertical="center" wrapText="1"/>
    </xf>
    <xf numFmtId="190" fontId="6" fillId="0" borderId="5" xfId="18" applyNumberFormat="1" applyFont="1" applyBorder="1" applyAlignment="1">
      <alignment horizontal="center" vertical="center"/>
    </xf>
    <xf numFmtId="190" fontId="6" fillId="0" borderId="15" xfId="18" applyNumberFormat="1" applyFont="1" applyBorder="1" applyAlignment="1">
      <alignment vertical="center"/>
    </xf>
    <xf numFmtId="178" fontId="6" fillId="0" borderId="0" xfId="0" applyNumberFormat="1" applyFont="1" applyAlignment="1">
      <alignment vertical="center"/>
    </xf>
    <xf numFmtId="0" fontId="15" fillId="0" borderId="0" xfId="0" applyFont="1" applyAlignment="1">
      <alignment vertical="top"/>
    </xf>
    <xf numFmtId="0" fontId="15" fillId="0" borderId="0" xfId="0" applyFont="1" applyAlignment="1">
      <alignment vertical="top" wrapText="1"/>
    </xf>
    <xf numFmtId="0" fontId="15" fillId="0" borderId="0" xfId="0" applyFont="1" applyAlignment="1">
      <alignment horizontal="center" vertical="center"/>
    </xf>
    <xf numFmtId="0" fontId="15" fillId="0" borderId="0" xfId="0" applyFont="1" applyAlignment="1">
      <alignment horizontal="left" vertical="top"/>
    </xf>
    <xf numFmtId="0" fontId="15" fillId="0" borderId="0" xfId="0" applyFont="1" applyAlignment="1">
      <alignment vertical="center"/>
    </xf>
    <xf numFmtId="0" fontId="15" fillId="0" borderId="0" xfId="0" applyFont="1" applyAlignment="1">
      <alignment vertical="center" wrapText="1"/>
    </xf>
    <xf numFmtId="0" fontId="15" fillId="0" borderId="0" xfId="0" applyFont="1" applyAlignment="1">
      <alignment horizontal="left" vertical="center" wrapText="1"/>
    </xf>
    <xf numFmtId="0" fontId="15" fillId="0" borderId="0" xfId="0" applyFont="1" applyAlignment="1">
      <alignment horizontal="left"/>
    </xf>
    <xf numFmtId="0" fontId="105" fillId="0" borderId="0" xfId="0" applyFont="1" applyAlignment="1">
      <alignment vertical="center"/>
    </xf>
    <xf numFmtId="0" fontId="16" fillId="0" borderId="27" xfId="0" applyFont="1" applyBorder="1" applyAlignment="1">
      <alignment vertical="center" shrinkToFit="1"/>
    </xf>
    <xf numFmtId="0" fontId="6" fillId="0" borderId="28" xfId="0" applyFont="1" applyBorder="1" applyAlignment="1">
      <alignment horizontal="center" vertical="center"/>
    </xf>
    <xf numFmtId="0" fontId="37" fillId="0" borderId="5" xfId="0" applyFont="1" applyBorder="1" applyAlignment="1">
      <alignment horizontal="left" vertical="center"/>
    </xf>
    <xf numFmtId="178" fontId="6" fillId="0" borderId="5" xfId="0" applyNumberFormat="1" applyFont="1" applyBorder="1" applyAlignment="1">
      <alignment vertical="center"/>
    </xf>
    <xf numFmtId="178" fontId="6" fillId="0" borderId="4" xfId="0" applyNumberFormat="1" applyFont="1" applyBorder="1" applyAlignment="1">
      <alignment vertical="center"/>
    </xf>
    <xf numFmtId="0" fontId="16" fillId="0" borderId="0" xfId="0" applyFont="1" applyAlignment="1">
      <alignment vertical="top"/>
    </xf>
    <xf numFmtId="0" fontId="16" fillId="0" borderId="0" xfId="0" applyFont="1" applyAlignment="1">
      <alignment vertical="center"/>
    </xf>
    <xf numFmtId="0" fontId="6" fillId="0" borderId="25" xfId="0" applyFont="1" applyBorder="1" applyAlignment="1">
      <alignment horizontal="center" vertical="center"/>
    </xf>
    <xf numFmtId="178" fontId="6" fillId="0" borderId="5" xfId="0" applyNumberFormat="1" applyFont="1" applyBorder="1" applyAlignment="1">
      <alignment horizontal="center" vertical="center"/>
    </xf>
    <xf numFmtId="178" fontId="6" fillId="0" borderId="0" xfId="0" applyNumberFormat="1" applyFont="1" applyAlignment="1">
      <alignment horizontal="center" vertical="center"/>
    </xf>
    <xf numFmtId="0" fontId="106" fillId="3" borderId="0" xfId="13" applyFont="1" applyFill="1">
      <alignment vertical="center"/>
    </xf>
    <xf numFmtId="0" fontId="107" fillId="3" borderId="0" xfId="13" applyFont="1" applyFill="1">
      <alignment vertical="center"/>
    </xf>
    <xf numFmtId="0" fontId="55" fillId="3" borderId="0" xfId="13" applyFill="1">
      <alignment vertical="center"/>
    </xf>
    <xf numFmtId="0" fontId="55" fillId="3" borderId="0" xfId="13" applyFill="1" applyAlignment="1">
      <alignment horizontal="right" vertical="center"/>
    </xf>
    <xf numFmtId="0" fontId="55" fillId="3" borderId="0" xfId="13" applyFill="1" applyAlignment="1">
      <alignment horizontal="center" vertical="center"/>
    </xf>
    <xf numFmtId="0" fontId="78" fillId="3" borderId="0" xfId="13" applyFont="1" applyFill="1" applyAlignment="1">
      <alignment horizontal="center" vertical="center"/>
    </xf>
    <xf numFmtId="0" fontId="55" fillId="3" borderId="0" xfId="13" applyFill="1" applyAlignment="1">
      <alignment horizontal="center" vertical="center" shrinkToFit="1"/>
    </xf>
    <xf numFmtId="0" fontId="55" fillId="3" borderId="27" xfId="13" applyFill="1" applyBorder="1" applyAlignment="1">
      <alignment horizontal="center" vertical="center"/>
    </xf>
    <xf numFmtId="0" fontId="56" fillId="3" borderId="0" xfId="13" applyFont="1" applyFill="1">
      <alignment vertical="center"/>
    </xf>
    <xf numFmtId="0" fontId="55" fillId="3" borderId="2" xfId="13" applyFill="1" applyBorder="1">
      <alignment vertical="center"/>
    </xf>
    <xf numFmtId="187" fontId="55" fillId="0" borderId="29" xfId="13" applyNumberFormat="1" applyBorder="1" applyAlignment="1">
      <alignment horizontal="center" vertical="center"/>
    </xf>
    <xf numFmtId="0" fontId="79" fillId="3" borderId="40" xfId="13" applyFont="1" applyFill="1" applyBorder="1" applyAlignment="1">
      <alignment vertical="center" wrapText="1"/>
    </xf>
    <xf numFmtId="38" fontId="80" fillId="6" borderId="40" xfId="22" applyFont="1" applyFill="1" applyBorder="1">
      <alignment vertical="center"/>
    </xf>
    <xf numFmtId="0" fontId="55" fillId="3" borderId="40" xfId="13" applyFill="1" applyBorder="1">
      <alignment vertical="center"/>
    </xf>
    <xf numFmtId="0" fontId="55" fillId="0" borderId="2" xfId="13" applyBorder="1">
      <alignment vertical="center"/>
    </xf>
    <xf numFmtId="0" fontId="55" fillId="3" borderId="28" xfId="13" applyFill="1" applyBorder="1" applyAlignment="1">
      <alignment horizontal="center" vertical="center"/>
    </xf>
    <xf numFmtId="0" fontId="79" fillId="3" borderId="54" xfId="13" applyFont="1" applyFill="1" applyBorder="1" applyAlignment="1">
      <alignment vertical="center" wrapText="1"/>
    </xf>
    <xf numFmtId="38" fontId="80" fillId="6" borderId="54" xfId="22" applyFont="1" applyFill="1" applyBorder="1">
      <alignment vertical="center"/>
    </xf>
    <xf numFmtId="0" fontId="55" fillId="3" borderId="54" xfId="13" applyFill="1" applyBorder="1">
      <alignment vertical="center"/>
    </xf>
    <xf numFmtId="187" fontId="55" fillId="3" borderId="29" xfId="13" applyNumberFormat="1" applyFill="1" applyBorder="1" applyAlignment="1">
      <alignment horizontal="center" vertical="center"/>
    </xf>
    <xf numFmtId="0" fontId="79" fillId="3" borderId="41" xfId="13" applyFont="1" applyFill="1" applyBorder="1" applyAlignment="1">
      <alignment vertical="center" wrapText="1"/>
    </xf>
    <xf numFmtId="38" fontId="80" fillId="6" borderId="41" xfId="22" applyFont="1" applyFill="1" applyBorder="1">
      <alignment vertical="center"/>
    </xf>
    <xf numFmtId="0" fontId="55" fillId="3" borderId="41" xfId="13" applyFill="1" applyBorder="1">
      <alignment vertical="center"/>
    </xf>
    <xf numFmtId="0" fontId="55" fillId="3" borderId="4" xfId="13" applyFill="1" applyBorder="1" applyAlignment="1">
      <alignment horizontal="center" vertical="center"/>
    </xf>
    <xf numFmtId="177" fontId="2" fillId="3" borderId="4" xfId="22" applyNumberFormat="1" applyFont="1" applyFill="1" applyBorder="1" applyAlignment="1">
      <alignment horizontal="center" vertical="center"/>
    </xf>
    <xf numFmtId="0" fontId="55" fillId="3" borderId="4" xfId="13" applyFill="1" applyBorder="1" applyAlignment="1">
      <alignment vertical="center" wrapText="1"/>
    </xf>
    <xf numFmtId="38" fontId="2" fillId="3" borderId="4" xfId="22" applyFont="1" applyFill="1" applyBorder="1">
      <alignment vertical="center"/>
    </xf>
    <xf numFmtId="0" fontId="55" fillId="3" borderId="4" xfId="13" applyFill="1" applyBorder="1">
      <alignment vertical="center"/>
    </xf>
    <xf numFmtId="38" fontId="2" fillId="3" borderId="5" xfId="22" applyFont="1" applyFill="1" applyBorder="1">
      <alignment vertical="center"/>
    </xf>
    <xf numFmtId="0" fontId="55" fillId="3" borderId="5" xfId="13" applyFill="1" applyBorder="1">
      <alignment vertical="center"/>
    </xf>
    <xf numFmtId="180" fontId="55" fillId="3" borderId="7" xfId="13" applyNumberFormat="1" applyFill="1" applyBorder="1" applyAlignment="1">
      <alignment horizontal="center" vertical="center"/>
    </xf>
    <xf numFmtId="0" fontId="55" fillId="3" borderId="17" xfId="13" applyFill="1" applyBorder="1">
      <alignment vertical="center"/>
    </xf>
    <xf numFmtId="178" fontId="80" fillId="3" borderId="0" xfId="5" applyNumberFormat="1" applyFont="1" applyFill="1" applyBorder="1" applyAlignment="1">
      <alignment horizontal="center" vertical="center"/>
    </xf>
    <xf numFmtId="0" fontId="81" fillId="3" borderId="40" xfId="13" applyFont="1" applyFill="1" applyBorder="1" applyAlignment="1">
      <alignment vertical="center" wrapText="1"/>
    </xf>
    <xf numFmtId="0" fontId="55" fillId="6" borderId="28" xfId="13" applyFill="1" applyBorder="1" applyAlignment="1">
      <alignment horizontal="center" vertical="center"/>
    </xf>
    <xf numFmtId="0" fontId="81" fillId="3" borderId="54" xfId="13" applyFont="1" applyFill="1" applyBorder="1" applyAlignment="1">
      <alignment vertical="center" wrapText="1"/>
    </xf>
    <xf numFmtId="187" fontId="55" fillId="6" borderId="29" xfId="13" applyNumberFormat="1" applyFill="1" applyBorder="1" applyAlignment="1">
      <alignment horizontal="center" vertical="center"/>
    </xf>
    <xf numFmtId="0" fontId="81" fillId="3" borderId="41" xfId="13" applyFont="1" applyFill="1" applyBorder="1" applyAlignment="1">
      <alignment vertical="center" wrapText="1"/>
    </xf>
    <xf numFmtId="0" fontId="55" fillId="3" borderId="0" xfId="13" applyFill="1" applyAlignment="1">
      <alignment horizontal="left" vertical="center"/>
    </xf>
    <xf numFmtId="0" fontId="55" fillId="3" borderId="16" xfId="13" applyFill="1" applyBorder="1">
      <alignment vertical="center"/>
    </xf>
    <xf numFmtId="0" fontId="6" fillId="0" borderId="135" xfId="0" applyFont="1" applyBorder="1"/>
    <xf numFmtId="179" fontId="6" fillId="0" borderId="0" xfId="0" applyNumberFormat="1" applyFont="1" applyAlignment="1">
      <alignment horizontal="left" vertical="center"/>
    </xf>
    <xf numFmtId="0" fontId="6" fillId="0" borderId="17" xfId="0" applyFont="1" applyBorder="1" applyAlignment="1">
      <alignment horizontal="left" vertical="center" indent="1"/>
    </xf>
    <xf numFmtId="0" fontId="18" fillId="0" borderId="0" xfId="0" applyFont="1" applyAlignment="1">
      <alignment horizontal="left" vertical="center"/>
    </xf>
    <xf numFmtId="0" fontId="106" fillId="0" borderId="0" xfId="23" applyFont="1">
      <alignment vertical="center"/>
    </xf>
    <xf numFmtId="0" fontId="55" fillId="0" borderId="0" xfId="23">
      <alignment vertical="center"/>
    </xf>
    <xf numFmtId="0" fontId="55" fillId="0" borderId="0" xfId="23" applyAlignment="1">
      <alignment horizontal="right" vertical="center"/>
    </xf>
    <xf numFmtId="0" fontId="55" fillId="0" borderId="0" xfId="23" applyAlignment="1">
      <alignment horizontal="center" vertical="center"/>
    </xf>
    <xf numFmtId="0" fontId="55" fillId="6" borderId="0" xfId="23" applyFill="1" applyAlignment="1">
      <alignment horizontal="center" vertical="center"/>
    </xf>
    <xf numFmtId="0" fontId="55" fillId="0" borderId="8" xfId="23" applyBorder="1" applyAlignment="1">
      <alignment horizontal="center" vertical="center"/>
    </xf>
    <xf numFmtId="0" fontId="55" fillId="0" borderId="8" xfId="23" applyBorder="1">
      <alignment vertical="center"/>
    </xf>
    <xf numFmtId="0" fontId="55" fillId="0" borderId="5" xfId="23" applyBorder="1">
      <alignment vertical="center"/>
    </xf>
    <xf numFmtId="0" fontId="55" fillId="0" borderId="5" xfId="23" applyBorder="1" applyAlignment="1">
      <alignment horizontal="center" vertical="center" wrapText="1"/>
    </xf>
    <xf numFmtId="0" fontId="55" fillId="0" borderId="5" xfId="23" applyBorder="1" applyAlignment="1">
      <alignment horizontal="center" vertical="center"/>
    </xf>
    <xf numFmtId="180" fontId="55" fillId="0" borderId="5" xfId="23" applyNumberFormat="1" applyBorder="1" applyAlignment="1">
      <alignment horizontal="center" vertical="center"/>
    </xf>
    <xf numFmtId="178" fontId="0" fillId="0" borderId="5" xfId="24" applyNumberFormat="1" applyFont="1" applyFill="1" applyBorder="1" applyAlignment="1">
      <alignment horizontal="center" vertical="center"/>
    </xf>
    <xf numFmtId="0" fontId="55" fillId="0" borderId="4" xfId="23" applyBorder="1">
      <alignment vertical="center"/>
    </xf>
    <xf numFmtId="178" fontId="6" fillId="0" borderId="17" xfId="0" applyNumberFormat="1" applyFont="1" applyBorder="1" applyAlignment="1">
      <alignment horizontal="center" vertical="center"/>
    </xf>
    <xf numFmtId="0" fontId="37" fillId="0" borderId="16" xfId="0" applyFont="1" applyBorder="1" applyAlignment="1">
      <alignment horizontal="left" vertical="center"/>
    </xf>
    <xf numFmtId="0" fontId="65" fillId="10" borderId="0" xfId="0" applyFont="1" applyFill="1" applyAlignment="1">
      <alignment horizontal="right" vertical="top"/>
    </xf>
    <xf numFmtId="0" fontId="7" fillId="3" borderId="50" xfId="0" applyFont="1" applyFill="1" applyBorder="1" applyAlignment="1">
      <alignment horizontal="center" vertical="center" shrinkToFit="1"/>
    </xf>
    <xf numFmtId="0" fontId="7" fillId="3" borderId="41" xfId="0" applyFont="1" applyFill="1" applyBorder="1" applyAlignment="1">
      <alignment horizontal="center" vertical="center" shrinkToFit="1"/>
    </xf>
    <xf numFmtId="0" fontId="57" fillId="3" borderId="5" xfId="0" applyFont="1" applyFill="1" applyBorder="1" applyAlignment="1">
      <alignment vertical="center"/>
    </xf>
    <xf numFmtId="0" fontId="7" fillId="3" borderId="41" xfId="0" applyFont="1" applyFill="1" applyBorder="1" applyAlignment="1">
      <alignment vertical="center" wrapText="1"/>
    </xf>
    <xf numFmtId="0" fontId="6" fillId="0" borderId="27" xfId="0" applyFont="1" applyBorder="1" applyAlignment="1">
      <alignment vertical="top" wrapText="1"/>
    </xf>
    <xf numFmtId="0" fontId="21" fillId="4" borderId="1" xfId="0" applyFont="1" applyFill="1" applyBorder="1" applyAlignment="1">
      <alignment vertical="center" shrinkToFit="1"/>
    </xf>
    <xf numFmtId="0" fontId="21" fillId="4" borderId="27" xfId="0" applyFont="1" applyFill="1" applyBorder="1" applyAlignment="1">
      <alignment vertical="center" shrinkToFit="1"/>
    </xf>
    <xf numFmtId="0" fontId="21" fillId="3" borderId="50" xfId="0" applyFont="1" applyFill="1" applyBorder="1" applyAlignment="1">
      <alignment vertical="center" shrinkToFit="1"/>
    </xf>
    <xf numFmtId="0" fontId="21" fillId="4" borderId="15" xfId="0" applyFont="1" applyFill="1" applyBorder="1" applyAlignment="1">
      <alignment horizontal="center" vertical="center" shrinkToFit="1"/>
    </xf>
    <xf numFmtId="0" fontId="65" fillId="4" borderId="29" xfId="0" applyFont="1" applyFill="1" applyBorder="1" applyAlignment="1">
      <alignment horizontal="center" vertical="center" shrinkToFit="1"/>
    </xf>
    <xf numFmtId="0" fontId="65" fillId="4" borderId="28" xfId="0" applyFont="1" applyFill="1" applyBorder="1" applyAlignment="1">
      <alignment horizontal="center" vertical="center" shrinkToFit="1"/>
    </xf>
    <xf numFmtId="0" fontId="21" fillId="3" borderId="17" xfId="0" applyFont="1" applyFill="1" applyBorder="1" applyAlignment="1">
      <alignment vertical="top"/>
    </xf>
    <xf numFmtId="0" fontId="7" fillId="0" borderId="35" xfId="0" applyFont="1" applyBorder="1" applyAlignment="1">
      <alignment vertical="center" shrinkToFit="1"/>
    </xf>
    <xf numFmtId="0" fontId="15" fillId="0" borderId="0" xfId="0" applyFont="1" applyAlignment="1">
      <alignment horizontal="left" vertical="center"/>
    </xf>
    <xf numFmtId="0" fontId="6" fillId="3" borderId="0" xfId="0" applyFont="1" applyFill="1" applyAlignment="1">
      <alignment horizontal="center" vertical="center"/>
    </xf>
    <xf numFmtId="0" fontId="9" fillId="7" borderId="0" xfId="0" applyFont="1" applyFill="1" applyAlignment="1">
      <alignment horizontal="center" vertical="center"/>
    </xf>
    <xf numFmtId="0" fontId="9" fillId="0" borderId="0" xfId="0" applyFont="1" applyAlignment="1">
      <alignment horizontal="center" vertical="center"/>
    </xf>
    <xf numFmtId="0" fontId="6" fillId="0" borderId="0" xfId="0" applyFont="1" applyAlignment="1">
      <alignment vertical="center" shrinkToFit="1"/>
    </xf>
    <xf numFmtId="0" fontId="7" fillId="8" borderId="41" xfId="0" applyFont="1" applyFill="1" applyBorder="1" applyAlignment="1">
      <alignment vertical="center"/>
    </xf>
    <xf numFmtId="0" fontId="64" fillId="3" borderId="5" xfId="0" applyFont="1" applyFill="1" applyBorder="1" applyAlignment="1">
      <alignment vertical="center"/>
    </xf>
    <xf numFmtId="0" fontId="7" fillId="3" borderId="214" xfId="0" applyFont="1" applyFill="1" applyBorder="1" applyAlignment="1">
      <alignment horizontal="center" vertical="center" shrinkToFit="1"/>
    </xf>
    <xf numFmtId="0" fontId="7" fillId="3" borderId="50" xfId="0" applyFont="1" applyFill="1" applyBorder="1" applyAlignment="1">
      <alignment vertical="center" wrapText="1"/>
    </xf>
    <xf numFmtId="0" fontId="109" fillId="3" borderId="0" xfId="0" applyFont="1" applyFill="1" applyAlignment="1">
      <alignment vertical="center"/>
    </xf>
    <xf numFmtId="0" fontId="110" fillId="3" borderId="0" xfId="0" applyFont="1" applyFill="1" applyAlignment="1">
      <alignment vertical="center"/>
    </xf>
    <xf numFmtId="0" fontId="58" fillId="3" borderId="35" xfId="0" applyFont="1" applyFill="1" applyBorder="1" applyAlignment="1">
      <alignment horizontal="center" vertical="center" shrinkToFit="1"/>
    </xf>
    <xf numFmtId="0" fontId="7" fillId="8" borderId="40" xfId="0" applyFont="1" applyFill="1" applyBorder="1" applyAlignment="1">
      <alignment vertical="center" shrinkToFit="1"/>
    </xf>
    <xf numFmtId="0" fontId="7" fillId="8" borderId="41" xfId="0" applyFont="1" applyFill="1" applyBorder="1" applyAlignment="1">
      <alignment vertical="center" shrinkToFit="1"/>
    </xf>
    <xf numFmtId="0" fontId="7" fillId="8" borderId="28" xfId="0" applyFont="1" applyFill="1" applyBorder="1" applyAlignment="1">
      <alignment vertical="center" shrinkToFit="1"/>
    </xf>
    <xf numFmtId="0" fontId="37" fillId="0" borderId="3" xfId="0" applyFont="1" applyBorder="1" applyAlignment="1">
      <alignment horizontal="left" vertical="center"/>
    </xf>
    <xf numFmtId="0" fontId="37" fillId="0" borderId="4" xfId="0" applyFont="1" applyBorder="1" applyAlignment="1">
      <alignment horizontal="left" vertical="center"/>
    </xf>
    <xf numFmtId="0" fontId="37" fillId="0" borderId="1" xfId="0" applyFont="1" applyBorder="1" applyAlignment="1">
      <alignment horizontal="left" vertical="center"/>
    </xf>
    <xf numFmtId="0" fontId="54" fillId="0" borderId="4" xfId="0" applyFont="1" applyBorder="1" applyAlignment="1">
      <alignment horizontal="center" vertical="center"/>
    </xf>
    <xf numFmtId="0" fontId="7" fillId="0" borderId="35" xfId="0" applyFont="1" applyBorder="1" applyAlignment="1">
      <alignment vertical="center" wrapText="1"/>
    </xf>
    <xf numFmtId="0" fontId="111" fillId="0" borderId="5" xfId="0" applyFont="1" applyBorder="1" applyAlignment="1">
      <alignment horizontal="center" vertical="center"/>
    </xf>
    <xf numFmtId="0" fontId="111" fillId="0" borderId="0" xfId="0" applyFont="1" applyAlignment="1">
      <alignment horizontal="center" vertical="center"/>
    </xf>
    <xf numFmtId="0" fontId="58" fillId="0" borderId="35" xfId="0" applyFont="1" applyBorder="1" applyAlignment="1">
      <alignment vertical="center" wrapText="1"/>
    </xf>
    <xf numFmtId="0" fontId="58" fillId="0" borderId="55" xfId="0" applyFont="1" applyBorder="1" applyAlignment="1">
      <alignment vertical="center" wrapText="1"/>
    </xf>
    <xf numFmtId="0" fontId="7" fillId="3" borderId="215" xfId="0" applyFont="1" applyFill="1" applyBorder="1" applyAlignment="1">
      <alignment horizontal="center" vertical="center" shrinkToFit="1"/>
    </xf>
    <xf numFmtId="0" fontId="7" fillId="3" borderId="4"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5" xfId="0" applyFont="1" applyFill="1" applyBorder="1" applyAlignment="1">
      <alignment horizontal="center" vertical="center"/>
    </xf>
    <xf numFmtId="0" fontId="7" fillId="3" borderId="2" xfId="0" applyFont="1" applyFill="1" applyBorder="1" applyAlignment="1">
      <alignment horizontal="center" vertical="center"/>
    </xf>
    <xf numFmtId="0" fontId="6" fillId="3" borderId="6" xfId="0" applyFont="1" applyFill="1" applyBorder="1" applyAlignment="1">
      <alignment vertical="center"/>
    </xf>
    <xf numFmtId="0" fontId="6" fillId="3" borderId="7" xfId="0" applyFont="1" applyFill="1" applyBorder="1" applyAlignment="1">
      <alignment vertical="center"/>
    </xf>
    <xf numFmtId="0" fontId="6" fillId="3" borderId="8" xfId="0" applyFont="1" applyFill="1" applyBorder="1" applyAlignment="1">
      <alignment vertical="center"/>
    </xf>
    <xf numFmtId="0" fontId="6" fillId="3" borderId="16" xfId="0" applyFont="1" applyFill="1" applyBorder="1" applyAlignment="1">
      <alignment vertical="center"/>
    </xf>
    <xf numFmtId="0" fontId="6" fillId="3" borderId="15" xfId="0" applyFont="1" applyFill="1" applyBorder="1" applyAlignment="1">
      <alignment vertical="center"/>
    </xf>
    <xf numFmtId="0" fontId="6" fillId="3" borderId="16" xfId="0" applyFont="1" applyFill="1" applyBorder="1" applyAlignment="1">
      <alignment horizontal="left" vertical="center"/>
    </xf>
    <xf numFmtId="0" fontId="6" fillId="3" borderId="0" xfId="0" applyFont="1" applyFill="1" applyAlignment="1">
      <alignment horizontal="right" vertical="center"/>
    </xf>
    <xf numFmtId="0" fontId="6" fillId="3" borderId="7" xfId="18" applyFont="1" applyFill="1" applyBorder="1" applyAlignment="1">
      <alignment horizontal="center" vertical="center"/>
    </xf>
    <xf numFmtId="0" fontId="6" fillId="3" borderId="0" xfId="18" applyFont="1" applyFill="1" applyAlignment="1">
      <alignment horizontal="center" vertical="center"/>
    </xf>
    <xf numFmtId="0" fontId="37" fillId="3" borderId="7" xfId="0" applyFont="1" applyFill="1" applyBorder="1" applyAlignment="1">
      <alignment vertical="center"/>
    </xf>
    <xf numFmtId="0" fontId="6" fillId="3" borderId="0" xfId="0" applyFont="1" applyFill="1"/>
    <xf numFmtId="0" fontId="6" fillId="3" borderId="4" xfId="0" applyFont="1" applyFill="1" applyBorder="1" applyAlignment="1">
      <alignment horizontal="left" vertical="center"/>
    </xf>
    <xf numFmtId="0" fontId="6" fillId="3" borderId="4" xfId="0" applyFont="1" applyFill="1" applyBorder="1" applyAlignment="1">
      <alignment vertical="center"/>
    </xf>
    <xf numFmtId="0" fontId="37" fillId="3" borderId="4" xfId="0" applyFont="1" applyFill="1" applyBorder="1" applyAlignment="1">
      <alignment vertical="center"/>
    </xf>
    <xf numFmtId="0" fontId="6" fillId="3" borderId="5" xfId="18" applyFont="1" applyFill="1" applyBorder="1" applyAlignment="1">
      <alignment horizontal="center" vertical="center"/>
    </xf>
    <xf numFmtId="0" fontId="37" fillId="3" borderId="5" xfId="0" applyFont="1" applyFill="1" applyBorder="1" applyAlignment="1">
      <alignment vertical="center"/>
    </xf>
    <xf numFmtId="0" fontId="6" fillId="3" borderId="1" xfId="0" applyFont="1" applyFill="1" applyBorder="1" applyAlignment="1">
      <alignment horizontal="left" vertical="center"/>
    </xf>
    <xf numFmtId="0" fontId="6" fillId="3" borderId="4" xfId="0" applyFont="1" applyFill="1" applyBorder="1" applyAlignment="1">
      <alignment horizontal="right" vertical="center"/>
    </xf>
    <xf numFmtId="0" fontId="6" fillId="3" borderId="27" xfId="0" applyFont="1" applyFill="1" applyBorder="1" applyAlignment="1">
      <alignment horizontal="left" vertical="center"/>
    </xf>
    <xf numFmtId="0" fontId="6" fillId="3" borderId="57" xfId="0" applyFont="1" applyFill="1" applyBorder="1" applyAlignment="1">
      <alignment horizontal="left" vertical="center"/>
    </xf>
    <xf numFmtId="0" fontId="6" fillId="3" borderId="58" xfId="0" applyFont="1" applyFill="1" applyBorder="1" applyAlignment="1">
      <alignment horizontal="left" vertical="center"/>
    </xf>
    <xf numFmtId="0" fontId="6" fillId="3" borderId="6" xfId="0" applyFont="1" applyFill="1" applyBorder="1" applyAlignment="1">
      <alignment horizontal="left" vertical="center" wrapText="1"/>
    </xf>
    <xf numFmtId="0" fontId="6" fillId="3" borderId="8" xfId="0" applyFont="1" applyFill="1" applyBorder="1" applyAlignment="1">
      <alignment horizontal="center" vertical="center" wrapText="1"/>
    </xf>
    <xf numFmtId="0" fontId="6" fillId="3" borderId="17" xfId="0" applyFont="1" applyFill="1" applyBorder="1" applyAlignment="1">
      <alignment horizontal="center" vertical="center"/>
    </xf>
    <xf numFmtId="0" fontId="6" fillId="3" borderId="61" xfId="18" applyFont="1" applyFill="1" applyBorder="1" applyAlignment="1">
      <alignment horizontal="center" vertical="center"/>
    </xf>
    <xf numFmtId="0" fontId="6" fillId="3" borderId="62" xfId="0" quotePrefix="1" applyFont="1" applyFill="1" applyBorder="1" applyAlignment="1">
      <alignment horizontal="center" vertical="center"/>
    </xf>
    <xf numFmtId="0" fontId="6" fillId="3" borderId="16" xfId="0" applyFont="1" applyFill="1" applyBorder="1" applyAlignment="1">
      <alignment horizontal="left" vertical="center" wrapText="1"/>
    </xf>
    <xf numFmtId="0" fontId="6" fillId="3" borderId="15" xfId="0" applyFont="1" applyFill="1" applyBorder="1" applyAlignment="1">
      <alignment horizontal="center" vertical="center" wrapText="1"/>
    </xf>
    <xf numFmtId="0" fontId="6" fillId="3" borderId="5" xfId="0" applyFont="1" applyFill="1" applyBorder="1" applyAlignment="1">
      <alignment horizontal="left" vertical="center" wrapText="1"/>
    </xf>
    <xf numFmtId="0" fontId="6" fillId="3" borderId="5" xfId="0" applyFont="1" applyFill="1" applyBorder="1" applyAlignment="1">
      <alignment horizontal="center" vertical="center"/>
    </xf>
    <xf numFmtId="0" fontId="6" fillId="3" borderId="59" xfId="0" applyFont="1" applyFill="1" applyBorder="1" applyAlignment="1">
      <alignment horizontal="center" vertical="center"/>
    </xf>
    <xf numFmtId="0" fontId="6" fillId="3" borderId="60" xfId="0" applyFont="1" applyFill="1" applyBorder="1" applyAlignment="1">
      <alignment horizontal="center" vertical="center"/>
    </xf>
    <xf numFmtId="0" fontId="6" fillId="3" borderId="4" xfId="0" applyFont="1" applyFill="1" applyBorder="1" applyAlignment="1">
      <alignment horizontal="left" vertical="center" wrapText="1"/>
    </xf>
    <xf numFmtId="0" fontId="6" fillId="3" borderId="4" xfId="0" applyFont="1" applyFill="1" applyBorder="1" applyAlignment="1">
      <alignment horizontal="center" vertical="center"/>
    </xf>
    <xf numFmtId="0" fontId="6" fillId="3" borderId="61" xfId="0" applyFont="1" applyFill="1" applyBorder="1" applyAlignment="1">
      <alignment horizontal="center" vertical="center"/>
    </xf>
    <xf numFmtId="0" fontId="6" fillId="3" borderId="62" xfId="0" applyFont="1" applyFill="1" applyBorder="1" applyAlignment="1">
      <alignment horizontal="center" vertical="center"/>
    </xf>
    <xf numFmtId="0" fontId="6" fillId="3" borderId="17" xfId="0" applyFont="1" applyFill="1" applyBorder="1" applyAlignment="1">
      <alignment horizontal="left" vertical="center" wrapText="1"/>
    </xf>
    <xf numFmtId="0" fontId="6" fillId="3" borderId="0" xfId="0" applyFont="1" applyFill="1" applyAlignment="1">
      <alignment horizontal="left" vertical="center" wrapText="1"/>
    </xf>
    <xf numFmtId="0" fontId="6" fillId="3" borderId="27" xfId="0" applyFont="1" applyFill="1" applyBorder="1" applyAlignment="1">
      <alignment horizontal="left" vertical="center" wrapText="1"/>
    </xf>
    <xf numFmtId="0" fontId="7" fillId="3" borderId="5" xfId="0" applyFont="1" applyFill="1" applyBorder="1" applyAlignment="1">
      <alignment horizontal="center" vertical="center" wrapText="1"/>
    </xf>
    <xf numFmtId="0" fontId="7" fillId="3" borderId="5" xfId="0" applyFont="1" applyFill="1" applyBorder="1" applyAlignment="1">
      <alignment horizontal="left" vertical="center" wrapText="1"/>
    </xf>
    <xf numFmtId="0" fontId="6" fillId="3" borderId="5" xfId="0" applyFont="1" applyFill="1" applyBorder="1" applyAlignment="1">
      <alignment horizontal="center" vertical="center" wrapText="1"/>
    </xf>
    <xf numFmtId="0" fontId="15" fillId="3" borderId="5" xfId="0" quotePrefix="1" applyFont="1" applyFill="1" applyBorder="1" applyAlignment="1">
      <alignment horizontal="center" vertical="center" wrapText="1"/>
    </xf>
    <xf numFmtId="0" fontId="15" fillId="3" borderId="59" xfId="0" quotePrefix="1" applyFont="1" applyFill="1" applyBorder="1" applyAlignment="1">
      <alignment horizontal="center" vertical="center"/>
    </xf>
    <xf numFmtId="0" fontId="6" fillId="3" borderId="29" xfId="0" applyFont="1" applyFill="1" applyBorder="1" applyAlignment="1">
      <alignment horizontal="left" vertical="center"/>
    </xf>
    <xf numFmtId="0" fontId="15" fillId="3" borderId="27" xfId="0" quotePrefix="1" applyFont="1" applyFill="1" applyBorder="1" applyAlignment="1">
      <alignment horizontal="center" vertical="center"/>
    </xf>
    <xf numFmtId="0" fontId="7" fillId="3" borderId="0" xfId="0" applyFont="1" applyFill="1" applyAlignment="1">
      <alignment horizontal="left" vertical="center" wrapText="1"/>
    </xf>
    <xf numFmtId="0" fontId="6" fillId="3" borderId="61" xfId="0" quotePrefix="1" applyFont="1" applyFill="1" applyBorder="1" applyAlignment="1">
      <alignment vertical="center"/>
    </xf>
    <xf numFmtId="0" fontId="6" fillId="3" borderId="7" xfId="0" applyFont="1" applyFill="1" applyBorder="1" applyAlignment="1">
      <alignment horizontal="left" vertical="center" wrapText="1"/>
    </xf>
    <xf numFmtId="0" fontId="7" fillId="3" borderId="4" xfId="0" applyFont="1" applyFill="1" applyBorder="1" applyAlignment="1">
      <alignment horizontal="left" vertical="center" wrapText="1"/>
    </xf>
    <xf numFmtId="0" fontId="6" fillId="3" borderId="4" xfId="0" applyFont="1" applyFill="1" applyBorder="1" applyAlignment="1">
      <alignment horizontal="center" vertical="center" wrapText="1"/>
    </xf>
    <xf numFmtId="0" fontId="6" fillId="3" borderId="59" xfId="0" applyFont="1" applyFill="1" applyBorder="1" applyAlignment="1">
      <alignment horizontal="left" vertical="center"/>
    </xf>
    <xf numFmtId="0" fontId="6" fillId="3" borderId="61" xfId="0" applyFont="1" applyFill="1" applyBorder="1" applyAlignment="1">
      <alignment horizontal="left" vertical="center"/>
    </xf>
    <xf numFmtId="0" fontId="15" fillId="3" borderId="63" xfId="0" quotePrefix="1" applyFont="1" applyFill="1" applyBorder="1" applyAlignment="1">
      <alignment horizontal="center" vertical="center"/>
    </xf>
    <xf numFmtId="0" fontId="6" fillId="3" borderId="64" xfId="0" applyFont="1" applyFill="1" applyBorder="1" applyAlignment="1">
      <alignment horizontal="left" vertical="center"/>
    </xf>
    <xf numFmtId="0" fontId="7" fillId="3" borderId="0" xfId="0" applyFont="1" applyFill="1" applyAlignment="1">
      <alignment horizontal="center" vertical="center" wrapText="1"/>
    </xf>
    <xf numFmtId="0" fontId="15" fillId="3" borderId="5" xfId="0" quotePrefix="1" applyFont="1" applyFill="1" applyBorder="1" applyAlignment="1">
      <alignment horizontal="center" vertical="center"/>
    </xf>
    <xf numFmtId="0" fontId="54" fillId="3" borderId="17" xfId="0" applyFont="1" applyFill="1" applyBorder="1" applyAlignment="1">
      <alignment horizontal="center" vertical="center"/>
    </xf>
    <xf numFmtId="0" fontId="54" fillId="3" borderId="0" xfId="0" applyFont="1" applyFill="1" applyAlignment="1">
      <alignment horizontal="center" vertical="center"/>
    </xf>
    <xf numFmtId="0" fontId="54" fillId="3" borderId="27" xfId="0" applyFont="1" applyFill="1" applyBorder="1" applyAlignment="1">
      <alignment horizontal="center" vertical="center"/>
    </xf>
    <xf numFmtId="0" fontId="6" fillId="3" borderId="17" xfId="18" applyFont="1" applyFill="1" applyBorder="1" applyAlignment="1">
      <alignment horizontal="center" vertical="center"/>
    </xf>
    <xf numFmtId="0" fontId="6" fillId="3" borderId="27" xfId="18" applyFont="1" applyFill="1" applyBorder="1" applyAlignment="1">
      <alignment horizontal="center" vertical="center"/>
    </xf>
    <xf numFmtId="0" fontId="6" fillId="3" borderId="135" xfId="0" applyFont="1" applyFill="1" applyBorder="1" applyAlignment="1">
      <alignment horizontal="left" vertical="center"/>
    </xf>
    <xf numFmtId="0" fontId="15" fillId="3" borderId="0" xfId="0" quotePrefix="1" applyFont="1" applyFill="1" applyAlignment="1">
      <alignment horizontal="center" vertical="center"/>
    </xf>
    <xf numFmtId="0" fontId="6" fillId="3" borderId="0" xfId="0" applyFont="1" applyFill="1" applyAlignment="1">
      <alignment horizontal="left" vertical="top"/>
    </xf>
    <xf numFmtId="0" fontId="7" fillId="3" borderId="0" xfId="0" applyFont="1" applyFill="1"/>
    <xf numFmtId="0" fontId="6" fillId="3" borderId="0" xfId="0" applyFont="1" applyFill="1" applyAlignment="1">
      <alignment horizontal="center"/>
    </xf>
    <xf numFmtId="0" fontId="18" fillId="2" borderId="0" xfId="0" applyFont="1" applyFill="1" applyAlignment="1">
      <alignment horizontal="left" vertical="top"/>
    </xf>
    <xf numFmtId="0" fontId="18" fillId="2" borderId="0" xfId="0" applyFont="1" applyFill="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2" borderId="3" xfId="0" applyFont="1" applyFill="1" applyBorder="1" applyAlignment="1">
      <alignment horizontal="left" vertical="top"/>
    </xf>
    <xf numFmtId="0" fontId="18" fillId="2" borderId="4" xfId="0" applyFont="1" applyFill="1" applyBorder="1" applyAlignment="1">
      <alignment horizontal="left" vertical="top"/>
    </xf>
    <xf numFmtId="0" fontId="18" fillId="2" borderId="1" xfId="0" applyFont="1" applyFill="1" applyBorder="1" applyAlignment="1">
      <alignment horizontal="left" vertical="top"/>
    </xf>
    <xf numFmtId="0" fontId="18" fillId="2" borderId="17" xfId="0" applyFont="1" applyFill="1" applyBorder="1" applyAlignment="1">
      <alignment horizontal="left" vertical="top"/>
    </xf>
    <xf numFmtId="0" fontId="18" fillId="2" borderId="27" xfId="0" applyFont="1" applyFill="1" applyBorder="1" applyAlignment="1">
      <alignment horizontal="left" vertical="top"/>
    </xf>
    <xf numFmtId="0" fontId="18" fillId="2" borderId="17" xfId="0" applyFont="1" applyFill="1" applyBorder="1" applyAlignment="1">
      <alignment horizontal="center" vertical="center"/>
    </xf>
    <xf numFmtId="0" fontId="18" fillId="2" borderId="0" xfId="0" applyFont="1" applyFill="1" applyAlignment="1">
      <alignment horizontal="center" vertical="center"/>
    </xf>
    <xf numFmtId="0" fontId="18" fillId="2" borderId="27" xfId="0" applyFont="1" applyFill="1" applyBorder="1" applyAlignment="1">
      <alignment horizontal="center" vertical="center"/>
    </xf>
    <xf numFmtId="0" fontId="18" fillId="2" borderId="16" xfId="0" applyFont="1" applyFill="1" applyBorder="1" applyAlignment="1">
      <alignment horizontal="left" vertical="top"/>
    </xf>
    <xf numFmtId="0" fontId="18" fillId="2" borderId="5" xfId="0" applyFont="1" applyFill="1" applyBorder="1" applyAlignment="1">
      <alignment horizontal="left" vertical="top"/>
    </xf>
    <xf numFmtId="0" fontId="18" fillId="2" borderId="15" xfId="0" applyFont="1" applyFill="1" applyBorder="1" applyAlignment="1">
      <alignment horizontal="left" vertical="top"/>
    </xf>
    <xf numFmtId="0" fontId="18" fillId="2" borderId="0" xfId="0" applyFont="1" applyFill="1" applyAlignment="1">
      <alignment horizontal="right" vertical="top"/>
    </xf>
    <xf numFmtId="0" fontId="18" fillId="2" borderId="0" xfId="0" applyFont="1" applyFill="1" applyAlignment="1">
      <alignment horizontal="left"/>
    </xf>
    <xf numFmtId="0" fontId="18" fillId="2" borderId="0" xfId="0" applyFont="1" applyFill="1"/>
    <xf numFmtId="0" fontId="58" fillId="0" borderId="36" xfId="0" applyFont="1" applyBorder="1" applyAlignment="1">
      <alignment horizontal="center" vertical="center" shrinkToFit="1"/>
    </xf>
    <xf numFmtId="0" fontId="7" fillId="0" borderId="36" xfId="0" applyFont="1" applyBorder="1" applyAlignment="1">
      <alignment horizontal="center" vertical="center" shrinkToFit="1"/>
    </xf>
    <xf numFmtId="0" fontId="58" fillId="0" borderId="56" xfId="0" applyFont="1" applyBorder="1" applyAlignment="1">
      <alignment horizontal="center" vertical="center" shrinkToFit="1"/>
    </xf>
    <xf numFmtId="0" fontId="7" fillId="5" borderId="35" xfId="0" applyFont="1" applyFill="1" applyBorder="1" applyAlignment="1">
      <alignment vertical="center" shrinkToFit="1"/>
    </xf>
    <xf numFmtId="0" fontId="62" fillId="8" borderId="6" xfId="0" applyFont="1" applyFill="1" applyBorder="1" applyAlignment="1">
      <alignment horizontal="center" vertical="center" shrinkToFit="1"/>
    </xf>
    <xf numFmtId="0" fontId="62" fillId="8" borderId="3" xfId="0" applyFont="1" applyFill="1" applyBorder="1" applyAlignment="1">
      <alignment horizontal="center" vertical="center" shrinkToFit="1"/>
    </xf>
    <xf numFmtId="0" fontId="62" fillId="8" borderId="2" xfId="0" applyFont="1" applyFill="1" applyBorder="1" applyAlignment="1">
      <alignment horizontal="center" vertical="center" shrinkToFit="1"/>
    </xf>
    <xf numFmtId="0" fontId="62" fillId="8" borderId="25" xfId="0" applyFont="1" applyFill="1" applyBorder="1" applyAlignment="1">
      <alignment horizontal="center" vertical="center" shrinkToFit="1"/>
    </xf>
    <xf numFmtId="0" fontId="114" fillId="3" borderId="0" xfId="25" applyFont="1" applyFill="1">
      <alignment vertical="center"/>
    </xf>
    <xf numFmtId="0" fontId="25" fillId="3" borderId="0" xfId="25" applyFont="1" applyFill="1">
      <alignment vertical="center"/>
    </xf>
    <xf numFmtId="0" fontId="63" fillId="3" borderId="0" xfId="25" applyFont="1" applyFill="1">
      <alignment vertical="center"/>
    </xf>
    <xf numFmtId="0" fontId="23" fillId="3" borderId="0" xfId="25" applyFont="1" applyFill="1" applyAlignment="1">
      <alignment horizontal="left" vertical="center"/>
    </xf>
    <xf numFmtId="0" fontId="29" fillId="3" borderId="0" xfId="25" applyFont="1" applyFill="1" applyAlignment="1">
      <alignment horizontal="right" vertical="center"/>
    </xf>
    <xf numFmtId="0" fontId="114" fillId="0" borderId="0" xfId="25" applyFont="1">
      <alignment vertical="center"/>
    </xf>
    <xf numFmtId="0" fontId="116" fillId="5" borderId="5" xfId="25" applyFont="1" applyFill="1" applyBorder="1" applyAlignment="1">
      <alignment vertical="center" shrinkToFit="1"/>
    </xf>
    <xf numFmtId="0" fontId="116" fillId="3" borderId="0" xfId="25" applyFont="1" applyFill="1" applyAlignment="1">
      <alignment horizontal="center" vertical="center"/>
    </xf>
    <xf numFmtId="0" fontId="117" fillId="5" borderId="5" xfId="25" applyFont="1" applyFill="1" applyBorder="1" applyAlignment="1">
      <alignment vertical="center" shrinkToFit="1"/>
    </xf>
    <xf numFmtId="0" fontId="30" fillId="3" borderId="0" xfId="25" applyFont="1" applyFill="1">
      <alignment vertical="center"/>
    </xf>
    <xf numFmtId="0" fontId="23" fillId="3" borderId="0" xfId="25" applyFont="1" applyFill="1">
      <alignment vertical="center"/>
    </xf>
    <xf numFmtId="0" fontId="118" fillId="3" borderId="0" xfId="25" applyFont="1" applyFill="1" applyAlignment="1">
      <alignment vertical="center" shrinkToFit="1"/>
    </xf>
    <xf numFmtId="0" fontId="34" fillId="3" borderId="0" xfId="25" applyFont="1" applyFill="1">
      <alignment vertical="center"/>
    </xf>
    <xf numFmtId="0" fontId="114" fillId="4" borderId="216" xfId="25" applyFont="1" applyFill="1" applyBorder="1" applyAlignment="1">
      <alignment horizontal="center" vertical="center"/>
    </xf>
    <xf numFmtId="0" fontId="114" fillId="3" borderId="217" xfId="25" applyFont="1" applyFill="1" applyBorder="1" applyAlignment="1">
      <alignment horizontal="center" vertical="center"/>
    </xf>
    <xf numFmtId="0" fontId="114" fillId="3" borderId="0" xfId="25" applyFont="1" applyFill="1" applyAlignment="1">
      <alignment horizontal="center" vertical="center"/>
    </xf>
    <xf numFmtId="0" fontId="114" fillId="3" borderId="0" xfId="25" applyFont="1" applyFill="1" applyAlignment="1">
      <alignment horizontal="right" vertical="center"/>
    </xf>
    <xf numFmtId="0" fontId="119" fillId="3" borderId="0" xfId="25" applyFont="1" applyFill="1" applyAlignment="1">
      <alignment vertical="center" wrapText="1"/>
    </xf>
    <xf numFmtId="0" fontId="114" fillId="4" borderId="202" xfId="25" applyFont="1" applyFill="1" applyBorder="1" applyAlignment="1">
      <alignment horizontal="center" vertical="center"/>
    </xf>
    <xf numFmtId="0" fontId="114" fillId="3" borderId="180" xfId="25" applyFont="1" applyFill="1" applyBorder="1" applyAlignment="1">
      <alignment horizontal="center" vertical="center"/>
    </xf>
    <xf numFmtId="14" fontId="120" fillId="17" borderId="72" xfId="25" applyNumberFormat="1" applyFont="1" applyFill="1" applyBorder="1" applyAlignment="1">
      <alignment horizontal="center" vertical="center"/>
    </xf>
    <xf numFmtId="191" fontId="114" fillId="7" borderId="0" xfId="25" applyNumberFormat="1" applyFont="1" applyFill="1" applyAlignment="1">
      <alignment horizontal="center" vertical="center"/>
    </xf>
    <xf numFmtId="0" fontId="118" fillId="3" borderId="0" xfId="25" applyFont="1" applyFill="1">
      <alignment vertical="center"/>
    </xf>
    <xf numFmtId="0" fontId="118" fillId="3" borderId="0" xfId="25" applyFont="1" applyFill="1" applyAlignment="1">
      <alignment horizontal="right" vertical="center"/>
    </xf>
    <xf numFmtId="180" fontId="118" fillId="18" borderId="0" xfId="25" applyNumberFormat="1" applyFont="1" applyFill="1" applyAlignment="1">
      <alignment horizontal="center" vertical="center" shrinkToFit="1"/>
    </xf>
    <xf numFmtId="0" fontId="118" fillId="18" borderId="0" xfId="25" applyFont="1" applyFill="1" applyAlignment="1">
      <alignment horizontal="center" vertical="center" shrinkToFit="1"/>
    </xf>
    <xf numFmtId="0" fontId="118" fillId="3" borderId="0" xfId="25" applyFont="1" applyFill="1" applyAlignment="1">
      <alignment horizontal="center" vertical="center" shrinkToFit="1"/>
    </xf>
    <xf numFmtId="0" fontId="114" fillId="4" borderId="218" xfId="25" applyFont="1" applyFill="1" applyBorder="1" applyAlignment="1">
      <alignment horizontal="center" vertical="center"/>
    </xf>
    <xf numFmtId="0" fontId="114" fillId="3" borderId="219" xfId="25" applyFont="1" applyFill="1" applyBorder="1" applyAlignment="1">
      <alignment horizontal="center" vertical="center"/>
    </xf>
    <xf numFmtId="0" fontId="121" fillId="9" borderId="3" xfId="25" applyFont="1" applyFill="1" applyBorder="1">
      <alignment vertical="center"/>
    </xf>
    <xf numFmtId="0" fontId="121" fillId="9" borderId="4" xfId="25" applyFont="1" applyFill="1" applyBorder="1" applyAlignment="1">
      <alignment horizontal="center" vertical="center" shrinkToFit="1"/>
    </xf>
    <xf numFmtId="0" fontId="121" fillId="9" borderId="3" xfId="25" applyFont="1" applyFill="1" applyBorder="1" applyAlignment="1">
      <alignment horizontal="center" vertical="center"/>
    </xf>
    <xf numFmtId="0" fontId="121" fillId="9" borderId="17" xfId="25" applyFont="1" applyFill="1" applyBorder="1" applyAlignment="1">
      <alignment horizontal="center" vertical="center"/>
    </xf>
    <xf numFmtId="0" fontId="121" fillId="9" borderId="32" xfId="25" applyFont="1" applyFill="1" applyBorder="1" applyAlignment="1">
      <alignment horizontal="center" vertical="center" shrinkToFit="1"/>
    </xf>
    <xf numFmtId="0" fontId="121" fillId="9" borderId="222" xfId="25" applyFont="1" applyFill="1" applyBorder="1" applyAlignment="1">
      <alignment horizontal="center" vertical="center" shrinkToFit="1"/>
    </xf>
    <xf numFmtId="0" fontId="121" fillId="9" borderId="40" xfId="25" applyFont="1" applyFill="1" applyBorder="1" applyAlignment="1">
      <alignment horizontal="center" vertical="center" shrinkToFit="1"/>
    </xf>
    <xf numFmtId="0" fontId="121" fillId="9" borderId="223" xfId="25" applyFont="1" applyFill="1" applyBorder="1" applyAlignment="1">
      <alignment horizontal="center" vertical="center" shrinkToFit="1"/>
    </xf>
    <xf numFmtId="0" fontId="121" fillId="9" borderId="31" xfId="25" applyFont="1" applyFill="1" applyBorder="1" applyAlignment="1">
      <alignment horizontal="center" vertical="center" shrinkToFit="1"/>
    </xf>
    <xf numFmtId="0" fontId="121" fillId="9" borderId="16" xfId="25" applyFont="1" applyFill="1" applyBorder="1">
      <alignment vertical="center"/>
    </xf>
    <xf numFmtId="0" fontId="121" fillId="9" borderId="16" xfId="25" applyFont="1" applyFill="1" applyBorder="1" applyAlignment="1">
      <alignment horizontal="center" vertical="center" shrinkToFit="1"/>
    </xf>
    <xf numFmtId="192" fontId="121" fillId="9" borderId="224" xfId="25" applyNumberFormat="1" applyFont="1" applyFill="1" applyBorder="1" applyAlignment="1">
      <alignment horizontal="center" vertical="center" shrinkToFit="1"/>
    </xf>
    <xf numFmtId="192" fontId="121" fillId="9" borderId="15" xfId="25" applyNumberFormat="1" applyFont="1" applyFill="1" applyBorder="1" applyAlignment="1">
      <alignment horizontal="center" vertical="center" shrinkToFit="1"/>
    </xf>
    <xf numFmtId="192" fontId="121" fillId="9" borderId="225" xfId="25" applyNumberFormat="1" applyFont="1" applyFill="1" applyBorder="1" applyAlignment="1">
      <alignment horizontal="center" vertical="center" shrinkToFit="1"/>
    </xf>
    <xf numFmtId="0" fontId="121" fillId="9" borderId="15" xfId="25" applyFont="1" applyFill="1" applyBorder="1" applyAlignment="1">
      <alignment horizontal="center" vertical="center" shrinkToFit="1"/>
    </xf>
    <xf numFmtId="0" fontId="121" fillId="9" borderId="28" xfId="25" applyFont="1" applyFill="1" applyBorder="1" applyAlignment="1">
      <alignment horizontal="center" vertical="center" shrinkToFit="1"/>
    </xf>
    <xf numFmtId="0" fontId="114" fillId="4" borderId="32" xfId="25" applyFont="1" applyFill="1" applyBorder="1" applyAlignment="1">
      <alignment horizontal="center" vertical="center" shrinkToFit="1"/>
    </xf>
    <xf numFmtId="49" fontId="23" fillId="4" borderId="222" xfId="25" applyNumberFormat="1" applyFont="1" applyFill="1" applyBorder="1" applyAlignment="1">
      <alignment horizontal="center" vertical="center" shrinkToFit="1"/>
    </xf>
    <xf numFmtId="49" fontId="23" fillId="4" borderId="40" xfId="25" applyNumberFormat="1" applyFont="1" applyFill="1" applyBorder="1" applyAlignment="1">
      <alignment horizontal="center" vertical="center" shrinkToFit="1"/>
    </xf>
    <xf numFmtId="0" fontId="23" fillId="4" borderId="40" xfId="25" applyFont="1" applyFill="1" applyBorder="1" applyAlignment="1">
      <alignment horizontal="center" vertical="center" shrinkToFit="1"/>
    </xf>
    <xf numFmtId="49" fontId="23" fillId="4" borderId="223" xfId="25" applyNumberFormat="1" applyFont="1" applyFill="1" applyBorder="1" applyAlignment="1">
      <alignment horizontal="center" vertical="center" shrinkToFit="1"/>
    </xf>
    <xf numFmtId="0" fontId="23" fillId="4" borderId="31" xfId="25" applyFont="1" applyFill="1" applyBorder="1" applyAlignment="1">
      <alignment horizontal="center" vertical="center" shrinkToFit="1"/>
    </xf>
    <xf numFmtId="193" fontId="23" fillId="3" borderId="3" xfId="25" applyNumberFormat="1" applyFont="1" applyFill="1" applyBorder="1" applyAlignment="1">
      <alignment horizontal="right" vertical="center" shrinkToFit="1"/>
    </xf>
    <xf numFmtId="0" fontId="23" fillId="3" borderId="25" xfId="25" applyFont="1" applyFill="1" applyBorder="1" applyAlignment="1">
      <alignment vertical="center" shrinkToFit="1"/>
    </xf>
    <xf numFmtId="0" fontId="23" fillId="3" borderId="17" xfId="25" applyFont="1" applyFill="1" applyBorder="1" applyAlignment="1">
      <alignment horizontal="center" vertical="center" shrinkToFit="1"/>
    </xf>
    <xf numFmtId="0" fontId="23" fillId="3" borderId="27" xfId="25" applyFont="1" applyFill="1" applyBorder="1" applyAlignment="1">
      <alignment horizontal="center" vertical="center" shrinkToFit="1"/>
    </xf>
    <xf numFmtId="0" fontId="23" fillId="3" borderId="29" xfId="25" applyFont="1" applyFill="1" applyBorder="1" applyAlignment="1">
      <alignment vertical="center" shrinkToFit="1"/>
    </xf>
    <xf numFmtId="0" fontId="114" fillId="18" borderId="37" xfId="25" applyFont="1" applyFill="1" applyBorder="1" applyAlignment="1">
      <alignment horizontal="center" vertical="center" shrinkToFit="1"/>
    </xf>
    <xf numFmtId="0" fontId="63" fillId="18" borderId="226" xfId="25" applyFont="1" applyFill="1" applyBorder="1" applyAlignment="1">
      <alignment horizontal="center" vertical="center" shrinkToFit="1"/>
    </xf>
    <xf numFmtId="0" fontId="63" fillId="18" borderId="54" xfId="25" applyFont="1" applyFill="1" applyBorder="1" applyAlignment="1">
      <alignment horizontal="center" vertical="center" shrinkToFit="1"/>
    </xf>
    <xf numFmtId="0" fontId="63" fillId="18" borderId="227" xfId="25" applyFont="1" applyFill="1" applyBorder="1" applyAlignment="1">
      <alignment horizontal="center" vertical="center" shrinkToFit="1"/>
    </xf>
    <xf numFmtId="0" fontId="63" fillId="18" borderId="39" xfId="25" applyFont="1" applyFill="1" applyBorder="1" applyAlignment="1">
      <alignment horizontal="center" vertical="center" shrinkToFit="1"/>
    </xf>
    <xf numFmtId="2" fontId="23" fillId="18" borderId="16" xfId="25" applyNumberFormat="1" applyFont="1" applyFill="1" applyBorder="1" applyAlignment="1">
      <alignment horizontal="right" vertical="center" shrinkToFit="1"/>
    </xf>
    <xf numFmtId="2" fontId="23" fillId="18" borderId="28" xfId="25" applyNumberFormat="1" applyFont="1" applyFill="1" applyBorder="1" applyAlignment="1">
      <alignment horizontal="right" vertical="center" shrinkToFit="1"/>
    </xf>
    <xf numFmtId="2" fontId="23" fillId="18" borderId="16" xfId="25" applyNumberFormat="1" applyFont="1" applyFill="1" applyBorder="1" applyAlignment="1">
      <alignment horizontal="center" vertical="center" shrinkToFit="1"/>
    </xf>
    <xf numFmtId="2" fontId="23" fillId="18" borderId="15" xfId="25" applyNumberFormat="1" applyFont="1" applyFill="1" applyBorder="1" applyAlignment="1">
      <alignment horizontal="center" vertical="center" shrinkToFit="1"/>
    </xf>
    <xf numFmtId="180" fontId="23" fillId="18" borderId="28" xfId="25" applyNumberFormat="1" applyFont="1" applyFill="1" applyBorder="1" applyAlignment="1">
      <alignment horizontal="right" vertical="center" shrinkToFit="1"/>
    </xf>
    <xf numFmtId="49" fontId="23" fillId="4" borderId="31" xfId="25" applyNumberFormat="1" applyFont="1" applyFill="1" applyBorder="1" applyAlignment="1">
      <alignment horizontal="center" vertical="center" shrinkToFit="1"/>
    </xf>
    <xf numFmtId="0" fontId="114" fillId="3" borderId="228" xfId="25" applyFont="1" applyFill="1" applyBorder="1">
      <alignment vertical="center"/>
    </xf>
    <xf numFmtId="0" fontId="114" fillId="3" borderId="0" xfId="25" applyFont="1" applyFill="1" applyAlignment="1">
      <alignment horizontal="right" vertical="center" shrinkToFit="1"/>
    </xf>
    <xf numFmtId="2" fontId="23" fillId="18" borderId="29" xfId="25" applyNumberFormat="1" applyFont="1" applyFill="1" applyBorder="1" applyAlignment="1">
      <alignment horizontal="right" vertical="center" shrinkToFit="1"/>
    </xf>
    <xf numFmtId="0" fontId="23" fillId="9" borderId="2" xfId="25" applyFont="1" applyFill="1" applyBorder="1" applyAlignment="1">
      <alignment horizontal="left" vertical="center" shrinkToFit="1"/>
    </xf>
    <xf numFmtId="0" fontId="23" fillId="9" borderId="2" xfId="25" applyFont="1" applyFill="1" applyBorder="1" applyAlignment="1">
      <alignment horizontal="center" vertical="center" shrinkToFit="1"/>
    </xf>
    <xf numFmtId="0" fontId="114" fillId="9" borderId="2" xfId="25" applyFont="1" applyFill="1" applyBorder="1" applyAlignment="1">
      <alignment vertical="center" shrinkToFit="1"/>
    </xf>
    <xf numFmtId="0" fontId="114" fillId="9" borderId="6" xfId="25" applyFont="1" applyFill="1" applyBorder="1" applyAlignment="1">
      <alignment horizontal="center" vertical="center" shrinkToFit="1"/>
    </xf>
    <xf numFmtId="0" fontId="63" fillId="9" borderId="230" xfId="25" applyFont="1" applyFill="1" applyBorder="1" applyAlignment="1">
      <alignment horizontal="center" vertical="center" shrinkToFit="1"/>
    </xf>
    <xf numFmtId="0" fontId="63" fillId="9" borderId="2" xfId="25" applyFont="1" applyFill="1" applyBorder="1" applyAlignment="1">
      <alignment horizontal="center" vertical="center" shrinkToFit="1"/>
    </xf>
    <xf numFmtId="0" fontId="63" fillId="9" borderId="231" xfId="25" applyFont="1" applyFill="1" applyBorder="1" applyAlignment="1">
      <alignment horizontal="center" vertical="center" shrinkToFit="1"/>
    </xf>
    <xf numFmtId="0" fontId="63" fillId="9" borderId="8" xfId="25" applyFont="1" applyFill="1" applyBorder="1" applyAlignment="1">
      <alignment horizontal="center" vertical="center" shrinkToFit="1"/>
    </xf>
    <xf numFmtId="0" fontId="23" fillId="9" borderId="2" xfId="25" applyFont="1" applyFill="1" applyBorder="1" applyAlignment="1">
      <alignment horizontal="right" vertical="center" shrinkToFit="1"/>
    </xf>
    <xf numFmtId="0" fontId="23" fillId="9" borderId="6" xfId="25" applyFont="1" applyFill="1" applyBorder="1" applyAlignment="1">
      <alignment horizontal="right" vertical="center" shrinkToFit="1"/>
    </xf>
    <xf numFmtId="0" fontId="23" fillId="9" borderId="3" xfId="25" applyFont="1" applyFill="1" applyBorder="1" applyAlignment="1">
      <alignment horizontal="center" vertical="center" shrinkToFit="1"/>
    </xf>
    <xf numFmtId="0" fontId="23" fillId="9" borderId="1" xfId="25" applyFont="1" applyFill="1" applyBorder="1" applyAlignment="1">
      <alignment horizontal="center" vertical="center" shrinkToFit="1"/>
    </xf>
    <xf numFmtId="0" fontId="23" fillId="9" borderId="8" xfId="25" applyFont="1" applyFill="1" applyBorder="1" applyAlignment="1">
      <alignment horizontal="right" vertical="center" shrinkToFit="1"/>
    </xf>
    <xf numFmtId="0" fontId="114" fillId="7" borderId="3" xfId="25" applyFont="1" applyFill="1" applyBorder="1" applyAlignment="1">
      <alignment horizontal="center" vertical="center" shrinkToFit="1"/>
    </xf>
    <xf numFmtId="0" fontId="63" fillId="7" borderId="232" xfId="25" applyFont="1" applyFill="1" applyBorder="1" applyAlignment="1">
      <alignment horizontal="center" vertical="center" shrinkToFit="1"/>
    </xf>
    <xf numFmtId="0" fontId="63" fillId="7" borderId="25" xfId="25" applyFont="1" applyFill="1" applyBorder="1" applyAlignment="1">
      <alignment horizontal="center" vertical="center" shrinkToFit="1"/>
    </xf>
    <xf numFmtId="0" fontId="63" fillId="7" borderId="233" xfId="25" applyFont="1" applyFill="1" applyBorder="1" applyAlignment="1">
      <alignment horizontal="center" vertical="center" shrinkToFit="1"/>
    </xf>
    <xf numFmtId="0" fontId="63" fillId="7" borderId="1" xfId="25" applyFont="1" applyFill="1" applyBorder="1" applyAlignment="1">
      <alignment horizontal="center" vertical="center" shrinkToFit="1"/>
    </xf>
    <xf numFmtId="194" fontId="23" fillId="7" borderId="25" xfId="25" applyNumberFormat="1" applyFont="1" applyFill="1" applyBorder="1" applyAlignment="1">
      <alignment horizontal="left" vertical="center" shrinkToFit="1"/>
    </xf>
    <xf numFmtId="0" fontId="23" fillId="3" borderId="3" xfId="25" applyFont="1" applyFill="1" applyBorder="1" applyAlignment="1">
      <alignment horizontal="right" vertical="center" shrinkToFit="1"/>
    </xf>
    <xf numFmtId="0" fontId="23" fillId="3" borderId="3" xfId="25" applyFont="1" applyFill="1" applyBorder="1" applyAlignment="1">
      <alignment horizontal="center" vertical="center" shrinkToFit="1"/>
    </xf>
    <xf numFmtId="0" fontId="23" fillId="3" borderId="1" xfId="25" applyFont="1" applyFill="1" applyBorder="1" applyAlignment="1">
      <alignment horizontal="center" vertical="center" shrinkToFit="1"/>
    </xf>
    <xf numFmtId="0" fontId="23" fillId="3" borderId="1" xfId="25" applyFont="1" applyFill="1" applyBorder="1" applyAlignment="1">
      <alignment horizontal="right" vertical="center" shrinkToFit="1"/>
    </xf>
    <xf numFmtId="0" fontId="23" fillId="3" borderId="25" xfId="25" applyFont="1" applyFill="1" applyBorder="1" applyAlignment="1">
      <alignment horizontal="right" vertical="center" shrinkToFit="1"/>
    </xf>
    <xf numFmtId="0" fontId="114" fillId="3" borderId="5" xfId="25" applyFont="1" applyFill="1" applyBorder="1" applyAlignment="1">
      <alignment horizontal="right" vertical="center" shrinkToFit="1"/>
    </xf>
    <xf numFmtId="0" fontId="114" fillId="3" borderId="7" xfId="25" applyFont="1" applyFill="1" applyBorder="1" applyAlignment="1">
      <alignment vertical="center" shrinkToFit="1"/>
    </xf>
    <xf numFmtId="0" fontId="114" fillId="3" borderId="7" xfId="25" applyFont="1" applyFill="1" applyBorder="1" applyAlignment="1">
      <alignment horizontal="center" vertical="center" shrinkToFit="1"/>
    </xf>
    <xf numFmtId="0" fontId="63" fillId="3" borderId="7" xfId="25" applyFont="1" applyFill="1" applyBorder="1" applyAlignment="1">
      <alignment horizontal="center" vertical="center" shrinkToFit="1"/>
    </xf>
    <xf numFmtId="195" fontId="23" fillId="3" borderId="7" xfId="25" applyNumberFormat="1" applyFont="1" applyFill="1" applyBorder="1" applyAlignment="1">
      <alignment horizontal="left" vertical="center" shrinkToFit="1"/>
    </xf>
    <xf numFmtId="0" fontId="23" fillId="3" borderId="7" xfId="25" applyFont="1" applyFill="1" applyBorder="1" applyAlignment="1">
      <alignment horizontal="right" vertical="center" shrinkToFit="1"/>
    </xf>
    <xf numFmtId="0" fontId="23" fillId="3" borderId="7" xfId="25" applyFont="1" applyFill="1" applyBorder="1" applyAlignment="1">
      <alignment horizontal="center" vertical="center" shrinkToFit="1"/>
    </xf>
    <xf numFmtId="0" fontId="114" fillId="3" borderId="0" xfId="25" applyFont="1" applyFill="1" applyAlignment="1">
      <alignment vertical="center" shrinkToFit="1"/>
    </xf>
    <xf numFmtId="0" fontId="114" fillId="3" borderId="0" xfId="25" applyFont="1" applyFill="1" applyAlignment="1">
      <alignment horizontal="center" vertical="center" shrinkToFit="1"/>
    </xf>
    <xf numFmtId="0" fontId="63" fillId="3" borderId="0" xfId="25" applyFont="1" applyFill="1" applyAlignment="1">
      <alignment horizontal="center" vertical="center" shrinkToFit="1"/>
    </xf>
    <xf numFmtId="0" fontId="23" fillId="3" borderId="0" xfId="25" applyFont="1" applyFill="1" applyAlignment="1">
      <alignment horizontal="right" vertical="center" shrinkToFit="1"/>
    </xf>
    <xf numFmtId="0" fontId="63" fillId="3" borderId="0" xfId="25" applyFont="1" applyFill="1" applyAlignment="1">
      <alignment horizontal="left" vertical="center" shrinkToFit="1"/>
    </xf>
    <xf numFmtId="0" fontId="23" fillId="3" borderId="0" xfId="25" applyFont="1" applyFill="1" applyAlignment="1">
      <alignment horizontal="center" shrinkToFit="1"/>
    </xf>
    <xf numFmtId="0" fontId="63" fillId="3" borderId="0" xfId="25" applyFont="1" applyFill="1" applyAlignment="1">
      <alignment horizontal="right" vertical="center" shrinkToFit="1"/>
    </xf>
    <xf numFmtId="0" fontId="114" fillId="0" borderId="0" xfId="25" applyFont="1" applyAlignment="1">
      <alignment vertical="center" shrinkToFit="1"/>
    </xf>
    <xf numFmtId="14" fontId="120" fillId="7" borderId="72" xfId="25" applyNumberFormat="1" applyFont="1" applyFill="1" applyBorder="1" applyAlignment="1">
      <alignment horizontal="center" vertical="center" shrinkToFit="1"/>
    </xf>
    <xf numFmtId="0" fontId="114" fillId="3" borderId="74" xfId="25" applyFont="1" applyFill="1" applyBorder="1" applyAlignment="1">
      <alignment vertical="center" shrinkToFit="1"/>
    </xf>
    <xf numFmtId="0" fontId="23" fillId="3" borderId="74" xfId="25" applyFont="1" applyFill="1" applyBorder="1" applyAlignment="1">
      <alignment horizontal="center" vertical="center" shrinkToFit="1"/>
    </xf>
    <xf numFmtId="0" fontId="23" fillId="3" borderId="74" xfId="25" applyFont="1" applyFill="1" applyBorder="1" applyAlignment="1">
      <alignment horizontal="left" vertical="center" shrinkToFit="1"/>
    </xf>
    <xf numFmtId="0" fontId="114" fillId="0" borderId="0" xfId="25" applyFont="1" applyAlignment="1">
      <alignment horizontal="center" vertical="center" shrinkToFit="1"/>
    </xf>
    <xf numFmtId="0" fontId="118" fillId="7" borderId="72" xfId="25" applyFont="1" applyFill="1" applyBorder="1" applyAlignment="1">
      <alignment horizontal="center" shrinkToFit="1"/>
    </xf>
    <xf numFmtId="191" fontId="114" fillId="7" borderId="0" xfId="25" applyNumberFormat="1" applyFont="1" applyFill="1" applyAlignment="1">
      <alignment horizontal="center" vertical="center" shrinkToFit="1"/>
    </xf>
    <xf numFmtId="0" fontId="114" fillId="3" borderId="5" xfId="25" applyFont="1" applyFill="1" applyBorder="1" applyAlignment="1">
      <alignment vertical="center" shrinkToFit="1"/>
    </xf>
    <xf numFmtId="0" fontId="114" fillId="3" borderId="5" xfId="25" applyFont="1" applyFill="1" applyBorder="1" applyAlignment="1">
      <alignment horizontal="center" vertical="center" shrinkToFit="1"/>
    </xf>
    <xf numFmtId="0" fontId="63" fillId="3" borderId="5" xfId="25" applyFont="1" applyFill="1" applyBorder="1" applyAlignment="1">
      <alignment horizontal="center" vertical="center" shrinkToFit="1"/>
    </xf>
    <xf numFmtId="195" fontId="23" fillId="3" borderId="0" xfId="25" applyNumberFormat="1" applyFont="1" applyFill="1" applyAlignment="1">
      <alignment horizontal="center" shrinkToFit="1"/>
    </xf>
    <xf numFmtId="0" fontId="121" fillId="9" borderId="230" xfId="25" applyFont="1" applyFill="1" applyBorder="1" applyAlignment="1">
      <alignment horizontal="center" vertical="center" shrinkToFit="1"/>
    </xf>
    <xf numFmtId="0" fontId="121" fillId="9" borderId="2" xfId="25" applyFont="1" applyFill="1" applyBorder="1" applyAlignment="1">
      <alignment horizontal="center" vertical="center" shrinkToFit="1"/>
    </xf>
    <xf numFmtId="0" fontId="121" fillId="9" borderId="6" xfId="25" applyFont="1" applyFill="1" applyBorder="1" applyAlignment="1">
      <alignment horizontal="center" vertical="center" shrinkToFit="1"/>
    </xf>
    <xf numFmtId="195" fontId="121" fillId="9" borderId="2" xfId="25" applyNumberFormat="1" applyFont="1" applyFill="1" applyBorder="1" applyAlignment="1">
      <alignment horizontal="center" vertical="center" shrinkToFit="1"/>
    </xf>
    <xf numFmtId="0" fontId="121" fillId="9" borderId="2" xfId="25" applyFont="1" applyFill="1" applyBorder="1" applyAlignment="1">
      <alignment horizontal="right" vertical="center" shrinkToFit="1"/>
    </xf>
    <xf numFmtId="0" fontId="23" fillId="3" borderId="17" xfId="25" applyFont="1" applyFill="1" applyBorder="1" applyAlignment="1">
      <alignment horizontal="right" vertical="center" shrinkToFit="1"/>
    </xf>
    <xf numFmtId="0" fontId="114" fillId="7" borderId="32" xfId="25" applyFont="1" applyFill="1" applyBorder="1" applyAlignment="1">
      <alignment horizontal="center" vertical="center" shrinkToFit="1"/>
    </xf>
    <xf numFmtId="0" fontId="63" fillId="7" borderId="222" xfId="25" applyFont="1" applyFill="1" applyBorder="1" applyAlignment="1">
      <alignment horizontal="center" vertical="center" shrinkToFit="1"/>
    </xf>
    <xf numFmtId="0" fontId="63" fillId="7" borderId="40" xfId="25" applyFont="1" applyFill="1" applyBorder="1" applyAlignment="1">
      <alignment horizontal="center" vertical="center" shrinkToFit="1"/>
    </xf>
    <xf numFmtId="0" fontId="63" fillId="7" borderId="223" xfId="25" applyFont="1" applyFill="1" applyBorder="1" applyAlignment="1">
      <alignment horizontal="center" vertical="center" shrinkToFit="1"/>
    </xf>
    <xf numFmtId="0" fontId="63" fillId="7" borderId="31" xfId="25" applyFont="1" applyFill="1" applyBorder="1" applyAlignment="1">
      <alignment horizontal="center" vertical="center" shrinkToFit="1"/>
    </xf>
    <xf numFmtId="196" fontId="23" fillId="7" borderId="40" xfId="25" applyNumberFormat="1" applyFont="1" applyFill="1" applyBorder="1" applyAlignment="1">
      <alignment horizontal="right" vertical="center" shrinkToFit="1"/>
    </xf>
    <xf numFmtId="2" fontId="23" fillId="7" borderId="40" xfId="25" applyNumberFormat="1" applyFont="1" applyFill="1" applyBorder="1" applyAlignment="1">
      <alignment horizontal="right" vertical="center" shrinkToFit="1"/>
    </xf>
    <xf numFmtId="0" fontId="114" fillId="7" borderId="36" xfId="25" applyFont="1" applyFill="1" applyBorder="1" applyAlignment="1">
      <alignment horizontal="center" vertical="center" shrinkToFit="1"/>
    </xf>
    <xf numFmtId="0" fontId="63" fillId="7" borderId="234" xfId="25" applyFont="1" applyFill="1" applyBorder="1" applyAlignment="1">
      <alignment horizontal="center" vertical="center" shrinkToFit="1"/>
    </xf>
    <xf numFmtId="0" fontId="63" fillId="7" borderId="35" xfId="25" applyFont="1" applyFill="1" applyBorder="1" applyAlignment="1">
      <alignment horizontal="center" vertical="center" shrinkToFit="1"/>
    </xf>
    <xf numFmtId="0" fontId="63" fillId="7" borderId="235" xfId="25" applyFont="1" applyFill="1" applyBorder="1" applyAlignment="1">
      <alignment horizontal="center" vertical="center" shrinkToFit="1"/>
    </xf>
    <xf numFmtId="0" fontId="63" fillId="7" borderId="34" xfId="25" applyFont="1" applyFill="1" applyBorder="1" applyAlignment="1">
      <alignment horizontal="center" vertical="center" shrinkToFit="1"/>
    </xf>
    <xf numFmtId="196" fontId="23" fillId="7" borderId="35" xfId="25" applyNumberFormat="1" applyFont="1" applyFill="1" applyBorder="1" applyAlignment="1">
      <alignment horizontal="right" vertical="center" shrinkToFit="1"/>
    </xf>
    <xf numFmtId="2" fontId="23" fillId="7" borderId="35" xfId="25" applyNumberFormat="1" applyFont="1" applyFill="1" applyBorder="1" applyAlignment="1">
      <alignment horizontal="right" vertical="center" shrinkToFit="1"/>
    </xf>
    <xf numFmtId="0" fontId="114" fillId="7" borderId="37" xfId="25" applyFont="1" applyFill="1" applyBorder="1" applyAlignment="1">
      <alignment horizontal="center" vertical="center" shrinkToFit="1"/>
    </xf>
    <xf numFmtId="0" fontId="63" fillId="7" borderId="226" xfId="25" applyFont="1" applyFill="1" applyBorder="1" applyAlignment="1">
      <alignment horizontal="center" vertical="center" shrinkToFit="1"/>
    </xf>
    <xf numFmtId="0" fontId="63" fillId="7" borderId="54" xfId="25" applyFont="1" applyFill="1" applyBorder="1" applyAlignment="1">
      <alignment horizontal="center" vertical="center" shrinkToFit="1"/>
    </xf>
    <xf numFmtId="0" fontId="63" fillId="7" borderId="227" xfId="25" applyFont="1" applyFill="1" applyBorder="1" applyAlignment="1">
      <alignment horizontal="center" vertical="center" shrinkToFit="1"/>
    </xf>
    <xf numFmtId="0" fontId="63" fillId="7" borderId="39" xfId="25" applyFont="1" applyFill="1" applyBorder="1" applyAlignment="1">
      <alignment horizontal="center" vertical="center" shrinkToFit="1"/>
    </xf>
    <xf numFmtId="196" fontId="23" fillId="7" borderId="54" xfId="25" applyNumberFormat="1" applyFont="1" applyFill="1" applyBorder="1" applyAlignment="1">
      <alignment horizontal="right" vertical="center" shrinkToFit="1"/>
    </xf>
    <xf numFmtId="2" fontId="23" fillId="7" borderId="54" xfId="25" applyNumberFormat="1" applyFont="1" applyFill="1" applyBorder="1" applyAlignment="1">
      <alignment horizontal="right" vertical="center" shrinkToFit="1"/>
    </xf>
    <xf numFmtId="0" fontId="114" fillId="3" borderId="0" xfId="25" applyFont="1" applyFill="1" applyAlignment="1">
      <alignment vertical="center" wrapText="1"/>
    </xf>
    <xf numFmtId="49" fontId="34" fillId="3" borderId="0" xfId="25" applyNumberFormat="1" applyFont="1" applyFill="1" applyAlignment="1">
      <alignment vertical="center" wrapText="1"/>
    </xf>
    <xf numFmtId="0" fontId="34" fillId="3" borderId="0" xfId="25" applyFont="1" applyFill="1" applyAlignment="1">
      <alignment horizontal="right" vertical="center"/>
    </xf>
    <xf numFmtId="2" fontId="23" fillId="3" borderId="0" xfId="25" applyNumberFormat="1" applyFont="1" applyFill="1" applyAlignment="1">
      <alignment horizontal="right" vertical="center" shrinkToFit="1"/>
    </xf>
    <xf numFmtId="0" fontId="114" fillId="3" borderId="92" xfId="25" applyFont="1" applyFill="1" applyBorder="1" applyAlignment="1">
      <alignment vertical="center" shrinkToFit="1"/>
    </xf>
    <xf numFmtId="0" fontId="114" fillId="17" borderId="92" xfId="25" applyFont="1" applyFill="1" applyBorder="1" applyAlignment="1">
      <alignment vertical="center" shrinkToFit="1"/>
    </xf>
    <xf numFmtId="0" fontId="114" fillId="3" borderId="99" xfId="25" applyFont="1" applyFill="1" applyBorder="1" applyAlignment="1">
      <alignment vertical="center" shrinkToFit="1"/>
    </xf>
    <xf numFmtId="0" fontId="114" fillId="3" borderId="205" xfId="25" applyFont="1" applyFill="1" applyBorder="1" applyAlignment="1">
      <alignment vertical="center" shrinkToFit="1"/>
    </xf>
    <xf numFmtId="0" fontId="114" fillId="3" borderId="205" xfId="25" applyFont="1" applyFill="1" applyBorder="1" applyAlignment="1">
      <alignment horizontal="center" vertical="center" shrinkToFit="1"/>
    </xf>
    <xf numFmtId="0" fontId="114" fillId="17" borderId="205" xfId="25" applyFont="1" applyFill="1" applyBorder="1" applyAlignment="1">
      <alignment vertical="center" shrinkToFit="1"/>
    </xf>
    <xf numFmtId="0" fontId="114" fillId="3" borderId="64" xfId="25" applyFont="1" applyFill="1" applyBorder="1" applyAlignment="1">
      <alignment vertical="center" shrinkToFit="1"/>
    </xf>
    <xf numFmtId="0" fontId="121" fillId="9" borderId="2" xfId="25" applyFont="1" applyFill="1" applyBorder="1" applyAlignment="1">
      <alignment horizontal="center" vertical="center"/>
    </xf>
    <xf numFmtId="0" fontId="114" fillId="19" borderId="25" xfId="25" applyFont="1" applyFill="1" applyBorder="1" applyAlignment="1">
      <alignment horizontal="center" vertical="center"/>
    </xf>
    <xf numFmtId="0" fontId="114" fillId="17" borderId="40" xfId="25" applyFont="1" applyFill="1" applyBorder="1" applyAlignment="1">
      <alignment vertical="center" shrinkToFit="1"/>
    </xf>
    <xf numFmtId="0" fontId="114" fillId="0" borderId="30" xfId="25" applyFont="1" applyBorder="1" applyAlignment="1">
      <alignment horizontal="center" vertical="center"/>
    </xf>
    <xf numFmtId="0" fontId="114" fillId="3" borderId="0" xfId="25" quotePrefix="1" applyFont="1" applyFill="1">
      <alignment vertical="center"/>
    </xf>
    <xf numFmtId="0" fontId="114" fillId="17" borderId="240" xfId="25" applyFont="1" applyFill="1" applyBorder="1" applyAlignment="1">
      <alignment horizontal="center" vertical="center" shrinkToFit="1"/>
    </xf>
    <xf numFmtId="0" fontId="114" fillId="3" borderId="243" xfId="25" applyFont="1" applyFill="1" applyBorder="1" applyAlignment="1">
      <alignment horizontal="center" vertical="center" shrinkToFit="1"/>
    </xf>
    <xf numFmtId="0" fontId="114" fillId="3" borderId="242" xfId="25" applyFont="1" applyFill="1" applyBorder="1" applyAlignment="1">
      <alignment vertical="center" shrinkToFit="1"/>
    </xf>
    <xf numFmtId="0" fontId="114" fillId="18" borderId="244" xfId="25" applyFont="1" applyFill="1" applyBorder="1" applyAlignment="1">
      <alignment vertical="center" shrinkToFit="1"/>
    </xf>
    <xf numFmtId="2" fontId="114" fillId="17" borderId="239" xfId="25" applyNumberFormat="1" applyFont="1" applyFill="1" applyBorder="1" applyAlignment="1">
      <alignment vertical="center" shrinkToFit="1"/>
    </xf>
    <xf numFmtId="2" fontId="114" fillId="17" borderId="240" xfId="25" applyNumberFormat="1" applyFont="1" applyFill="1" applyBorder="1" applyAlignment="1">
      <alignment vertical="center" shrinkToFit="1"/>
    </xf>
    <xf numFmtId="2" fontId="114" fillId="18" borderId="244" xfId="25" applyNumberFormat="1" applyFont="1" applyFill="1" applyBorder="1" applyAlignment="1">
      <alignment vertical="center" shrinkToFit="1"/>
    </xf>
    <xf numFmtId="198" fontId="114" fillId="3" borderId="0" xfId="25" applyNumberFormat="1" applyFont="1" applyFill="1" applyAlignment="1">
      <alignment horizontal="center" vertical="center" shrinkToFit="1"/>
    </xf>
    <xf numFmtId="198" fontId="114" fillId="17" borderId="0" xfId="25" applyNumberFormat="1" applyFont="1" applyFill="1" applyAlignment="1">
      <alignment horizontal="center" vertical="center" shrinkToFit="1"/>
    </xf>
    <xf numFmtId="0" fontId="114" fillId="17" borderId="35" xfId="25" applyFont="1" applyFill="1" applyBorder="1" applyAlignment="1">
      <alignment vertical="center" shrinkToFit="1"/>
    </xf>
    <xf numFmtId="0" fontId="114" fillId="0" borderId="33" xfId="25" applyFont="1" applyBorder="1" applyAlignment="1">
      <alignment horizontal="center" vertical="center"/>
    </xf>
    <xf numFmtId="0" fontId="114" fillId="17" borderId="246" xfId="25" applyFont="1" applyFill="1" applyBorder="1" applyAlignment="1">
      <alignment horizontal="center" vertical="center" shrinkToFit="1"/>
    </xf>
    <xf numFmtId="0" fontId="114" fillId="3" borderId="249" xfId="25" applyFont="1" applyFill="1" applyBorder="1" applyAlignment="1">
      <alignment horizontal="center" vertical="center" shrinkToFit="1"/>
    </xf>
    <xf numFmtId="0" fontId="114" fillId="3" borderId="248" xfId="25" applyFont="1" applyFill="1" applyBorder="1" applyAlignment="1">
      <alignment vertical="center" shrinkToFit="1"/>
    </xf>
    <xf numFmtId="0" fontId="114" fillId="18" borderId="250" xfId="25" applyFont="1" applyFill="1" applyBorder="1" applyAlignment="1">
      <alignment vertical="center" shrinkToFit="1"/>
    </xf>
    <xf numFmtId="2" fontId="114" fillId="17" borderId="245" xfId="25" applyNumberFormat="1" applyFont="1" applyFill="1" applyBorder="1" applyAlignment="1">
      <alignment vertical="center" shrinkToFit="1"/>
    </xf>
    <xf numFmtId="2" fontId="114" fillId="17" borderId="246" xfId="25" applyNumberFormat="1" applyFont="1" applyFill="1" applyBorder="1" applyAlignment="1">
      <alignment vertical="center" shrinkToFit="1"/>
    </xf>
    <xf numFmtId="2" fontId="114" fillId="18" borderId="250" xfId="25" applyNumberFormat="1" applyFont="1" applyFill="1" applyBorder="1" applyAlignment="1">
      <alignment vertical="center" shrinkToFit="1"/>
    </xf>
    <xf numFmtId="0" fontId="114" fillId="17" borderId="50" xfId="25" applyFont="1" applyFill="1" applyBorder="1" applyAlignment="1">
      <alignment horizontal="center" vertical="center" shrinkToFit="1"/>
    </xf>
    <xf numFmtId="0" fontId="114" fillId="3" borderId="42" xfId="25" applyFont="1" applyFill="1" applyBorder="1" applyAlignment="1">
      <alignment horizontal="center" vertical="center" shrinkToFit="1"/>
    </xf>
    <xf numFmtId="0" fontId="114" fillId="3" borderId="53" xfId="25" applyFont="1" applyFill="1" applyBorder="1" applyAlignment="1">
      <alignment vertical="center" shrinkToFit="1"/>
    </xf>
    <xf numFmtId="0" fontId="114" fillId="18" borderId="41" xfId="25" applyFont="1" applyFill="1" applyBorder="1" applyAlignment="1">
      <alignment vertical="center" shrinkToFit="1"/>
    </xf>
    <xf numFmtId="2" fontId="114" fillId="17" borderId="41" xfId="25" applyNumberFormat="1" applyFont="1" applyFill="1" applyBorder="1" applyAlignment="1">
      <alignment vertical="center" shrinkToFit="1"/>
    </xf>
    <xf numFmtId="2" fontId="114" fillId="18" borderId="41" xfId="25" applyNumberFormat="1" applyFont="1" applyFill="1" applyBorder="1" applyAlignment="1">
      <alignment vertical="center" shrinkToFit="1"/>
    </xf>
    <xf numFmtId="0" fontId="114" fillId="17" borderId="35" xfId="25" applyFont="1" applyFill="1" applyBorder="1" applyAlignment="1">
      <alignment horizontal="center" vertical="center" shrinkToFit="1"/>
    </xf>
    <xf numFmtId="0" fontId="114" fillId="3" borderId="33" xfId="25" applyFont="1" applyFill="1" applyBorder="1" applyAlignment="1">
      <alignment horizontal="center" vertical="center" shrinkToFit="1"/>
    </xf>
    <xf numFmtId="0" fontId="114" fillId="3" borderId="34" xfId="25" applyFont="1" applyFill="1" applyBorder="1" applyAlignment="1">
      <alignment vertical="center" shrinkToFit="1"/>
    </xf>
    <xf numFmtId="0" fontId="114" fillId="18" borderId="35" xfId="25" applyFont="1" applyFill="1" applyBorder="1" applyAlignment="1">
      <alignment vertical="center" shrinkToFit="1"/>
    </xf>
    <xf numFmtId="2" fontId="114" fillId="17" borderId="35" xfId="25" applyNumberFormat="1" applyFont="1" applyFill="1" applyBorder="1" applyAlignment="1">
      <alignment vertical="center" shrinkToFit="1"/>
    </xf>
    <xf numFmtId="2" fontId="114" fillId="18" borderId="35" xfId="25" applyNumberFormat="1" applyFont="1" applyFill="1" applyBorder="1" applyAlignment="1">
      <alignment vertical="center" shrinkToFit="1"/>
    </xf>
    <xf numFmtId="0" fontId="114" fillId="17" borderId="35" xfId="25" applyFont="1" applyFill="1" applyBorder="1" applyAlignment="1">
      <alignment horizontal="left" vertical="center" shrinkToFit="1"/>
    </xf>
    <xf numFmtId="0" fontId="114" fillId="17" borderId="55" xfId="25" applyFont="1" applyFill="1" applyBorder="1" applyAlignment="1">
      <alignment vertical="center" shrinkToFit="1"/>
    </xf>
    <xf numFmtId="0" fontId="114" fillId="17" borderId="54" xfId="25" applyFont="1" applyFill="1" applyBorder="1" applyAlignment="1">
      <alignment vertical="center" shrinkToFit="1"/>
    </xf>
    <xf numFmtId="0" fontId="114" fillId="0" borderId="38" xfId="25" applyFont="1" applyBorder="1" applyAlignment="1">
      <alignment horizontal="center" vertical="center"/>
    </xf>
    <xf numFmtId="0" fontId="114" fillId="17" borderId="54" xfId="25" applyFont="1" applyFill="1" applyBorder="1" applyAlignment="1">
      <alignment horizontal="center" vertical="center" shrinkToFit="1"/>
    </xf>
    <xf numFmtId="0" fontId="114" fillId="3" borderId="38" xfId="25" applyFont="1" applyFill="1" applyBorder="1" applyAlignment="1">
      <alignment horizontal="center" vertical="center" shrinkToFit="1"/>
    </xf>
    <xf numFmtId="0" fontId="114" fillId="3" borderId="39" xfId="25" applyFont="1" applyFill="1" applyBorder="1" applyAlignment="1">
      <alignment vertical="center" shrinkToFit="1"/>
    </xf>
    <xf numFmtId="0" fontId="114" fillId="18" borderId="54" xfId="25" applyFont="1" applyFill="1" applyBorder="1" applyAlignment="1">
      <alignment vertical="center" shrinkToFit="1"/>
    </xf>
    <xf numFmtId="2" fontId="114" fillId="17" borderId="54" xfId="25" applyNumberFormat="1" applyFont="1" applyFill="1" applyBorder="1" applyAlignment="1">
      <alignment vertical="center" shrinkToFit="1"/>
    </xf>
    <xf numFmtId="2" fontId="114" fillId="18" borderId="54" xfId="25" applyNumberFormat="1" applyFont="1" applyFill="1" applyBorder="1" applyAlignment="1">
      <alignment vertical="center" shrinkToFit="1"/>
    </xf>
    <xf numFmtId="0" fontId="114" fillId="3" borderId="4" xfId="25" applyFont="1" applyFill="1" applyBorder="1" applyAlignment="1">
      <alignment vertical="center" shrinkToFit="1"/>
    </xf>
    <xf numFmtId="0" fontId="114" fillId="3" borderId="4" xfId="25" applyFont="1" applyFill="1" applyBorder="1" applyAlignment="1">
      <alignment horizontal="center" vertical="center" shrinkToFit="1"/>
    </xf>
    <xf numFmtId="0" fontId="63" fillId="3" borderId="4" xfId="25" applyFont="1" applyFill="1" applyBorder="1" applyAlignment="1">
      <alignment horizontal="center" vertical="center" shrinkToFit="1"/>
    </xf>
    <xf numFmtId="0" fontId="23" fillId="3" borderId="4" xfId="25" applyFont="1" applyFill="1" applyBorder="1" applyAlignment="1">
      <alignment horizontal="right" vertical="center" shrinkToFit="1"/>
    </xf>
    <xf numFmtId="0" fontId="114" fillId="5" borderId="40" xfId="25" applyFont="1" applyFill="1" applyBorder="1" applyAlignment="1">
      <alignment vertical="center" shrinkToFit="1"/>
    </xf>
    <xf numFmtId="0" fontId="114" fillId="5" borderId="240" xfId="25" applyFont="1" applyFill="1" applyBorder="1" applyAlignment="1">
      <alignment horizontal="center" vertical="center" shrinkToFit="1"/>
    </xf>
    <xf numFmtId="0" fontId="114" fillId="5" borderId="35" xfId="25" applyFont="1" applyFill="1" applyBorder="1" applyAlignment="1">
      <alignment vertical="center" shrinkToFit="1"/>
    </xf>
    <xf numFmtId="0" fontId="114" fillId="5" borderId="246" xfId="25" applyFont="1" applyFill="1" applyBorder="1" applyAlignment="1">
      <alignment horizontal="center" vertical="center" shrinkToFit="1"/>
    </xf>
    <xf numFmtId="0" fontId="114" fillId="5" borderId="50" xfId="25" applyFont="1" applyFill="1" applyBorder="1" applyAlignment="1">
      <alignment horizontal="center" vertical="center" shrinkToFit="1"/>
    </xf>
    <xf numFmtId="0" fontId="114" fillId="5" borderId="35" xfId="25" applyFont="1" applyFill="1" applyBorder="1" applyAlignment="1">
      <alignment horizontal="center" vertical="center" shrinkToFit="1"/>
    </xf>
    <xf numFmtId="0" fontId="114" fillId="5" borderId="35" xfId="25" applyFont="1" applyFill="1" applyBorder="1" applyAlignment="1">
      <alignment horizontal="left" vertical="center" shrinkToFit="1"/>
    </xf>
    <xf numFmtId="0" fontId="114" fillId="5" borderId="55" xfId="25" applyFont="1" applyFill="1" applyBorder="1" applyAlignment="1">
      <alignment vertical="center" shrinkToFit="1"/>
    </xf>
    <xf numFmtId="0" fontId="114" fillId="5" borderId="54" xfId="25" applyFont="1" applyFill="1" applyBorder="1" applyAlignment="1">
      <alignment vertical="center" shrinkToFit="1"/>
    </xf>
    <xf numFmtId="0" fontId="114" fillId="5" borderId="54" xfId="25" applyFont="1" applyFill="1" applyBorder="1" applyAlignment="1">
      <alignment horizontal="center" vertical="center" shrinkToFit="1"/>
    </xf>
    <xf numFmtId="0" fontId="99" fillId="10" borderId="0" xfId="19" applyFont="1" applyFill="1" applyAlignment="1">
      <alignment horizontal="left" vertical="top"/>
    </xf>
    <xf numFmtId="0" fontId="62" fillId="0" borderId="35" xfId="0" applyFont="1" applyBorder="1" applyAlignment="1">
      <alignment vertical="center" shrinkToFit="1"/>
    </xf>
    <xf numFmtId="0" fontId="7" fillId="0" borderId="35" xfId="0" applyFont="1" applyBorder="1" applyAlignment="1">
      <alignment horizontal="center" vertical="center" shrinkToFit="1"/>
    </xf>
    <xf numFmtId="0" fontId="62" fillId="0" borderId="36" xfId="0" applyFont="1" applyBorder="1" applyAlignment="1">
      <alignment horizontal="center" vertical="center" shrinkToFit="1"/>
    </xf>
    <xf numFmtId="0" fontId="62" fillId="0" borderId="35" xfId="0" applyFont="1" applyBorder="1" applyAlignment="1">
      <alignment horizontal="center" vertical="center" shrinkToFit="1"/>
    </xf>
    <xf numFmtId="0" fontId="7" fillId="0" borderId="32" xfId="0" applyFont="1" applyBorder="1" applyAlignment="1">
      <alignment horizontal="center" vertical="center" shrinkToFit="1"/>
    </xf>
    <xf numFmtId="0" fontId="62" fillId="0" borderId="32" xfId="0" applyFont="1" applyBorder="1" applyAlignment="1">
      <alignment horizontal="center" vertical="center" shrinkToFit="1"/>
    </xf>
    <xf numFmtId="0" fontId="62" fillId="0" borderId="35" xfId="0" applyFont="1" applyBorder="1" applyAlignment="1">
      <alignment vertical="center"/>
    </xf>
    <xf numFmtId="0" fontId="7" fillId="0" borderId="36" xfId="0" applyFont="1" applyBorder="1" applyAlignment="1">
      <alignment vertical="center" shrinkToFit="1"/>
    </xf>
    <xf numFmtId="0" fontId="7" fillId="0" borderId="55" xfId="0" applyFont="1" applyBorder="1" applyAlignment="1">
      <alignment vertical="center" shrinkToFit="1"/>
    </xf>
    <xf numFmtId="0" fontId="62" fillId="0" borderId="36" xfId="0" applyFont="1" applyBorder="1" applyAlignment="1">
      <alignment vertical="center" shrinkToFit="1"/>
    </xf>
    <xf numFmtId="0" fontId="62" fillId="0" borderId="55" xfId="0" applyFont="1" applyBorder="1" applyAlignment="1">
      <alignment vertical="center" shrinkToFit="1"/>
    </xf>
    <xf numFmtId="0" fontId="7" fillId="0" borderId="56" xfId="0" applyFont="1" applyBorder="1" applyAlignment="1">
      <alignment horizontal="center" vertical="center" shrinkToFit="1"/>
    </xf>
    <xf numFmtId="0" fontId="7" fillId="0" borderId="55" xfId="0" applyFont="1" applyBorder="1" applyAlignment="1">
      <alignment horizontal="center" vertical="center" shrinkToFit="1"/>
    </xf>
    <xf numFmtId="0" fontId="62" fillId="0" borderId="35" xfId="0" applyFont="1" applyBorder="1" applyAlignment="1">
      <alignment vertical="center" wrapText="1"/>
    </xf>
    <xf numFmtId="0" fontId="62" fillId="0" borderId="56" xfId="0" applyFont="1" applyBorder="1" applyAlignment="1">
      <alignment horizontal="center" vertical="center" shrinkToFit="1"/>
    </xf>
    <xf numFmtId="0" fontId="62" fillId="0" borderId="55" xfId="0" applyFont="1" applyBorder="1" applyAlignment="1">
      <alignment horizontal="center" vertical="center" shrinkToFit="1"/>
    </xf>
    <xf numFmtId="0" fontId="62" fillId="0" borderId="55" xfId="0" applyFont="1" applyBorder="1" applyAlignment="1">
      <alignment vertical="center" wrapText="1"/>
    </xf>
    <xf numFmtId="0" fontId="7" fillId="0" borderId="35" xfId="0" applyFont="1" applyBorder="1" applyAlignment="1">
      <alignment vertical="center" wrapText="1" shrinkToFit="1"/>
    </xf>
    <xf numFmtId="0" fontId="62" fillId="0" borderId="35" xfId="0" applyFont="1" applyBorder="1" applyAlignment="1">
      <alignment vertical="center" wrapText="1" shrinkToFit="1"/>
    </xf>
    <xf numFmtId="0" fontId="7" fillId="0" borderId="35" xfId="0" applyFont="1" applyBorder="1" applyAlignment="1">
      <alignment horizontal="center" vertical="top" shrinkToFit="1"/>
    </xf>
    <xf numFmtId="0" fontId="7" fillId="0" borderId="36" xfId="0" applyFont="1" applyBorder="1" applyAlignment="1">
      <alignment horizontal="center" vertical="top" shrinkToFit="1"/>
    </xf>
    <xf numFmtId="0" fontId="62" fillId="0" borderId="35" xfId="0" applyFont="1" applyBorder="1" applyAlignment="1">
      <alignment horizontal="center" vertical="top" shrinkToFit="1"/>
    </xf>
    <xf numFmtId="0" fontId="62" fillId="0" borderId="36" xfId="0" applyFont="1" applyBorder="1" applyAlignment="1">
      <alignment horizontal="center" vertical="top" shrinkToFit="1"/>
    </xf>
    <xf numFmtId="0" fontId="7" fillId="0" borderId="40" xfId="0" applyFont="1" applyBorder="1" applyAlignment="1">
      <alignment vertical="center" shrinkToFit="1"/>
    </xf>
    <xf numFmtId="0" fontId="7" fillId="0" borderId="32" xfId="0" applyFont="1" applyBorder="1" applyAlignment="1">
      <alignment vertical="center" shrinkToFit="1"/>
    </xf>
    <xf numFmtId="0" fontId="7" fillId="0" borderId="40" xfId="0" applyFont="1" applyBorder="1" applyAlignment="1">
      <alignment horizontal="center" vertical="center" shrinkToFit="1"/>
    </xf>
    <xf numFmtId="0" fontId="62" fillId="0" borderId="40" xfId="0" applyFont="1" applyBorder="1" applyAlignment="1">
      <alignment vertical="center" shrinkToFit="1"/>
    </xf>
    <xf numFmtId="0" fontId="62" fillId="0" borderId="32" xfId="0" applyFont="1" applyBorder="1" applyAlignment="1">
      <alignment vertical="center" shrinkToFit="1"/>
    </xf>
    <xf numFmtId="0" fontId="62" fillId="0" borderId="40" xfId="0" applyFont="1" applyBorder="1" applyAlignment="1">
      <alignment horizontal="center" vertical="center" shrinkToFit="1"/>
    </xf>
    <xf numFmtId="0" fontId="7" fillId="0" borderId="214" xfId="0" applyFont="1" applyBorder="1" applyAlignment="1">
      <alignment horizontal="center" vertical="center" shrinkToFit="1"/>
    </xf>
    <xf numFmtId="0" fontId="7" fillId="0" borderId="41" xfId="0" applyFont="1" applyBorder="1" applyAlignment="1">
      <alignment horizontal="center" vertical="center" shrinkToFit="1"/>
    </xf>
    <xf numFmtId="0" fontId="7" fillId="0" borderId="50" xfId="0" applyFont="1" applyBorder="1" applyAlignment="1">
      <alignment horizontal="center" vertical="center" shrinkToFit="1"/>
    </xf>
    <xf numFmtId="0" fontId="7" fillId="0" borderId="41" xfId="0" applyFont="1" applyBorder="1" applyAlignment="1">
      <alignment vertical="center" shrinkToFit="1"/>
    </xf>
    <xf numFmtId="0" fontId="7" fillId="0" borderId="50" xfId="0" applyFont="1" applyBorder="1" applyAlignment="1">
      <alignment vertical="center" shrinkToFit="1"/>
    </xf>
    <xf numFmtId="0" fontId="15" fillId="0" borderId="35" xfId="0" applyFont="1" applyBorder="1" applyAlignment="1">
      <alignment vertical="center" wrapText="1" shrinkToFit="1"/>
    </xf>
    <xf numFmtId="0" fontId="7" fillId="0" borderId="28" xfId="0" applyFont="1" applyBorder="1" applyAlignment="1">
      <alignment vertical="center" shrinkToFit="1"/>
    </xf>
    <xf numFmtId="0" fontId="7" fillId="0" borderId="16" xfId="0" applyFont="1" applyBorder="1" applyAlignment="1">
      <alignment vertical="center" shrinkToFit="1"/>
    </xf>
    <xf numFmtId="0" fontId="7" fillId="0" borderId="16" xfId="0" applyFont="1" applyBorder="1" applyAlignment="1">
      <alignment horizontal="center" vertical="center" shrinkToFit="1"/>
    </xf>
    <xf numFmtId="0" fontId="7" fillId="0" borderId="28" xfId="0" applyFont="1" applyBorder="1" applyAlignment="1">
      <alignment horizontal="center" vertical="center" shrinkToFit="1"/>
    </xf>
    <xf numFmtId="0" fontId="62" fillId="0" borderId="214" xfId="0" applyFont="1" applyBorder="1" applyAlignment="1">
      <alignment horizontal="center" vertical="center" shrinkToFit="1"/>
    </xf>
    <xf numFmtId="0" fontId="62" fillId="0" borderId="41" xfId="0" applyFont="1" applyBorder="1" applyAlignment="1">
      <alignment horizontal="center" vertical="center" shrinkToFit="1"/>
    </xf>
    <xf numFmtId="0" fontId="62" fillId="0" borderId="50" xfId="0" applyFont="1" applyBorder="1" applyAlignment="1">
      <alignment horizontal="center" vertical="center" shrinkToFit="1"/>
    </xf>
    <xf numFmtId="0" fontId="62" fillId="0" borderId="50" xfId="0" applyFont="1" applyBorder="1" applyAlignment="1">
      <alignment vertical="center" wrapText="1"/>
    </xf>
    <xf numFmtId="0" fontId="62" fillId="0" borderId="41" xfId="0" applyFont="1" applyBorder="1" applyAlignment="1">
      <alignment vertical="center" shrinkToFit="1"/>
    </xf>
    <xf numFmtId="0" fontId="62" fillId="0" borderId="50" xfId="0" applyFont="1" applyBorder="1" applyAlignment="1">
      <alignment vertical="center" shrinkToFit="1"/>
    </xf>
    <xf numFmtId="0" fontId="62" fillId="0" borderId="41" xfId="0" applyFont="1" applyBorder="1" applyAlignment="1">
      <alignment vertical="center" wrapText="1"/>
    </xf>
    <xf numFmtId="0" fontId="112" fillId="0" borderId="35" xfId="0" applyFont="1" applyBorder="1" applyAlignment="1">
      <alignment vertical="center" wrapText="1" shrinkToFit="1"/>
    </xf>
    <xf numFmtId="0" fontId="62" fillId="0" borderId="28" xfId="0" applyFont="1" applyBorder="1" applyAlignment="1">
      <alignment vertical="center" shrinkToFit="1"/>
    </xf>
    <xf numFmtId="0" fontId="62" fillId="0" borderId="16" xfId="0" applyFont="1" applyBorder="1" applyAlignment="1">
      <alignment vertical="center" shrinkToFit="1"/>
    </xf>
    <xf numFmtId="0" fontId="62" fillId="0" borderId="16" xfId="0" applyFont="1" applyBorder="1" applyAlignment="1">
      <alignment horizontal="center" vertical="center" shrinkToFit="1"/>
    </xf>
    <xf numFmtId="0" fontId="62" fillId="0" borderId="28" xfId="0" applyFont="1" applyBorder="1" applyAlignment="1">
      <alignment horizontal="center" vertical="center" shrinkToFit="1"/>
    </xf>
    <xf numFmtId="0" fontId="62" fillId="0" borderId="54" xfId="0" applyFont="1" applyBorder="1" applyAlignment="1">
      <alignment vertical="center" wrapText="1"/>
    </xf>
    <xf numFmtId="0" fontId="57" fillId="0" borderId="0" xfId="0" applyFont="1" applyAlignment="1">
      <alignment vertical="center"/>
    </xf>
    <xf numFmtId="0" fontId="7" fillId="8" borderId="25" xfId="0" applyFont="1" applyFill="1" applyBorder="1" applyAlignment="1">
      <alignment horizontal="center" vertical="center" shrinkToFit="1"/>
    </xf>
    <xf numFmtId="0" fontId="7" fillId="0" borderId="25"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35" xfId="0" applyFont="1" applyBorder="1" applyAlignment="1">
      <alignment vertical="center"/>
    </xf>
    <xf numFmtId="0" fontId="7" fillId="0" borderId="37" xfId="0" applyFont="1" applyBorder="1" applyAlignment="1">
      <alignment horizontal="center" vertical="center" shrinkToFit="1"/>
    </xf>
    <xf numFmtId="0" fontId="7" fillId="0" borderId="54" xfId="0" applyFont="1" applyBorder="1" applyAlignment="1">
      <alignment horizontal="center" vertical="center" shrinkToFit="1"/>
    </xf>
    <xf numFmtId="0" fontId="7" fillId="0" borderId="56" xfId="0" applyFont="1" applyBorder="1" applyAlignment="1">
      <alignment vertical="center" shrinkToFit="1"/>
    </xf>
    <xf numFmtId="0" fontId="128" fillId="0" borderId="0" xfId="0" applyFont="1" applyAlignment="1">
      <alignment vertical="center"/>
    </xf>
    <xf numFmtId="0" fontId="84" fillId="0" borderId="116" xfId="0" applyFont="1" applyBorder="1" applyAlignment="1">
      <alignment horizontal="center" vertical="center"/>
    </xf>
    <xf numFmtId="0" fontId="84" fillId="0" borderId="9" xfId="0" applyFont="1" applyBorder="1" applyAlignment="1">
      <alignment horizontal="center" vertical="center"/>
    </xf>
    <xf numFmtId="0" fontId="84" fillId="0" borderId="4" xfId="0" applyFont="1" applyBorder="1" applyAlignment="1">
      <alignment vertical="center"/>
    </xf>
    <xf numFmtId="0" fontId="84" fillId="0" borderId="4" xfId="0" applyFont="1" applyBorder="1" applyAlignment="1">
      <alignment vertical="center" wrapText="1"/>
    </xf>
    <xf numFmtId="0" fontId="84" fillId="0" borderId="1" xfId="0" applyFont="1" applyBorder="1" applyAlignment="1">
      <alignment vertical="center" wrapText="1"/>
    </xf>
    <xf numFmtId="0" fontId="84" fillId="0" borderId="0" xfId="0" applyFont="1" applyAlignment="1">
      <alignment vertical="center"/>
    </xf>
    <xf numFmtId="0" fontId="84" fillId="0" borderId="0" xfId="0" applyFont="1" applyAlignment="1">
      <alignment vertical="center" wrapText="1"/>
    </xf>
    <xf numFmtId="0" fontId="84" fillId="0" borderId="27" xfId="0" applyFont="1" applyBorder="1" applyAlignment="1">
      <alignment vertical="center" wrapText="1"/>
    </xf>
    <xf numFmtId="0" fontId="84" fillId="0" borderId="3" xfId="0" applyFont="1" applyBorder="1" applyAlignment="1">
      <alignment vertical="center"/>
    </xf>
    <xf numFmtId="0" fontId="84" fillId="0" borderId="25" xfId="0" applyFont="1" applyBorder="1" applyAlignment="1">
      <alignment vertical="center" shrinkToFit="1"/>
    </xf>
    <xf numFmtId="0" fontId="84" fillId="0" borderId="3" xfId="0" applyFont="1" applyBorder="1" applyAlignment="1">
      <alignment horizontal="left" vertical="center" shrinkToFit="1"/>
    </xf>
    <xf numFmtId="0" fontId="84" fillId="0" borderId="3" xfId="0" applyFont="1" applyBorder="1" applyAlignment="1">
      <alignment horizontal="left" vertical="center" wrapText="1"/>
    </xf>
    <xf numFmtId="0" fontId="84" fillId="0" borderId="128" xfId="0" applyFont="1" applyBorder="1" applyAlignment="1">
      <alignment vertical="center"/>
    </xf>
    <xf numFmtId="0" fontId="75" fillId="0" borderId="128" xfId="0" applyFont="1" applyBorder="1" applyAlignment="1">
      <alignment vertical="center"/>
    </xf>
    <xf numFmtId="0" fontId="84" fillId="0" borderId="128" xfId="0" applyFont="1" applyBorder="1" applyAlignment="1">
      <alignment horizontal="left" vertical="center" wrapText="1"/>
    </xf>
    <xf numFmtId="0" fontId="75" fillId="0" borderId="128" xfId="0" applyFont="1" applyBorder="1" applyAlignment="1">
      <alignment horizontal="center" vertical="center"/>
    </xf>
    <xf numFmtId="0" fontId="75" fillId="0" borderId="128" xfId="0" applyFont="1" applyBorder="1" applyAlignment="1">
      <alignment horizontal="left" vertical="center"/>
    </xf>
    <xf numFmtId="0" fontId="75" fillId="0" borderId="129" xfId="0" applyFont="1" applyBorder="1" applyAlignment="1">
      <alignment vertical="center"/>
    </xf>
    <xf numFmtId="0" fontId="84" fillId="0" borderId="1" xfId="0" applyFont="1" applyBorder="1" applyAlignment="1">
      <alignment vertical="top"/>
    </xf>
    <xf numFmtId="0" fontId="84" fillId="0" borderId="29" xfId="0" applyFont="1" applyBorder="1" applyAlignment="1">
      <alignment vertical="center" shrinkToFit="1"/>
    </xf>
    <xf numFmtId="0" fontId="84" fillId="0" borderId="17" xfId="0" applyFont="1" applyBorder="1" applyAlignment="1">
      <alignment horizontal="left" vertical="center" shrinkToFit="1"/>
    </xf>
    <xf numFmtId="0" fontId="84" fillId="0" borderId="17" xfId="0" applyFont="1" applyBorder="1" applyAlignment="1">
      <alignment horizontal="left" vertical="center" wrapText="1"/>
    </xf>
    <xf numFmtId="0" fontId="84" fillId="0" borderId="120" xfId="0" applyFont="1" applyBorder="1" applyAlignment="1">
      <alignment vertical="center"/>
    </xf>
    <xf numFmtId="0" fontId="84" fillId="0" borderId="121" xfId="0" applyFont="1" applyBorder="1" applyAlignment="1">
      <alignment horizontal="left" vertical="center"/>
    </xf>
    <xf numFmtId="0" fontId="84" fillId="0" borderId="0" xfId="0" applyFont="1" applyAlignment="1">
      <alignment vertical="top"/>
    </xf>
    <xf numFmtId="0" fontId="84" fillId="0" borderId="27" xfId="0" applyFont="1" applyBorder="1" applyAlignment="1">
      <alignment vertical="top"/>
    </xf>
    <xf numFmtId="0" fontId="84" fillId="0" borderId="27" xfId="0" applyFont="1" applyBorder="1" applyAlignment="1">
      <alignment horizontal="left" vertical="center"/>
    </xf>
    <xf numFmtId="0" fontId="84" fillId="0" borderId="17" xfId="0" applyFont="1" applyBorder="1" applyAlignment="1">
      <alignment vertical="top"/>
    </xf>
    <xf numFmtId="0" fontId="84" fillId="0" borderId="135" xfId="0" applyFont="1" applyBorder="1" applyAlignment="1">
      <alignment vertical="center"/>
    </xf>
    <xf numFmtId="0" fontId="84" fillId="0" borderId="136" xfId="0" applyFont="1" applyBorder="1" applyAlignment="1">
      <alignment horizontal="left" vertical="center"/>
    </xf>
    <xf numFmtId="0" fontId="84" fillId="0" borderId="139" xfId="0" applyFont="1" applyBorder="1" applyAlignment="1">
      <alignment vertical="center"/>
    </xf>
    <xf numFmtId="0" fontId="75" fillId="0" borderId="139" xfId="0" applyFont="1" applyBorder="1" applyAlignment="1">
      <alignment vertical="center"/>
    </xf>
    <xf numFmtId="0" fontId="84" fillId="0" borderId="139" xfId="0" applyFont="1" applyBorder="1" applyAlignment="1">
      <alignment horizontal="left" vertical="center" wrapText="1"/>
    </xf>
    <xf numFmtId="0" fontId="75" fillId="0" borderId="139" xfId="0" applyFont="1" applyBorder="1" applyAlignment="1">
      <alignment horizontal="center" vertical="center"/>
    </xf>
    <xf numFmtId="0" fontId="75" fillId="0" borderId="140" xfId="0" applyFont="1" applyBorder="1" applyAlignment="1">
      <alignment vertical="center"/>
    </xf>
    <xf numFmtId="0" fontId="84" fillId="0" borderId="29" xfId="0" applyFont="1" applyBorder="1" applyAlignment="1">
      <alignment vertical="center"/>
    </xf>
    <xf numFmtId="0" fontId="84" fillId="0" borderId="17" xfId="0" applyFont="1" applyBorder="1" applyAlignment="1">
      <alignment horizontal="left" vertical="center"/>
    </xf>
    <xf numFmtId="0" fontId="84" fillId="0" borderId="27" xfId="0" applyFont="1" applyBorder="1" applyAlignment="1">
      <alignment vertical="center"/>
    </xf>
    <xf numFmtId="0" fontId="84" fillId="0" borderId="138" xfId="0" applyFont="1" applyBorder="1" applyAlignment="1">
      <alignment vertical="center"/>
    </xf>
    <xf numFmtId="0" fontId="75" fillId="0" borderId="139" xfId="0" applyFont="1" applyBorder="1" applyAlignment="1">
      <alignment horizontal="left" vertical="center"/>
    </xf>
    <xf numFmtId="0" fontId="75" fillId="0" borderId="140" xfId="0" applyFont="1" applyBorder="1" applyAlignment="1">
      <alignment horizontal="left" vertical="center"/>
    </xf>
    <xf numFmtId="0" fontId="75" fillId="0" borderId="135" xfId="0" applyFont="1" applyBorder="1" applyAlignment="1">
      <alignment vertical="center"/>
    </xf>
    <xf numFmtId="0" fontId="84" fillId="0" borderId="140" xfId="0" applyFont="1" applyBorder="1" applyAlignment="1">
      <alignment vertical="center"/>
    </xf>
    <xf numFmtId="0" fontId="84" fillId="0" borderId="137" xfId="0" applyFont="1" applyBorder="1" applyAlignment="1">
      <alignment horizontal="left" vertical="center" shrinkToFit="1"/>
    </xf>
    <xf numFmtId="0" fontId="84" fillId="0" borderId="137" xfId="0" applyFont="1" applyBorder="1" applyAlignment="1">
      <alignment vertical="center" wrapText="1"/>
    </xf>
    <xf numFmtId="0" fontId="84" fillId="0" borderId="131" xfId="0" applyFont="1" applyBorder="1" applyAlignment="1">
      <alignment vertical="center"/>
    </xf>
    <xf numFmtId="0" fontId="75" fillId="0" borderId="120" xfId="0" applyFont="1" applyBorder="1" applyAlignment="1">
      <alignment horizontal="left" vertical="center"/>
    </xf>
    <xf numFmtId="0" fontId="75" fillId="0" borderId="121" xfId="0" applyFont="1" applyBorder="1" applyAlignment="1">
      <alignment horizontal="left" vertical="center"/>
    </xf>
    <xf numFmtId="0" fontId="84" fillId="0" borderId="15" xfId="0" applyFont="1" applyBorder="1" applyAlignment="1">
      <alignment horizontal="center" vertical="center"/>
    </xf>
    <xf numFmtId="0" fontId="84" fillId="0" borderId="15" xfId="0" applyFont="1" applyBorder="1" applyAlignment="1">
      <alignment vertical="center" wrapText="1"/>
    </xf>
    <xf numFmtId="0" fontId="84" fillId="0" borderId="16" xfId="0" applyFont="1" applyBorder="1" applyAlignment="1">
      <alignment horizontal="left" vertical="center" wrapText="1"/>
    </xf>
    <xf numFmtId="0" fontId="84" fillId="0" borderId="141" xfId="0" applyFont="1" applyBorder="1" applyAlignment="1">
      <alignment horizontal="left" vertical="center"/>
    </xf>
    <xf numFmtId="0" fontId="84" fillId="0" borderId="13" xfId="0" applyFont="1" applyBorder="1" applyAlignment="1">
      <alignment vertical="center"/>
    </xf>
    <xf numFmtId="0" fontId="84" fillId="0" borderId="14" xfId="0" applyFont="1" applyBorder="1" applyAlignment="1">
      <alignment vertical="center"/>
    </xf>
    <xf numFmtId="0" fontId="84" fillId="0" borderId="16" xfId="0" applyFont="1" applyBorder="1" applyAlignment="1">
      <alignment vertical="top"/>
    </xf>
    <xf numFmtId="0" fontId="84" fillId="0" borderId="5" xfId="0" applyFont="1" applyBorder="1" applyAlignment="1">
      <alignment vertical="top"/>
    </xf>
    <xf numFmtId="0" fontId="84" fillId="0" borderId="15" xfId="0" applyFont="1" applyBorder="1" applyAlignment="1">
      <alignment vertical="top"/>
    </xf>
    <xf numFmtId="0" fontId="75" fillId="0" borderId="129" xfId="0" applyFont="1" applyBorder="1" applyAlignment="1">
      <alignment horizontal="left" vertical="center"/>
    </xf>
    <xf numFmtId="0" fontId="84" fillId="0" borderId="139" xfId="0" applyFont="1" applyBorder="1" applyAlignment="1">
      <alignment horizontal="left" vertical="center"/>
    </xf>
    <xf numFmtId="0" fontId="84" fillId="0" borderId="140" xfId="0" applyFont="1" applyBorder="1" applyAlignment="1">
      <alignment horizontal="left" vertical="center"/>
    </xf>
    <xf numFmtId="0" fontId="75" fillId="0" borderId="120" xfId="0" applyFont="1" applyBorder="1" applyAlignment="1">
      <alignment vertical="center"/>
    </xf>
    <xf numFmtId="0" fontId="84" fillId="0" borderId="120" xfId="0" applyFont="1" applyBorder="1" applyAlignment="1">
      <alignment horizontal="left" vertical="center" wrapText="1"/>
    </xf>
    <xf numFmtId="0" fontId="75" fillId="0" borderId="135" xfId="0" applyFont="1" applyBorder="1" applyAlignment="1">
      <alignment horizontal="left" vertical="center"/>
    </xf>
    <xf numFmtId="0" fontId="84" fillId="0" borderId="121" xfId="0" applyFont="1" applyBorder="1" applyAlignment="1">
      <alignment vertical="center"/>
    </xf>
    <xf numFmtId="0" fontId="84" fillId="0" borderId="136" xfId="0" applyFont="1" applyBorder="1" applyAlignment="1">
      <alignment vertical="center"/>
    </xf>
    <xf numFmtId="0" fontId="84" fillId="0" borderId="25" xfId="0" applyFont="1" applyBorder="1" applyAlignment="1">
      <alignment vertical="center"/>
    </xf>
    <xf numFmtId="0" fontId="84" fillId="0" borderId="4" xfId="0" applyFont="1" applyBorder="1" applyAlignment="1">
      <alignment horizontal="left" vertical="center"/>
    </xf>
    <xf numFmtId="0" fontId="84" fillId="0" borderId="3" xfId="0" applyFont="1" applyBorder="1" applyAlignment="1">
      <alignment horizontal="left" vertical="center"/>
    </xf>
    <xf numFmtId="0" fontId="84" fillId="0" borderId="1" xfId="0" applyFont="1" applyBorder="1" applyAlignment="1">
      <alignment horizontal="left" vertical="center"/>
    </xf>
    <xf numFmtId="0" fontId="84" fillId="0" borderId="4" xfId="0" applyFont="1" applyBorder="1" applyAlignment="1">
      <alignment horizontal="left" vertical="center" wrapText="1"/>
    </xf>
    <xf numFmtId="0" fontId="84" fillId="0" borderId="144" xfId="0" applyFont="1" applyBorder="1" applyAlignment="1">
      <alignment horizontal="left" vertical="center" wrapText="1"/>
    </xf>
    <xf numFmtId="0" fontId="84" fillId="0" borderId="146" xfId="0" applyFont="1" applyBorder="1" applyAlignment="1">
      <alignment vertical="center"/>
    </xf>
    <xf numFmtId="0" fontId="84" fillId="0" borderId="146" xfId="0" applyFont="1" applyBorder="1" applyAlignment="1">
      <alignment horizontal="left" vertical="center" wrapText="1"/>
    </xf>
    <xf numFmtId="0" fontId="75" fillId="0" borderId="146" xfId="0" applyFont="1" applyBorder="1" applyAlignment="1">
      <alignment horizontal="center" vertical="center"/>
    </xf>
    <xf numFmtId="0" fontId="84" fillId="0" borderId="146" xfId="0" applyFont="1" applyBorder="1" applyAlignment="1">
      <alignment horizontal="left" vertical="center"/>
    </xf>
    <xf numFmtId="0" fontId="84" fillId="0" borderId="147" xfId="0" applyFont="1" applyBorder="1" applyAlignment="1">
      <alignment horizontal="left" vertical="center"/>
    </xf>
    <xf numFmtId="0" fontId="84" fillId="0" borderId="0" xfId="0" applyFont="1" applyAlignment="1">
      <alignment horizontal="left" vertical="center" wrapText="1"/>
    </xf>
    <xf numFmtId="0" fontId="84" fillId="0" borderId="148" xfId="0" applyFont="1" applyBorder="1" applyAlignment="1">
      <alignment vertical="center"/>
    </xf>
    <xf numFmtId="0" fontId="84" fillId="0" borderId="28" xfId="0" applyFont="1" applyBorder="1" applyAlignment="1">
      <alignment vertical="center"/>
    </xf>
    <xf numFmtId="0" fontId="84" fillId="0" borderId="5" xfId="0" applyFont="1" applyBorder="1" applyAlignment="1">
      <alignment horizontal="left" vertical="center"/>
    </xf>
    <xf numFmtId="0" fontId="84" fillId="0" borderId="16" xfId="0" applyFont="1" applyBorder="1" applyAlignment="1">
      <alignment horizontal="left" vertical="center"/>
    </xf>
    <xf numFmtId="0" fontId="84" fillId="0" borderId="15" xfId="0" applyFont="1" applyBorder="1" applyAlignment="1">
      <alignment horizontal="left" vertical="center"/>
    </xf>
    <xf numFmtId="0" fontId="84" fillId="0" borderId="25" xfId="0" applyFont="1" applyBorder="1" applyAlignment="1">
      <alignment vertical="center" wrapText="1"/>
    </xf>
    <xf numFmtId="0" fontId="84" fillId="0" borderId="1" xfId="0" applyFont="1" applyBorder="1" applyAlignment="1">
      <alignment vertical="center"/>
    </xf>
    <xf numFmtId="14" fontId="84" fillId="0" borderId="0" xfId="0" applyNumberFormat="1" applyFont="1" applyAlignment="1">
      <alignment horizontal="left" vertical="center"/>
    </xf>
    <xf numFmtId="0" fontId="84" fillId="0" borderId="29" xfId="0" applyFont="1" applyBorder="1" applyAlignment="1">
      <alignment vertical="center" wrapText="1"/>
    </xf>
    <xf numFmtId="0" fontId="84" fillId="0" borderId="134" xfId="0" applyFont="1" applyBorder="1" applyAlignment="1">
      <alignment vertical="center"/>
    </xf>
    <xf numFmtId="0" fontId="84" fillId="0" borderId="135" xfId="0" applyFont="1" applyBorder="1" applyAlignment="1">
      <alignment horizontal="left" vertical="center" wrapText="1"/>
    </xf>
    <xf numFmtId="0" fontId="75" fillId="0" borderId="136" xfId="0" applyFont="1" applyBorder="1" applyAlignment="1">
      <alignment horizontal="left" vertical="center"/>
    </xf>
    <xf numFmtId="0" fontId="129" fillId="0" borderId="120" xfId="0" applyFont="1" applyBorder="1" applyAlignment="1">
      <alignment horizontal="left" vertical="center"/>
    </xf>
    <xf numFmtId="0" fontId="129" fillId="0" borderId="121" xfId="0" applyFont="1" applyBorder="1" applyAlignment="1">
      <alignment horizontal="left" vertical="center"/>
    </xf>
    <xf numFmtId="0" fontId="84" fillId="0" borderId="28" xfId="0" applyFont="1" applyBorder="1" applyAlignment="1">
      <alignment vertical="center" wrapText="1"/>
    </xf>
    <xf numFmtId="0" fontId="84" fillId="0" borderId="5" xfId="0" applyFont="1" applyBorder="1" applyAlignment="1">
      <alignment horizontal="left" vertical="center" wrapText="1"/>
    </xf>
    <xf numFmtId="0" fontId="84" fillId="0" borderId="15" xfId="0" applyFont="1" applyBorder="1" applyAlignment="1">
      <alignment vertical="center"/>
    </xf>
    <xf numFmtId="0" fontId="84" fillId="0" borderId="127" xfId="0" applyFont="1" applyBorder="1" applyAlignment="1">
      <alignment horizontal="left" vertical="center"/>
    </xf>
    <xf numFmtId="0" fontId="84" fillId="0" borderId="138" xfId="0" applyFont="1" applyBorder="1" applyAlignment="1">
      <alignment horizontal="left" vertical="center"/>
    </xf>
    <xf numFmtId="0" fontId="84" fillId="0" borderId="138" xfId="0" applyFont="1" applyBorder="1" applyAlignment="1">
      <alignment vertical="center" wrapText="1"/>
    </xf>
    <xf numFmtId="0" fontId="84" fillId="0" borderId="128" xfId="0" applyFont="1" applyBorder="1" applyAlignment="1">
      <alignment horizontal="left" vertical="center"/>
    </xf>
    <xf numFmtId="0" fontId="75" fillId="0" borderId="5" xfId="0" applyFont="1" applyBorder="1" applyAlignment="1">
      <alignment horizontal="center" vertical="center"/>
    </xf>
    <xf numFmtId="0" fontId="84" fillId="0" borderId="127" xfId="0" applyFont="1" applyBorder="1" applyAlignment="1">
      <alignment vertical="center"/>
    </xf>
    <xf numFmtId="0" fontId="75" fillId="0" borderId="121" xfId="0" applyFont="1" applyBorder="1" applyAlignment="1">
      <alignment vertical="center"/>
    </xf>
    <xf numFmtId="0" fontId="84" fillId="0" borderId="141" xfId="0" applyFont="1" applyBorder="1" applyAlignment="1">
      <alignment horizontal="left" vertical="center" wrapText="1"/>
    </xf>
    <xf numFmtId="0" fontId="75" fillId="0" borderId="13" xfId="0" applyFont="1" applyBorder="1" applyAlignment="1">
      <alignment horizontal="left" vertical="center"/>
    </xf>
    <xf numFmtId="0" fontId="75" fillId="0" borderId="14" xfId="0" applyFont="1" applyBorder="1" applyAlignment="1">
      <alignment horizontal="left" vertical="center"/>
    </xf>
    <xf numFmtId="0" fontId="84" fillId="0" borderId="126" xfId="0" applyFont="1" applyBorder="1" applyAlignment="1">
      <alignment vertical="center"/>
    </xf>
    <xf numFmtId="0" fontId="75" fillId="0" borderId="13" xfId="0" applyFont="1" applyBorder="1" applyAlignment="1">
      <alignment vertical="center"/>
    </xf>
    <xf numFmtId="0" fontId="21" fillId="3" borderId="17" xfId="0" applyFont="1" applyFill="1" applyBorder="1" applyAlignment="1">
      <alignment vertical="center" shrinkToFit="1"/>
    </xf>
    <xf numFmtId="0" fontId="21" fillId="3" borderId="0" xfId="0" applyFont="1" applyFill="1" applyAlignment="1">
      <alignment vertical="center" shrinkToFit="1"/>
    </xf>
    <xf numFmtId="0" fontId="7" fillId="3" borderId="0" xfId="0" applyFont="1" applyFill="1" applyAlignment="1">
      <alignment vertical="top"/>
    </xf>
    <xf numFmtId="0" fontId="7" fillId="3" borderId="0" xfId="0" applyFont="1" applyFill="1" applyAlignment="1">
      <alignment vertical="center"/>
    </xf>
    <xf numFmtId="0" fontId="65" fillId="4" borderId="55" xfId="0" applyFont="1" applyFill="1" applyBorder="1" applyAlignment="1">
      <alignment horizontal="center" vertical="center" shrinkToFit="1"/>
    </xf>
    <xf numFmtId="0" fontId="21" fillId="4" borderId="55" xfId="0" applyFont="1" applyFill="1" applyBorder="1" applyAlignment="1">
      <alignment vertical="center" shrinkToFit="1"/>
    </xf>
    <xf numFmtId="0" fontId="62" fillId="10" borderId="35" xfId="0" applyFont="1" applyFill="1" applyBorder="1" applyAlignment="1">
      <alignment vertical="center" shrinkToFit="1"/>
    </xf>
    <xf numFmtId="0" fontId="7" fillId="10" borderId="36" xfId="0" applyFont="1" applyFill="1" applyBorder="1" applyAlignment="1">
      <alignment vertical="center" shrinkToFit="1"/>
    </xf>
    <xf numFmtId="0" fontId="62" fillId="10" borderId="36" xfId="0" applyFont="1" applyFill="1" applyBorder="1" applyAlignment="1">
      <alignment horizontal="center" vertical="center" shrinkToFit="1"/>
    </xf>
    <xf numFmtId="0" fontId="62" fillId="10" borderId="35" xfId="0" applyFont="1" applyFill="1" applyBorder="1" applyAlignment="1">
      <alignment horizontal="center" vertical="center" shrinkToFit="1"/>
    </xf>
    <xf numFmtId="0" fontId="7" fillId="10" borderId="36" xfId="0" applyFont="1" applyFill="1" applyBorder="1" applyAlignment="1">
      <alignment horizontal="center" vertical="center" shrinkToFit="1"/>
    </xf>
    <xf numFmtId="0" fontId="7" fillId="10" borderId="35" xfId="0" applyFont="1" applyFill="1" applyBorder="1" applyAlignment="1">
      <alignment horizontal="center" vertical="center" shrinkToFit="1"/>
    </xf>
    <xf numFmtId="0" fontId="7" fillId="10" borderId="35" xfId="0" applyFont="1" applyFill="1" applyBorder="1" applyAlignment="1">
      <alignment vertical="center" wrapText="1"/>
    </xf>
    <xf numFmtId="0" fontId="62" fillId="10" borderId="36" xfId="0" applyFont="1" applyFill="1" applyBorder="1" applyAlignment="1">
      <alignment vertical="center" shrinkToFit="1"/>
    </xf>
    <xf numFmtId="0" fontId="7" fillId="10" borderId="35" xfId="0" applyFont="1" applyFill="1" applyBorder="1" applyAlignment="1">
      <alignment vertical="center" shrinkToFit="1"/>
    </xf>
    <xf numFmtId="0" fontId="21" fillId="4" borderId="41" xfId="0" applyFont="1" applyFill="1" applyBorder="1" applyAlignment="1">
      <alignment horizontal="center" vertical="center" shrinkToFit="1"/>
    </xf>
    <xf numFmtId="0" fontId="7" fillId="0" borderId="29" xfId="0" applyFont="1" applyBorder="1" applyAlignment="1">
      <alignment vertical="center" wrapText="1"/>
    </xf>
    <xf numFmtId="0" fontId="7" fillId="0" borderId="55" xfId="0" applyFont="1" applyBorder="1" applyAlignment="1">
      <alignment vertical="center" wrapText="1"/>
    </xf>
    <xf numFmtId="0" fontId="131" fillId="0" borderId="29" xfId="26" applyFont="1" applyFill="1" applyBorder="1" applyAlignment="1">
      <alignment vertical="center" wrapText="1"/>
    </xf>
    <xf numFmtId="0" fontId="37" fillId="0" borderId="29" xfId="26" applyFont="1" applyFill="1" applyBorder="1" applyAlignment="1">
      <alignment vertical="center" wrapText="1"/>
    </xf>
    <xf numFmtId="0" fontId="131" fillId="0" borderId="41" xfId="26" applyFont="1" applyFill="1" applyBorder="1" applyAlignment="1">
      <alignment vertical="center" wrapText="1"/>
    </xf>
    <xf numFmtId="0" fontId="7" fillId="0" borderId="36" xfId="0" applyFont="1" applyFill="1" applyBorder="1" applyAlignment="1">
      <alignment horizontal="center" vertical="center" shrinkToFit="1"/>
    </xf>
    <xf numFmtId="0" fontId="21" fillId="3" borderId="55" xfId="0" applyFont="1" applyFill="1" applyBorder="1" applyAlignment="1">
      <alignment horizontal="center" vertical="center" shrinkToFit="1"/>
    </xf>
    <xf numFmtId="0" fontId="128" fillId="0" borderId="0" xfId="0" applyFont="1" applyAlignment="1">
      <alignment horizontal="center" vertical="center"/>
    </xf>
    <xf numFmtId="0" fontId="84" fillId="0" borderId="8" xfId="0" applyFont="1" applyBorder="1" applyAlignment="1">
      <alignment horizontal="center" vertical="center"/>
    </xf>
    <xf numFmtId="0" fontId="84" fillId="0" borderId="133" xfId="0" applyFont="1" applyBorder="1" applyAlignment="1">
      <alignment horizontal="left" vertical="center"/>
    </xf>
    <xf numFmtId="0" fontId="84" fillId="0" borderId="131" xfId="0" applyFont="1" applyBorder="1" applyAlignment="1">
      <alignment horizontal="left" vertical="center" wrapText="1"/>
    </xf>
    <xf numFmtId="0" fontId="84" fillId="0" borderId="133" xfId="0" applyFont="1" applyBorder="1" applyAlignment="1">
      <alignment horizontal="left" vertical="center" wrapText="1"/>
    </xf>
    <xf numFmtId="0" fontId="84" fillId="0" borderId="120" xfId="0" applyFont="1" applyBorder="1" applyAlignment="1">
      <alignment horizontal="left" vertical="center"/>
    </xf>
    <xf numFmtId="0" fontId="84" fillId="0" borderId="135" xfId="0" applyFont="1" applyBorder="1" applyAlignment="1">
      <alignment horizontal="left" vertical="center"/>
    </xf>
    <xf numFmtId="0" fontId="84" fillId="0" borderId="3" xfId="0" applyFont="1" applyBorder="1" applyAlignment="1">
      <alignment horizontal="center" vertical="center"/>
    </xf>
    <xf numFmtId="0" fontId="84" fillId="0" borderId="1" xfId="0" applyFont="1" applyBorder="1" applyAlignment="1">
      <alignment horizontal="center" vertical="center"/>
    </xf>
    <xf numFmtId="0" fontId="84" fillId="0" borderId="0" xfId="0" applyFont="1" applyAlignment="1">
      <alignment horizontal="center" vertical="center"/>
    </xf>
    <xf numFmtId="0" fontId="84" fillId="0" borderId="27" xfId="0" applyFont="1" applyBorder="1" applyAlignment="1">
      <alignment horizontal="center" vertical="center"/>
    </xf>
    <xf numFmtId="0" fontId="84" fillId="0" borderId="126" xfId="0" applyFont="1" applyBorder="1" applyAlignment="1">
      <alignment horizontal="left" vertical="center"/>
    </xf>
    <xf numFmtId="0" fontId="84" fillId="0" borderId="137" xfId="0" applyFont="1" applyBorder="1" applyAlignment="1">
      <alignment horizontal="left" vertical="center"/>
    </xf>
    <xf numFmtId="0" fontId="84" fillId="0" borderId="137" xfId="0" applyFont="1" applyBorder="1" applyAlignment="1">
      <alignment horizontal="left" vertical="center" wrapText="1"/>
    </xf>
    <xf numFmtId="0" fontId="75" fillId="0" borderId="17" xfId="0" applyFont="1" applyBorder="1" applyAlignment="1">
      <alignment horizontal="center" vertical="center"/>
    </xf>
    <xf numFmtId="0" fontId="84" fillId="0" borderId="0" xfId="0" applyFont="1" applyAlignment="1">
      <alignment horizontal="left" vertical="center"/>
    </xf>
    <xf numFmtId="0" fontId="75" fillId="0" borderId="0" xfId="0" applyFont="1" applyAlignment="1">
      <alignment horizontal="center" vertical="center"/>
    </xf>
    <xf numFmtId="0" fontId="75" fillId="0" borderId="135" xfId="0" applyFont="1" applyBorder="1" applyAlignment="1">
      <alignment horizontal="center" vertical="center"/>
    </xf>
    <xf numFmtId="0" fontId="6" fillId="0" borderId="17" xfId="0" applyFont="1" applyBorder="1" applyAlignment="1">
      <alignment horizontal="left" vertical="center" wrapText="1"/>
    </xf>
    <xf numFmtId="0" fontId="6" fillId="0" borderId="27" xfId="0" applyFont="1" applyBorder="1" applyAlignment="1">
      <alignment horizontal="center" vertical="center"/>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17" xfId="0" applyFont="1" applyBorder="1" applyAlignment="1">
      <alignment vertical="center" wrapText="1"/>
    </xf>
    <xf numFmtId="0" fontId="6" fillId="0" borderId="27" xfId="0" applyFont="1" applyBorder="1" applyAlignment="1">
      <alignment vertical="center" wrapText="1"/>
    </xf>
    <xf numFmtId="0" fontId="0" fillId="0" borderId="0" xfId="0" applyAlignment="1">
      <alignment horizontal="center" vertical="center"/>
    </xf>
    <xf numFmtId="0" fontId="21" fillId="8" borderId="0" xfId="0" applyFont="1" applyFill="1" applyAlignment="1">
      <alignment vertical="top" wrapText="1"/>
    </xf>
    <xf numFmtId="0" fontId="21" fillId="3" borderId="25" xfId="0" applyFont="1" applyFill="1" applyBorder="1" applyAlignment="1">
      <alignment horizontal="left" vertical="center" wrapText="1" shrinkToFit="1"/>
    </xf>
    <xf numFmtId="0" fontId="21" fillId="3" borderId="29" xfId="0" applyFont="1" applyFill="1" applyBorder="1" applyAlignment="1">
      <alignment horizontal="left" vertical="center" shrinkToFit="1"/>
    </xf>
    <xf numFmtId="0" fontId="21" fillId="3" borderId="28" xfId="0" applyFont="1" applyFill="1" applyBorder="1" applyAlignment="1">
      <alignment horizontal="left" vertical="center" shrinkToFit="1"/>
    </xf>
    <xf numFmtId="0" fontId="21" fillId="4" borderId="3" xfId="0" applyFont="1" applyFill="1" applyBorder="1" applyAlignment="1">
      <alignment vertical="center" wrapText="1"/>
    </xf>
    <xf numFmtId="0" fontId="0" fillId="4" borderId="17" xfId="0" applyFill="1" applyBorder="1" applyAlignment="1">
      <alignment vertical="center" wrapText="1"/>
    </xf>
    <xf numFmtId="0" fontId="0" fillId="4" borderId="50" xfId="0" applyFill="1" applyBorder="1" applyAlignment="1">
      <alignment vertical="center" wrapText="1"/>
    </xf>
    <xf numFmtId="0" fontId="65" fillId="4" borderId="27" xfId="0" applyFont="1" applyFill="1" applyBorder="1" applyAlignment="1">
      <alignment vertical="center" wrapText="1"/>
    </xf>
    <xf numFmtId="0" fontId="21" fillId="4" borderId="25" xfId="0" applyFont="1" applyFill="1" applyBorder="1" applyAlignment="1">
      <alignment vertical="center" wrapText="1"/>
    </xf>
    <xf numFmtId="0" fontId="21" fillId="4" borderId="29" xfId="0" applyFont="1" applyFill="1" applyBorder="1" applyAlignment="1">
      <alignment vertical="center" wrapText="1"/>
    </xf>
    <xf numFmtId="0" fontId="65" fillId="4" borderId="29" xfId="0" applyFont="1" applyFill="1" applyBorder="1" applyAlignment="1">
      <alignment vertical="center" wrapText="1"/>
    </xf>
    <xf numFmtId="0" fontId="65" fillId="4" borderId="28" xfId="0" applyFont="1" applyFill="1" applyBorder="1" applyAlignment="1">
      <alignment vertical="center" wrapText="1"/>
    </xf>
    <xf numFmtId="0" fontId="21" fillId="3" borderId="25" xfId="0" applyFont="1" applyFill="1" applyBorder="1" applyAlignment="1">
      <alignment horizontal="left" vertical="center" shrinkToFit="1"/>
    </xf>
    <xf numFmtId="0" fontId="21" fillId="3" borderId="25" xfId="0" applyFont="1" applyFill="1" applyBorder="1" applyAlignment="1">
      <alignment horizontal="center" vertical="center" wrapText="1" shrinkToFit="1"/>
    </xf>
    <xf numFmtId="0" fontId="21" fillId="3" borderId="29" xfId="0" applyFont="1" applyFill="1" applyBorder="1" applyAlignment="1">
      <alignment horizontal="center" vertical="center" wrapText="1" shrinkToFit="1"/>
    </xf>
    <xf numFmtId="0" fontId="21" fillId="3" borderId="28" xfId="0" applyFont="1" applyFill="1" applyBorder="1" applyAlignment="1">
      <alignment horizontal="center" vertical="center" wrapText="1" shrinkToFit="1"/>
    </xf>
    <xf numFmtId="0" fontId="21" fillId="3" borderId="56" xfId="0" applyFont="1" applyFill="1" applyBorder="1" applyAlignment="1">
      <alignment vertical="center" wrapText="1"/>
    </xf>
    <xf numFmtId="0" fontId="21" fillId="3" borderId="16" xfId="0" applyFont="1" applyFill="1" applyBorder="1" applyAlignment="1">
      <alignment vertical="center" wrapText="1"/>
    </xf>
    <xf numFmtId="0" fontId="21" fillId="4" borderId="55" xfId="0" applyFont="1" applyFill="1" applyBorder="1" applyAlignment="1">
      <alignment vertical="center" wrapText="1"/>
    </xf>
    <xf numFmtId="0" fontId="0" fillId="4" borderId="29" xfId="0" applyFill="1" applyBorder="1" applyAlignment="1">
      <alignment vertical="center" wrapText="1"/>
    </xf>
    <xf numFmtId="0" fontId="0" fillId="4" borderId="28" xfId="0" applyFill="1" applyBorder="1" applyAlignment="1">
      <alignment vertical="center" wrapText="1"/>
    </xf>
    <xf numFmtId="0" fontId="21" fillId="3" borderId="17" xfId="0" applyFont="1" applyFill="1" applyBorder="1" applyAlignment="1">
      <alignment vertical="center" shrinkToFit="1"/>
    </xf>
    <xf numFmtId="0" fontId="21" fillId="3" borderId="0" xfId="0" applyFont="1" applyFill="1" applyAlignment="1">
      <alignment vertical="center" shrinkToFit="1"/>
    </xf>
    <xf numFmtId="0" fontId="82" fillId="9" borderId="0" xfId="0" applyFont="1" applyFill="1" applyAlignment="1">
      <alignment vertical="top"/>
    </xf>
    <xf numFmtId="0" fontId="67" fillId="9" borderId="3" xfId="0" applyFont="1" applyFill="1" applyBorder="1" applyAlignment="1">
      <alignment horizontal="center" vertical="center" shrinkToFit="1"/>
    </xf>
    <xf numFmtId="0" fontId="67" fillId="9" borderId="1" xfId="0" applyFont="1" applyFill="1" applyBorder="1" applyAlignment="1">
      <alignment horizontal="center" vertical="center" shrinkToFit="1"/>
    </xf>
    <xf numFmtId="0" fontId="21" fillId="3" borderId="41" xfId="0" applyFont="1" applyFill="1" applyBorder="1" applyAlignment="1">
      <alignment horizontal="left" vertical="center" shrinkToFit="1"/>
    </xf>
    <xf numFmtId="0" fontId="65" fillId="3" borderId="4" xfId="0" applyFont="1" applyFill="1" applyBorder="1" applyAlignment="1">
      <alignment vertical="center" wrapText="1"/>
    </xf>
    <xf numFmtId="0" fontId="65" fillId="3" borderId="5" xfId="0" applyFont="1" applyFill="1" applyBorder="1" applyAlignment="1">
      <alignment vertical="center" wrapText="1"/>
    </xf>
    <xf numFmtId="0" fontId="65" fillId="4" borderId="55" xfId="0" applyFont="1" applyFill="1" applyBorder="1" applyAlignment="1">
      <alignment horizontal="left" vertical="center" wrapText="1" shrinkToFit="1"/>
    </xf>
    <xf numFmtId="0" fontId="65" fillId="4" borderId="29" xfId="0" applyFont="1" applyFill="1" applyBorder="1" applyAlignment="1">
      <alignment horizontal="left" vertical="center" wrapText="1" shrinkToFit="1"/>
    </xf>
    <xf numFmtId="0" fontId="65" fillId="4" borderId="28" xfId="0" applyFont="1" applyFill="1" applyBorder="1" applyAlignment="1">
      <alignment horizontal="left" vertical="center" wrapText="1" shrinkToFit="1"/>
    </xf>
    <xf numFmtId="0" fontId="7" fillId="3" borderId="0" xfId="0" applyFont="1" applyFill="1" applyAlignment="1">
      <alignment vertical="top" shrinkToFit="1"/>
    </xf>
    <xf numFmtId="0" fontId="7" fillId="3" borderId="0" xfId="0" applyFont="1" applyFill="1" applyAlignment="1">
      <alignment vertical="top"/>
    </xf>
    <xf numFmtId="0" fontId="7" fillId="3" borderId="0" xfId="0" applyFont="1" applyFill="1" applyAlignment="1">
      <alignment horizontal="left" vertical="top"/>
    </xf>
    <xf numFmtId="0" fontId="62" fillId="8" borderId="3" xfId="0" applyFont="1" applyFill="1" applyBorder="1" applyAlignment="1">
      <alignment vertical="top" textRotation="255" wrapText="1"/>
    </xf>
    <xf numFmtId="0" fontId="62" fillId="8" borderId="17" xfId="0" applyFont="1" applyFill="1" applyBorder="1" applyAlignment="1">
      <alignment vertical="top" textRotation="255" wrapText="1"/>
    </xf>
    <xf numFmtId="0" fontId="62" fillId="8" borderId="16" xfId="0" applyFont="1" applyFill="1" applyBorder="1" applyAlignment="1">
      <alignment vertical="top" textRotation="255" wrapText="1"/>
    </xf>
    <xf numFmtId="0" fontId="61" fillId="8" borderId="25" xfId="0" applyFont="1" applyFill="1" applyBorder="1" applyAlignment="1">
      <alignment vertical="top" textRotation="255" wrapText="1"/>
    </xf>
    <xf numFmtId="0" fontId="61" fillId="8" borderId="29" xfId="0" applyFont="1" applyFill="1" applyBorder="1" applyAlignment="1">
      <alignment vertical="top" textRotation="255" wrapText="1"/>
    </xf>
    <xf numFmtId="0" fontId="61" fillId="8" borderId="28" xfId="0" applyFont="1" applyFill="1" applyBorder="1" applyAlignment="1">
      <alignment vertical="top" textRotation="255" wrapText="1"/>
    </xf>
    <xf numFmtId="0" fontId="113" fillId="8" borderId="25" xfId="0" applyFont="1" applyFill="1" applyBorder="1" applyAlignment="1">
      <alignment vertical="top" textRotation="255" wrapText="1"/>
    </xf>
    <xf numFmtId="0" fontId="113" fillId="8" borderId="29" xfId="0" applyFont="1" applyFill="1" applyBorder="1" applyAlignment="1">
      <alignment vertical="top" textRotation="255" wrapText="1"/>
    </xf>
    <xf numFmtId="0" fontId="113" fillId="8" borderId="28" xfId="0" applyFont="1" applyFill="1" applyBorder="1" applyAlignment="1">
      <alignment vertical="top" textRotation="255" wrapText="1"/>
    </xf>
    <xf numFmtId="0" fontId="62" fillId="8" borderId="25" xfId="0" applyFont="1" applyFill="1" applyBorder="1" applyAlignment="1">
      <alignment vertical="top" textRotation="255" wrapText="1"/>
    </xf>
    <xf numFmtId="0" fontId="62" fillId="8" borderId="29" xfId="0" applyFont="1" applyFill="1" applyBorder="1" applyAlignment="1">
      <alignment vertical="top" textRotation="255" wrapText="1"/>
    </xf>
    <xf numFmtId="0" fontId="62" fillId="8" borderId="28" xfId="0" applyFont="1" applyFill="1" applyBorder="1" applyAlignment="1">
      <alignment vertical="top" textRotation="255" wrapText="1"/>
    </xf>
    <xf numFmtId="0" fontId="64" fillId="8" borderId="25" xfId="0" applyFont="1" applyFill="1" applyBorder="1" applyAlignment="1">
      <alignment vertical="center" wrapText="1"/>
    </xf>
    <xf numFmtId="0" fontId="64" fillId="8" borderId="29" xfId="0" applyFont="1" applyFill="1" applyBorder="1" applyAlignment="1">
      <alignment vertical="center"/>
    </xf>
    <xf numFmtId="0" fontId="64" fillId="8" borderId="28" xfId="0" applyFont="1" applyFill="1" applyBorder="1" applyAlignment="1">
      <alignment vertical="center"/>
    </xf>
    <xf numFmtId="0" fontId="58" fillId="0" borderId="55" xfId="0" applyFont="1" applyBorder="1" applyAlignment="1">
      <alignment horizontal="center" vertical="center" shrinkToFit="1"/>
    </xf>
    <xf numFmtId="0" fontId="58" fillId="0" borderId="29" xfId="0" applyFont="1" applyBorder="1" applyAlignment="1">
      <alignment horizontal="center" vertical="center" shrinkToFit="1"/>
    </xf>
    <xf numFmtId="0" fontId="58" fillId="0" borderId="41" xfId="0" applyFont="1" applyBorder="1" applyAlignment="1">
      <alignment horizontal="center" vertical="center" shrinkToFit="1"/>
    </xf>
    <xf numFmtId="0" fontId="112" fillId="8" borderId="25" xfId="0" applyFont="1" applyFill="1" applyBorder="1" applyAlignment="1">
      <alignment horizontal="center" vertical="top" textRotation="255" wrapText="1"/>
    </xf>
    <xf numFmtId="0" fontId="112" fillId="8" borderId="29" xfId="0" applyFont="1" applyFill="1" applyBorder="1" applyAlignment="1">
      <alignment horizontal="center" vertical="top" textRotation="255" wrapText="1"/>
    </xf>
    <xf numFmtId="0" fontId="112" fillId="8" borderId="28" xfId="0" applyFont="1" applyFill="1" applyBorder="1" applyAlignment="1">
      <alignment horizontal="center" vertical="top" textRotation="255" wrapText="1"/>
    </xf>
    <xf numFmtId="0" fontId="62" fillId="8" borderId="25" xfId="0" applyFont="1" applyFill="1" applyBorder="1" applyAlignment="1">
      <alignment horizontal="center" vertical="top" textRotation="255" wrapText="1"/>
    </xf>
    <xf numFmtId="0" fontId="62" fillId="8" borderId="29" xfId="0" applyFont="1" applyFill="1" applyBorder="1" applyAlignment="1">
      <alignment horizontal="center" vertical="top" textRotation="255" wrapText="1"/>
    </xf>
    <xf numFmtId="0" fontId="62" fillId="8" borderId="28" xfId="0" applyFont="1" applyFill="1" applyBorder="1" applyAlignment="1">
      <alignment horizontal="center" vertical="top" textRotation="255" wrapText="1"/>
    </xf>
    <xf numFmtId="0" fontId="7" fillId="3" borderId="55" xfId="0" applyFont="1" applyFill="1" applyBorder="1" applyAlignment="1">
      <alignment horizontal="center" vertical="center" shrinkToFit="1"/>
    </xf>
    <xf numFmtId="0" fontId="7" fillId="3" borderId="29" xfId="0" applyFont="1" applyFill="1" applyBorder="1" applyAlignment="1">
      <alignment horizontal="center" vertical="center" shrinkToFit="1"/>
    </xf>
    <xf numFmtId="0" fontId="7" fillId="3" borderId="41" xfId="0" applyFont="1" applyFill="1" applyBorder="1" applyAlignment="1">
      <alignment horizontal="center" vertical="center" shrinkToFit="1"/>
    </xf>
    <xf numFmtId="0" fontId="113" fillId="8" borderId="25" xfId="0" applyFont="1" applyFill="1" applyBorder="1" applyAlignment="1">
      <alignment horizontal="center" vertical="top" textRotation="255" wrapText="1"/>
    </xf>
    <xf numFmtId="0" fontId="113" fillId="8" borderId="29" xfId="0" applyFont="1" applyFill="1" applyBorder="1" applyAlignment="1">
      <alignment horizontal="center" vertical="top" textRotation="255" wrapText="1"/>
    </xf>
    <xf numFmtId="0" fontId="113" fillId="8" borderId="28" xfId="0" applyFont="1" applyFill="1" applyBorder="1" applyAlignment="1">
      <alignment horizontal="center" vertical="top" textRotation="255" wrapText="1"/>
    </xf>
    <xf numFmtId="0" fontId="62" fillId="0" borderId="55" xfId="0" applyFont="1" applyBorder="1" applyAlignment="1">
      <alignment horizontal="center" vertical="center" shrinkToFit="1"/>
    </xf>
    <xf numFmtId="0" fontId="62" fillId="0" borderId="29" xfId="0" applyFont="1" applyBorder="1" applyAlignment="1">
      <alignment horizontal="center" vertical="center" shrinkToFit="1"/>
    </xf>
    <xf numFmtId="0" fontId="62" fillId="0" borderId="41" xfId="0" applyFont="1" applyBorder="1" applyAlignment="1">
      <alignment horizontal="center" vertical="center" shrinkToFit="1"/>
    </xf>
    <xf numFmtId="0" fontId="61" fillId="8" borderId="25" xfId="0" applyFont="1" applyFill="1" applyBorder="1" applyAlignment="1">
      <alignment horizontal="center" vertical="top" textRotation="255" wrapText="1"/>
    </xf>
    <xf numFmtId="0" fontId="61" fillId="8" borderId="29" xfId="0" applyFont="1" applyFill="1" applyBorder="1" applyAlignment="1">
      <alignment horizontal="center" vertical="top" textRotation="255" wrapText="1"/>
    </xf>
    <xf numFmtId="0" fontId="61" fillId="8" borderId="28" xfId="0" applyFont="1" applyFill="1" applyBorder="1" applyAlignment="1">
      <alignment horizontal="center" vertical="top" textRotation="255" wrapText="1"/>
    </xf>
    <xf numFmtId="0" fontId="62" fillId="0" borderId="55" xfId="0" applyFont="1" applyBorder="1" applyAlignment="1">
      <alignment horizontal="left" vertical="center" shrinkToFit="1"/>
    </xf>
    <xf numFmtId="0" fontId="62" fillId="0" borderId="29" xfId="0" applyFont="1" applyBorder="1" applyAlignment="1">
      <alignment horizontal="left" vertical="center" shrinkToFit="1"/>
    </xf>
    <xf numFmtId="0" fontId="62" fillId="0" borderId="41" xfId="0" applyFont="1" applyBorder="1" applyAlignment="1">
      <alignment horizontal="left" vertical="center" shrinkToFit="1"/>
    </xf>
    <xf numFmtId="0" fontId="7" fillId="8" borderId="55" xfId="0" applyFont="1" applyFill="1" applyBorder="1" applyAlignment="1">
      <alignment horizontal="left" vertical="center"/>
    </xf>
    <xf numFmtId="0" fontId="7" fillId="8" borderId="29" xfId="0" applyFont="1" applyFill="1" applyBorder="1" applyAlignment="1">
      <alignment horizontal="left" vertical="center"/>
    </xf>
    <xf numFmtId="0" fontId="7" fillId="8" borderId="41" xfId="0" applyFont="1" applyFill="1" applyBorder="1" applyAlignment="1">
      <alignment horizontal="left" vertical="center"/>
    </xf>
    <xf numFmtId="0" fontId="7" fillId="8" borderId="55" xfId="0" applyFont="1" applyFill="1" applyBorder="1" applyAlignment="1">
      <alignment horizontal="center" vertical="center"/>
    </xf>
    <xf numFmtId="0" fontId="7" fillId="8" borderId="29" xfId="0" applyFont="1" applyFill="1" applyBorder="1" applyAlignment="1">
      <alignment horizontal="center" vertical="center"/>
    </xf>
    <xf numFmtId="0" fontId="7" fillId="8" borderId="41" xfId="0" applyFont="1" applyFill="1" applyBorder="1" applyAlignment="1">
      <alignment horizontal="center" vertical="center"/>
    </xf>
    <xf numFmtId="0" fontId="102" fillId="8" borderId="25" xfId="0" applyFont="1" applyFill="1" applyBorder="1" applyAlignment="1">
      <alignment horizontal="center" vertical="top" textRotation="255" wrapText="1"/>
    </xf>
    <xf numFmtId="0" fontId="102" fillId="8" borderId="29" xfId="0" applyFont="1" applyFill="1" applyBorder="1" applyAlignment="1">
      <alignment horizontal="center" vertical="top" textRotation="255" wrapText="1"/>
    </xf>
    <xf numFmtId="0" fontId="102" fillId="8" borderId="28" xfId="0" applyFont="1" applyFill="1" applyBorder="1" applyAlignment="1">
      <alignment horizontal="center" vertical="top" textRotation="255" wrapText="1"/>
    </xf>
    <xf numFmtId="0" fontId="15" fillId="8" borderId="25" xfId="0" applyFont="1" applyFill="1" applyBorder="1" applyAlignment="1">
      <alignment horizontal="center" vertical="top" textRotation="255" wrapText="1"/>
    </xf>
    <xf numFmtId="0" fontId="15" fillId="8" borderId="29" xfId="0" applyFont="1" applyFill="1" applyBorder="1" applyAlignment="1">
      <alignment horizontal="center" vertical="top" textRotation="255" wrapText="1"/>
    </xf>
    <xf numFmtId="0" fontId="15" fillId="8" borderId="28" xfId="0" applyFont="1" applyFill="1" applyBorder="1" applyAlignment="1">
      <alignment horizontal="center" vertical="top" textRotation="255" wrapText="1"/>
    </xf>
    <xf numFmtId="0" fontId="7" fillId="8" borderId="25" xfId="0" applyFont="1" applyFill="1" applyBorder="1" applyAlignment="1">
      <alignment vertical="top" textRotation="255" wrapText="1"/>
    </xf>
    <xf numFmtId="0" fontId="7" fillId="8" borderId="29" xfId="0" applyFont="1" applyFill="1" applyBorder="1" applyAlignment="1">
      <alignment vertical="top" textRotation="255" wrapText="1"/>
    </xf>
    <xf numFmtId="0" fontId="7" fillId="8" borderId="28" xfId="0" applyFont="1" applyFill="1" applyBorder="1" applyAlignment="1">
      <alignment vertical="top" textRotation="255" wrapText="1"/>
    </xf>
    <xf numFmtId="0" fontId="16" fillId="8" borderId="25" xfId="0" applyFont="1" applyFill="1" applyBorder="1" applyAlignment="1">
      <alignment vertical="top" textRotation="255" wrapText="1"/>
    </xf>
    <xf numFmtId="0" fontId="16" fillId="8" borderId="29" xfId="0" applyFont="1" applyFill="1" applyBorder="1" applyAlignment="1">
      <alignment vertical="top" textRotation="255" wrapText="1"/>
    </xf>
    <xf numFmtId="0" fontId="16" fillId="8" borderId="28" xfId="0" applyFont="1" applyFill="1" applyBorder="1" applyAlignment="1">
      <alignment vertical="top" textRotation="255" wrapText="1"/>
    </xf>
    <xf numFmtId="0" fontId="16" fillId="8" borderId="25" xfId="0" applyFont="1" applyFill="1" applyBorder="1" applyAlignment="1">
      <alignment horizontal="center" vertical="top" textRotation="255" wrapText="1"/>
    </xf>
    <xf numFmtId="0" fontId="16" fillId="8" borderId="29" xfId="0" applyFont="1" applyFill="1" applyBorder="1" applyAlignment="1">
      <alignment horizontal="center" vertical="top" textRotation="255" wrapText="1"/>
    </xf>
    <xf numFmtId="0" fontId="16" fillId="8" borderId="28" xfId="0" applyFont="1" applyFill="1" applyBorder="1" applyAlignment="1">
      <alignment horizontal="center" vertical="top" textRotation="255" wrapText="1"/>
    </xf>
    <xf numFmtId="0" fontId="7" fillId="8" borderId="25" xfId="0" applyFont="1" applyFill="1" applyBorder="1" applyAlignment="1">
      <alignment horizontal="center" vertical="top" textRotation="255" wrapText="1"/>
    </xf>
    <xf numFmtId="0" fontId="7" fillId="8" borderId="29" xfId="0" applyFont="1" applyFill="1" applyBorder="1" applyAlignment="1">
      <alignment horizontal="center" vertical="top" textRotation="255" wrapText="1"/>
    </xf>
    <xf numFmtId="0" fontId="7" fillId="8" borderId="28" xfId="0" applyFont="1" applyFill="1" applyBorder="1" applyAlignment="1">
      <alignment horizontal="center" vertical="top" textRotation="255" wrapText="1"/>
    </xf>
    <xf numFmtId="0" fontId="7" fillId="8" borderId="3" xfId="0" applyFont="1" applyFill="1" applyBorder="1" applyAlignment="1">
      <alignment vertical="top" textRotation="255" wrapText="1"/>
    </xf>
    <xf numFmtId="0" fontId="7" fillId="8" borderId="17" xfId="0" applyFont="1" applyFill="1" applyBorder="1" applyAlignment="1">
      <alignment vertical="top" textRotation="255" wrapText="1"/>
    </xf>
    <xf numFmtId="0" fontId="7" fillId="8" borderId="16" xfId="0" applyFont="1" applyFill="1" applyBorder="1" applyAlignment="1">
      <alignment vertical="top" textRotation="255" wrapText="1"/>
    </xf>
    <xf numFmtId="0" fontId="102" fillId="8" borderId="25" xfId="0" applyFont="1" applyFill="1" applyBorder="1" applyAlignment="1">
      <alignment vertical="top" textRotation="255" wrapText="1"/>
    </xf>
    <xf numFmtId="0" fontId="102" fillId="8" borderId="29" xfId="0" applyFont="1" applyFill="1" applyBorder="1" applyAlignment="1">
      <alignment vertical="top" textRotation="255" wrapText="1"/>
    </xf>
    <xf numFmtId="0" fontId="102" fillId="8" borderId="28" xfId="0" applyFont="1" applyFill="1" applyBorder="1" applyAlignment="1">
      <alignment vertical="top" textRotation="255" wrapText="1"/>
    </xf>
    <xf numFmtId="0" fontId="75" fillId="0" borderId="120" xfId="0" applyFont="1" applyBorder="1" applyAlignment="1">
      <alignment horizontal="center" vertical="center"/>
    </xf>
    <xf numFmtId="0" fontId="75" fillId="0" borderId="135" xfId="0" applyFont="1" applyBorder="1" applyAlignment="1">
      <alignment horizontal="center" vertical="center"/>
    </xf>
    <xf numFmtId="0" fontId="84" fillId="0" borderId="120" xfId="0" applyFont="1" applyBorder="1" applyAlignment="1">
      <alignment horizontal="left" vertical="center"/>
    </xf>
    <xf numFmtId="0" fontId="84" fillId="0" borderId="135" xfId="0" applyFont="1" applyBorder="1" applyAlignment="1">
      <alignment horizontal="left" vertical="center"/>
    </xf>
    <xf numFmtId="0" fontId="84" fillId="0" borderId="76" xfId="0" applyFont="1" applyBorder="1" applyAlignment="1">
      <alignment horizontal="center" vertical="center"/>
    </xf>
    <xf numFmtId="0" fontId="84" fillId="0" borderId="77" xfId="0" applyFont="1" applyBorder="1" applyAlignment="1">
      <alignment horizontal="center" vertical="center"/>
    </xf>
    <xf numFmtId="0" fontId="84" fillId="0" borderId="78" xfId="0" applyFont="1" applyBorder="1" applyAlignment="1">
      <alignment horizontal="center" vertical="center"/>
    </xf>
    <xf numFmtId="0" fontId="84" fillId="0" borderId="123" xfId="0" applyFont="1" applyBorder="1" applyAlignment="1">
      <alignment horizontal="center" vertical="center"/>
    </xf>
    <xf numFmtId="0" fontId="84" fillId="0" borderId="124" xfId="0" applyFont="1" applyBorder="1" applyAlignment="1">
      <alignment horizontal="center" vertical="center"/>
    </xf>
    <xf numFmtId="0" fontId="84" fillId="0" borderId="125" xfId="0" applyFont="1" applyBorder="1" applyAlignment="1">
      <alignment horizontal="center" vertical="center"/>
    </xf>
    <xf numFmtId="0" fontId="84" fillId="0" borderId="79" xfId="0" applyFont="1" applyBorder="1" applyAlignment="1">
      <alignment horizontal="center" vertical="center"/>
    </xf>
    <xf numFmtId="0" fontId="84" fillId="0" borderId="80" xfId="0" applyFont="1" applyBorder="1" applyAlignment="1">
      <alignment horizontal="center" vertical="center"/>
    </xf>
    <xf numFmtId="0" fontId="84" fillId="0" borderId="81" xfId="0" applyFont="1" applyBorder="1" applyAlignment="1">
      <alignment horizontal="center" vertical="center"/>
    </xf>
    <xf numFmtId="0" fontId="84" fillId="0" borderId="131" xfId="0" applyFont="1" applyBorder="1" applyAlignment="1">
      <alignment horizontal="left" vertical="center" wrapText="1"/>
    </xf>
    <xf numFmtId="0" fontId="84" fillId="0" borderId="133" xfId="0" applyFont="1" applyBorder="1" applyAlignment="1">
      <alignment horizontal="left" vertical="center" wrapText="1"/>
    </xf>
    <xf numFmtId="0" fontId="84" fillId="0" borderId="131" xfId="0" applyFont="1" applyBorder="1" applyAlignment="1">
      <alignment horizontal="left" vertical="center"/>
    </xf>
    <xf numFmtId="0" fontId="84" fillId="0" borderId="133" xfId="0" applyFont="1" applyBorder="1" applyAlignment="1">
      <alignment horizontal="left" vertical="center"/>
    </xf>
    <xf numFmtId="0" fontId="84" fillId="0" borderId="130" xfId="0" applyFont="1" applyBorder="1" applyAlignment="1">
      <alignment horizontal="center" vertical="center"/>
    </xf>
    <xf numFmtId="0" fontId="84" fillId="0" borderId="132" xfId="0" applyFont="1" applyBorder="1" applyAlignment="1">
      <alignment horizontal="center" vertical="center"/>
    </xf>
    <xf numFmtId="0" fontId="84" fillId="0" borderId="25" xfId="0" applyFont="1" applyBorder="1" applyAlignment="1">
      <alignment horizontal="left" vertical="center"/>
    </xf>
    <xf numFmtId="0" fontId="84" fillId="0" borderId="29" xfId="0" applyFont="1" applyBorder="1" applyAlignment="1">
      <alignment horizontal="left" vertical="center"/>
    </xf>
    <xf numFmtId="0" fontId="84" fillId="0" borderId="122" xfId="0" applyFont="1" applyBorder="1" applyAlignment="1">
      <alignment horizontal="left" vertical="center"/>
    </xf>
    <xf numFmtId="0" fontId="84" fillId="0" borderId="134" xfId="0" applyFont="1" applyBorder="1" applyAlignment="1">
      <alignment horizontal="left" vertical="center"/>
    </xf>
    <xf numFmtId="0" fontId="84" fillId="0" borderId="76" xfId="0" applyFont="1" applyBorder="1" applyAlignment="1">
      <alignment horizontal="center" vertical="top"/>
    </xf>
    <xf numFmtId="0" fontId="84" fillId="0" borderId="77" xfId="0" applyFont="1" applyBorder="1" applyAlignment="1">
      <alignment horizontal="center" vertical="top"/>
    </xf>
    <xf numFmtId="0" fontId="84" fillId="0" borderId="78" xfId="0" applyFont="1" applyBorder="1" applyAlignment="1">
      <alignment horizontal="center" vertical="top"/>
    </xf>
    <xf numFmtId="0" fontId="84" fillId="0" borderId="123" xfId="0" applyFont="1" applyBorder="1" applyAlignment="1">
      <alignment horizontal="center" vertical="top"/>
    </xf>
    <xf numFmtId="0" fontId="84" fillId="0" borderId="124" xfId="0" applyFont="1" applyBorder="1" applyAlignment="1">
      <alignment horizontal="center" vertical="top"/>
    </xf>
    <xf numFmtId="0" fontId="84" fillId="0" borderId="125" xfId="0" applyFont="1" applyBorder="1" applyAlignment="1">
      <alignment horizontal="center" vertical="top"/>
    </xf>
    <xf numFmtId="0" fontId="84" fillId="0" borderId="79" xfId="0" applyFont="1" applyBorder="1" applyAlignment="1">
      <alignment horizontal="center" vertical="top"/>
    </xf>
    <xf numFmtId="0" fontId="84" fillId="0" borderId="80" xfId="0" applyFont="1" applyBorder="1" applyAlignment="1">
      <alignment horizontal="center" vertical="top"/>
    </xf>
    <xf numFmtId="0" fontId="84" fillId="0" borderId="81" xfId="0" applyFont="1" applyBorder="1" applyAlignment="1">
      <alignment horizontal="center" vertical="top"/>
    </xf>
    <xf numFmtId="0" fontId="84" fillId="0" borderId="142" xfId="0" applyFont="1" applyBorder="1" applyAlignment="1">
      <alignment horizontal="center" vertical="center"/>
    </xf>
    <xf numFmtId="0" fontId="84" fillId="0" borderId="0" xfId="0" applyFont="1" applyAlignment="1">
      <alignment horizontal="left" vertical="center"/>
    </xf>
    <xf numFmtId="0" fontId="84" fillId="0" borderId="126" xfId="0" applyFont="1" applyBorder="1" applyAlignment="1">
      <alignment horizontal="left" vertical="center"/>
    </xf>
    <xf numFmtId="0" fontId="84" fillId="0" borderId="137" xfId="0" applyFont="1" applyBorder="1" applyAlignment="1">
      <alignment horizontal="left" vertical="center"/>
    </xf>
    <xf numFmtId="0" fontId="84" fillId="0" borderId="143" xfId="0" applyFont="1" applyBorder="1" applyAlignment="1">
      <alignment horizontal="center" vertical="center"/>
    </xf>
    <xf numFmtId="0" fontId="84" fillId="0" borderId="137" xfId="0" applyFont="1" applyBorder="1" applyAlignment="1">
      <alignment horizontal="left" vertical="center" wrapText="1"/>
    </xf>
    <xf numFmtId="0" fontId="84" fillId="0" borderId="29" xfId="0" applyFont="1" applyBorder="1" applyAlignment="1">
      <alignment horizontal="left" vertical="center" wrapText="1"/>
    </xf>
    <xf numFmtId="0" fontId="84" fillId="0" borderId="3" xfId="0" applyFont="1" applyBorder="1" applyAlignment="1">
      <alignment horizontal="center" vertical="center"/>
    </xf>
    <xf numFmtId="0" fontId="84" fillId="0" borderId="4" xfId="0" applyFont="1" applyBorder="1" applyAlignment="1">
      <alignment horizontal="center" vertical="center"/>
    </xf>
    <xf numFmtId="0" fontId="84" fillId="0" borderId="1" xfId="0" applyFont="1" applyBorder="1" applyAlignment="1">
      <alignment horizontal="center" vertical="center"/>
    </xf>
    <xf numFmtId="0" fontId="84" fillId="0" borderId="17" xfId="0" applyFont="1" applyBorder="1" applyAlignment="1">
      <alignment horizontal="center" vertical="center"/>
    </xf>
    <xf numFmtId="0" fontId="84" fillId="0" borderId="0" xfId="0" applyFont="1" applyAlignment="1">
      <alignment horizontal="center" vertical="center"/>
    </xf>
    <xf numFmtId="0" fontId="84" fillId="0" borderId="27" xfId="0" applyFont="1" applyBorder="1" applyAlignment="1">
      <alignment horizontal="center" vertical="center"/>
    </xf>
    <xf numFmtId="0" fontId="128" fillId="0" borderId="0" xfId="0" applyFont="1" applyAlignment="1">
      <alignment horizontal="center" vertical="center"/>
    </xf>
    <xf numFmtId="0" fontId="84" fillId="0" borderId="6" xfId="0" applyFont="1" applyBorder="1" applyAlignment="1">
      <alignment horizontal="center" vertical="center"/>
    </xf>
    <xf numFmtId="0" fontId="84" fillId="0" borderId="7" xfId="0" applyFont="1" applyBorder="1" applyAlignment="1">
      <alignment horizontal="center" vertical="center"/>
    </xf>
    <xf numFmtId="0" fontId="84" fillId="0" borderId="8" xfId="0" applyFont="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center" vertical="top"/>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justify"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5" xfId="0" applyFont="1" applyBorder="1" applyAlignment="1">
      <alignment horizontal="center" vertical="center" textRotation="255" wrapText="1"/>
    </xf>
    <xf numFmtId="0" fontId="6" fillId="0" borderId="29" xfId="0" applyFont="1" applyBorder="1" applyAlignment="1">
      <alignment horizontal="center" vertical="center" textRotation="255" wrapText="1"/>
    </xf>
    <xf numFmtId="0" fontId="6" fillId="0" borderId="28" xfId="0" applyFont="1" applyBorder="1" applyAlignment="1">
      <alignment horizontal="center" vertical="center" textRotation="255"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0" fillId="0" borderId="4" xfId="0" applyBorder="1" applyAlignment="1">
      <alignment horizontal="left" vertical="center" wrapText="1"/>
    </xf>
    <xf numFmtId="0" fontId="6" fillId="0" borderId="127" xfId="0" applyFont="1" applyBorder="1" applyAlignment="1">
      <alignment horizontal="left" vertical="center"/>
    </xf>
    <xf numFmtId="0" fontId="6" fillId="0" borderId="128" xfId="0" applyFont="1" applyBorder="1" applyAlignment="1">
      <alignment horizontal="left" vertical="center"/>
    </xf>
    <xf numFmtId="0" fontId="6" fillId="0" borderId="129" xfId="0" applyFont="1" applyBorder="1" applyAlignment="1">
      <alignment horizontal="lef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2"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1" xfId="0" applyFont="1" applyBorder="1" applyAlignment="1">
      <alignment horizontal="left" vertical="center" wrapText="1"/>
    </xf>
    <xf numFmtId="0" fontId="6" fillId="0" borderId="27" xfId="0" applyFont="1" applyBorder="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6" fillId="0" borderId="122" xfId="0" applyFont="1" applyBorder="1" applyAlignment="1">
      <alignment horizontal="justify" vertical="center" wrapText="1"/>
    </xf>
    <xf numFmtId="0" fontId="6" fillId="0" borderId="120" xfId="0" applyFont="1" applyBorder="1" applyAlignment="1">
      <alignment horizontal="justify" vertical="center" wrapText="1"/>
    </xf>
    <xf numFmtId="0" fontId="6" fillId="0" borderId="121" xfId="0" applyFont="1" applyBorder="1" applyAlignment="1">
      <alignment horizontal="justify"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134" xfId="0" applyFont="1" applyBorder="1" applyAlignment="1">
      <alignment horizontal="center" vertical="center" wrapText="1"/>
    </xf>
    <xf numFmtId="0" fontId="6" fillId="0" borderId="135" xfId="0" applyFont="1" applyBorder="1" applyAlignment="1">
      <alignment horizontal="center" vertical="center" wrapText="1"/>
    </xf>
    <xf numFmtId="0" fontId="6" fillId="0" borderId="135" xfId="0" applyFont="1" applyBorder="1" applyAlignment="1">
      <alignment horizontal="left" vertical="center" wrapText="1"/>
    </xf>
    <xf numFmtId="0" fontId="6" fillId="0" borderId="136" xfId="0" applyFont="1" applyBorder="1" applyAlignment="1">
      <alignment horizontal="left" vertical="center" wrapText="1"/>
    </xf>
    <xf numFmtId="0" fontId="6" fillId="0" borderId="2" xfId="0" applyFont="1" applyBorder="1" applyAlignment="1">
      <alignment horizontal="left" wrapText="1"/>
    </xf>
    <xf numFmtId="0" fontId="6" fillId="0" borderId="6" xfId="0" applyFont="1" applyBorder="1" applyAlignment="1">
      <alignment horizontal="center" wrapText="1"/>
    </xf>
    <xf numFmtId="0" fontId="6" fillId="0" borderId="7" xfId="0" applyFont="1" applyBorder="1" applyAlignment="1">
      <alignment horizontal="center" wrapText="1"/>
    </xf>
    <xf numFmtId="0" fontId="6"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6" fillId="0" borderId="6" xfId="0" applyFont="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6" fillId="0" borderId="2" xfId="0" applyFont="1" applyBorder="1" applyAlignment="1">
      <alignment horizontal="left" vertical="center" wrapText="1"/>
    </xf>
    <xf numFmtId="0" fontId="0" fillId="0" borderId="2" xfId="0" applyBorder="1" applyAlignment="1">
      <alignment horizontal="left" vertical="center" wrapText="1"/>
    </xf>
    <xf numFmtId="0" fontId="6" fillId="0" borderId="25" xfId="0" applyFont="1" applyBorder="1" applyAlignment="1">
      <alignment horizontal="left" vertical="center" wrapText="1"/>
    </xf>
    <xf numFmtId="0" fontId="0" fillId="0" borderId="25" xfId="0"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6" fillId="0" borderId="25" xfId="0" applyFont="1" applyBorder="1" applyAlignment="1">
      <alignment horizontal="center" vertical="center" textRotation="255" shrinkToFit="1"/>
    </xf>
    <xf numFmtId="0" fontId="6" fillId="0" borderId="29" xfId="0" applyFont="1" applyBorder="1" applyAlignment="1">
      <alignment horizontal="center" vertical="center" textRotation="255" shrinkToFit="1"/>
    </xf>
    <xf numFmtId="0" fontId="6" fillId="0" borderId="28" xfId="0" applyFont="1" applyBorder="1" applyAlignment="1">
      <alignment horizontal="center" vertical="center" textRotation="255" shrinkToFit="1"/>
    </xf>
    <xf numFmtId="0" fontId="6" fillId="0" borderId="127" xfId="0" applyFont="1" applyBorder="1" applyAlignment="1">
      <alignment horizontal="left" vertical="center" wrapText="1"/>
    </xf>
    <xf numFmtId="0" fontId="6" fillId="0" borderId="128" xfId="0" applyFont="1" applyBorder="1" applyAlignment="1">
      <alignment horizontal="left" vertical="center" wrapText="1"/>
    </xf>
    <xf numFmtId="0" fontId="6" fillId="0" borderId="129" xfId="0" applyFont="1" applyBorder="1" applyAlignment="1">
      <alignment horizontal="left" vertical="center" wrapText="1"/>
    </xf>
    <xf numFmtId="0" fontId="7" fillId="0" borderId="2" xfId="0" applyFont="1" applyBorder="1" applyAlignment="1">
      <alignment horizontal="left" vertical="center" wrapText="1"/>
    </xf>
    <xf numFmtId="0" fontId="6" fillId="0" borderId="120" xfId="0" applyFont="1" applyBorder="1" applyAlignment="1">
      <alignment horizontal="left" vertical="center" wrapText="1"/>
    </xf>
    <xf numFmtId="0" fontId="6" fillId="0" borderId="121" xfId="0" applyFont="1" applyBorder="1" applyAlignment="1">
      <alignment horizontal="left" vertical="center" wrapText="1"/>
    </xf>
    <xf numFmtId="0" fontId="6" fillId="0" borderId="3" xfId="0" applyFont="1" applyBorder="1" applyAlignment="1">
      <alignment horizontal="left" wrapText="1"/>
    </xf>
    <xf numFmtId="0" fontId="6" fillId="0" borderId="4" xfId="0" applyFont="1" applyBorder="1" applyAlignment="1">
      <alignment horizontal="left"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6" fillId="0" borderId="7" xfId="0" applyFont="1" applyBorder="1" applyAlignment="1">
      <alignment horizontal="left" wrapText="1"/>
    </xf>
    <xf numFmtId="0" fontId="0" fillId="0" borderId="7" xfId="0" applyBorder="1" applyAlignment="1">
      <alignment horizontal="left" wrapText="1"/>
    </xf>
    <xf numFmtId="0" fontId="0" fillId="0" borderId="116" xfId="0" applyBorder="1" applyAlignment="1">
      <alignment horizontal="left" wrapText="1"/>
    </xf>
    <xf numFmtId="0" fontId="6" fillId="0" borderId="10" xfId="0" applyFont="1" applyBorder="1" applyAlignment="1">
      <alignment horizontal="center" wrapText="1"/>
    </xf>
    <xf numFmtId="0" fontId="6" fillId="0" borderId="116" xfId="0" applyFont="1" applyBorder="1" applyAlignment="1">
      <alignment horizontal="center" wrapText="1"/>
    </xf>
    <xf numFmtId="0" fontId="6" fillId="0" borderId="1" xfId="0" applyFont="1" applyBorder="1" applyAlignment="1">
      <alignment horizontal="left" wrapText="1"/>
    </xf>
    <xf numFmtId="0" fontId="6" fillId="0" borderId="151" xfId="0" applyFont="1" applyBorder="1" applyAlignment="1">
      <alignment horizontal="left" wrapText="1"/>
    </xf>
    <xf numFmtId="0" fontId="6" fillId="0" borderId="5" xfId="0" applyFont="1" applyBorder="1" applyAlignment="1">
      <alignment horizontal="left" wrapText="1"/>
    </xf>
    <xf numFmtId="0" fontId="6" fillId="0" borderId="15" xfId="0" applyFont="1" applyBorder="1" applyAlignment="1">
      <alignment horizontal="left" wrapText="1"/>
    </xf>
    <xf numFmtId="0" fontId="6" fillId="0" borderId="16" xfId="0" applyFont="1" applyBorder="1" applyAlignment="1">
      <alignment horizontal="left" vertical="top" wrapText="1"/>
    </xf>
    <xf numFmtId="0" fontId="6" fillId="0" borderId="5" xfId="0" applyFont="1" applyBorder="1" applyAlignment="1">
      <alignment horizontal="left" vertical="top" wrapText="1"/>
    </xf>
    <xf numFmtId="0" fontId="6" fillId="0" borderId="15" xfId="0" applyFont="1" applyBorder="1" applyAlignment="1">
      <alignment horizontal="left" vertical="top" wrapText="1"/>
    </xf>
    <xf numFmtId="0" fontId="6" fillId="0" borderId="17" xfId="0" applyFont="1" applyBorder="1" applyAlignment="1">
      <alignment horizontal="left" wrapText="1"/>
    </xf>
    <xf numFmtId="0" fontId="6" fillId="0" borderId="0" xfId="0" applyFont="1" applyAlignment="1">
      <alignment horizontal="left" wrapText="1"/>
    </xf>
    <xf numFmtId="0" fontId="6" fillId="0" borderId="16" xfId="0" applyFont="1" applyBorder="1" applyAlignment="1">
      <alignment horizontal="left" wrapText="1"/>
    </xf>
    <xf numFmtId="0" fontId="6" fillId="0" borderId="156" xfId="0" applyFont="1" applyBorder="1" applyAlignment="1">
      <alignment horizontal="center" vertical="center"/>
    </xf>
    <xf numFmtId="0" fontId="6" fillId="0" borderId="152" xfId="0" applyFont="1" applyBorder="1" applyAlignment="1">
      <alignment horizontal="center" vertical="center"/>
    </xf>
    <xf numFmtId="0" fontId="6" fillId="0" borderId="155" xfId="0" applyFont="1" applyBorder="1" applyAlignment="1">
      <alignment horizontal="center" vertical="center"/>
    </xf>
    <xf numFmtId="0" fontId="6" fillId="0" borderId="156" xfId="0" applyFont="1" applyBorder="1" applyAlignment="1">
      <alignment horizontal="center"/>
    </xf>
    <xf numFmtId="0" fontId="6" fillId="0" borderId="152" xfId="0" applyFont="1" applyBorder="1" applyAlignment="1">
      <alignment horizontal="center"/>
    </xf>
    <xf numFmtId="0" fontId="6" fillId="0" borderId="155" xfId="0" applyFont="1" applyBorder="1" applyAlignment="1">
      <alignment horizontal="center"/>
    </xf>
    <xf numFmtId="0" fontId="6" fillId="0" borderId="5" xfId="0" applyFont="1" applyBorder="1" applyAlignment="1">
      <alignment horizontal="left" shrinkToFit="1"/>
    </xf>
    <xf numFmtId="0" fontId="0" fillId="0" borderId="5" xfId="0" applyBorder="1" applyAlignment="1">
      <alignment horizontal="left" shrinkToFit="1"/>
    </xf>
    <xf numFmtId="0" fontId="0" fillId="0" borderId="150" xfId="0" applyBorder="1" applyAlignment="1">
      <alignment horizontal="left" shrinkToFit="1"/>
    </xf>
    <xf numFmtId="0" fontId="6" fillId="0" borderId="22" xfId="0" applyFont="1" applyBorder="1" applyAlignment="1">
      <alignment horizontal="center" wrapText="1"/>
    </xf>
    <xf numFmtId="0" fontId="6" fillId="0" borderId="119" xfId="0" applyFont="1" applyBorder="1" applyAlignment="1">
      <alignment horizontal="center" wrapText="1"/>
    </xf>
    <xf numFmtId="0" fontId="6" fillId="0" borderId="23" xfId="0" applyFont="1" applyBorder="1" applyAlignment="1">
      <alignment horizontal="center" wrapText="1"/>
    </xf>
    <xf numFmtId="0" fontId="6" fillId="0" borderId="24" xfId="0" applyFont="1" applyBorder="1" applyAlignment="1">
      <alignment horizont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6" fillId="0" borderId="21" xfId="0" applyFont="1" applyBorder="1" applyAlignment="1">
      <alignment horizontal="center" vertical="center"/>
    </xf>
    <xf numFmtId="0" fontId="6" fillId="0" borderId="23" xfId="0" applyFont="1" applyBorder="1" applyAlignment="1">
      <alignment horizontal="center" vertical="center"/>
    </xf>
    <xf numFmtId="0" fontId="6" fillId="0" borderId="24" xfId="0" applyFont="1" applyBorder="1" applyAlignment="1">
      <alignment horizontal="center" vertical="center"/>
    </xf>
    <xf numFmtId="0" fontId="6" fillId="0" borderId="21" xfId="0" applyFont="1" applyBorder="1" applyAlignment="1">
      <alignment horizontal="center"/>
    </xf>
    <xf numFmtId="0" fontId="6" fillId="0" borderId="23" xfId="0" applyFont="1" applyBorder="1" applyAlignment="1">
      <alignment horizontal="center"/>
    </xf>
    <xf numFmtId="0" fontId="6" fillId="0" borderId="24" xfId="0" applyFont="1" applyBorder="1" applyAlignment="1">
      <alignment horizontal="center"/>
    </xf>
    <xf numFmtId="0" fontId="6" fillId="0" borderId="152" xfId="0" applyFont="1" applyBorder="1" applyAlignment="1">
      <alignment horizontal="left" wrapText="1"/>
    </xf>
    <xf numFmtId="0" fontId="0" fillId="0" borderId="152" xfId="0" applyBorder="1" applyAlignment="1">
      <alignment horizontal="left" wrapText="1"/>
    </xf>
    <xf numFmtId="0" fontId="0" fillId="0" borderId="153" xfId="0" applyBorder="1" applyAlignment="1">
      <alignment horizontal="left" wrapText="1"/>
    </xf>
    <xf numFmtId="0" fontId="6" fillId="0" borderId="154" xfId="0" applyFont="1" applyBorder="1" applyAlignment="1">
      <alignment horizontal="center" wrapText="1"/>
    </xf>
    <xf numFmtId="0" fontId="6" fillId="0" borderId="153" xfId="0" applyFont="1" applyBorder="1" applyAlignment="1">
      <alignment horizontal="center" wrapText="1"/>
    </xf>
    <xf numFmtId="0" fontId="6" fillId="0" borderId="152" xfId="0" applyFont="1" applyBorder="1" applyAlignment="1">
      <alignment horizontal="center" wrapText="1"/>
    </xf>
    <xf numFmtId="0" fontId="6" fillId="0" borderId="155" xfId="0" applyFont="1" applyBorder="1" applyAlignment="1">
      <alignment horizontal="center" wrapText="1"/>
    </xf>
    <xf numFmtId="0" fontId="7" fillId="0" borderId="152" xfId="0" applyFont="1" applyBorder="1" applyAlignment="1">
      <alignment horizontal="left" vertical="center" wrapText="1"/>
    </xf>
    <xf numFmtId="0" fontId="7" fillId="0" borderId="155" xfId="0" applyFont="1" applyBorder="1" applyAlignment="1">
      <alignment horizontal="left" vertical="center" wrapText="1"/>
    </xf>
    <xf numFmtId="0" fontId="6" fillId="0" borderId="7" xfId="0" applyFont="1" applyBorder="1" applyAlignment="1">
      <alignment horizontal="left" shrinkToFit="1"/>
    </xf>
    <xf numFmtId="0" fontId="0" fillId="0" borderId="7" xfId="0" applyBorder="1" applyAlignment="1">
      <alignment horizontal="left" shrinkToFit="1"/>
    </xf>
    <xf numFmtId="0" fontId="0" fillId="0" borderId="116" xfId="0" applyBorder="1" applyAlignment="1">
      <alignment horizontal="left" shrinkToFit="1"/>
    </xf>
    <xf numFmtId="0" fontId="6" fillId="0" borderId="116" xfId="0" applyFont="1" applyBorder="1" applyAlignment="1">
      <alignment horizontal="left" wrapText="1"/>
    </xf>
    <xf numFmtId="0" fontId="6" fillId="0" borderId="6" xfId="0" applyFont="1" applyBorder="1" applyAlignment="1">
      <alignment horizontal="left" wrapText="1"/>
    </xf>
    <xf numFmtId="0" fontId="6" fillId="0" borderId="8" xfId="0" applyFont="1" applyBorder="1" applyAlignment="1">
      <alignment horizontal="left" wrapText="1"/>
    </xf>
    <xf numFmtId="0" fontId="6" fillId="0" borderId="2" xfId="0" applyFont="1" applyBorder="1" applyAlignment="1">
      <alignment horizontal="center"/>
    </xf>
    <xf numFmtId="0" fontId="6" fillId="0" borderId="6" xfId="0" applyFont="1" applyBorder="1" applyAlignment="1">
      <alignment horizontal="left"/>
    </xf>
    <xf numFmtId="0" fontId="6" fillId="0" borderId="7" xfId="0" applyFont="1" applyBorder="1" applyAlignment="1">
      <alignment horizontal="left"/>
    </xf>
    <xf numFmtId="0" fontId="6" fillId="0" borderId="8" xfId="0" applyFont="1" applyBorder="1" applyAlignment="1">
      <alignment horizontal="left"/>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6" fillId="0" borderId="1" xfId="0" applyFont="1" applyBorder="1" applyAlignment="1">
      <alignment horizontal="left" vertical="top"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2" xfId="0" applyFont="1" applyBorder="1" applyAlignment="1">
      <alignment horizontal="center" vertical="center" textRotation="255" wrapText="1"/>
    </xf>
    <xf numFmtId="0" fontId="6" fillId="0" borderId="117" xfId="0" applyFont="1" applyBorder="1" applyAlignment="1">
      <alignment horizontal="left" wrapText="1"/>
    </xf>
    <xf numFmtId="0" fontId="6" fillId="0" borderId="149" xfId="0" applyFont="1" applyBorder="1" applyAlignment="1">
      <alignment horizontal="left" wrapText="1"/>
    </xf>
    <xf numFmtId="0" fontId="6" fillId="0" borderId="4" xfId="0" applyFont="1" applyBorder="1" applyAlignment="1">
      <alignment horizontal="center" wrapText="1"/>
    </xf>
    <xf numFmtId="0" fontId="6" fillId="0" borderId="117" xfId="0" applyFont="1" applyBorder="1" applyAlignment="1">
      <alignment horizontal="center" wrapText="1"/>
    </xf>
    <xf numFmtId="0" fontId="6" fillId="0" borderId="5" xfId="0" applyFont="1" applyBorder="1" applyAlignment="1">
      <alignment horizontal="center" wrapText="1"/>
    </xf>
    <xf numFmtId="0" fontId="6" fillId="0" borderId="150" xfId="0" applyFont="1" applyBorder="1" applyAlignment="1">
      <alignment horizontal="center" wrapText="1"/>
    </xf>
    <xf numFmtId="0" fontId="6" fillId="0" borderId="20" xfId="0" applyFont="1" applyBorder="1" applyAlignment="1">
      <alignment horizontal="left" wrapText="1"/>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2" borderId="3" xfId="0" applyFont="1" applyFill="1" applyBorder="1" applyAlignment="1">
      <alignment horizontal="center" vertical="center"/>
    </xf>
    <xf numFmtId="0" fontId="18" fillId="2" borderId="4"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34" xfId="0" applyFont="1" applyFill="1" applyBorder="1" applyAlignment="1">
      <alignment horizontal="center" vertical="center"/>
    </xf>
    <xf numFmtId="0" fontId="18" fillId="2" borderId="135" xfId="0" applyFont="1" applyFill="1" applyBorder="1" applyAlignment="1">
      <alignment horizontal="center" vertical="center"/>
    </xf>
    <xf numFmtId="0" fontId="18" fillId="2" borderId="136" xfId="0" applyFont="1" applyFill="1" applyBorder="1" applyAlignment="1">
      <alignment horizontal="center" vertical="center"/>
    </xf>
    <xf numFmtId="0" fontId="18" fillId="2" borderId="120" xfId="0" applyFont="1" applyFill="1" applyBorder="1" applyAlignment="1">
      <alignment horizontal="center" vertical="center"/>
    </xf>
    <xf numFmtId="0" fontId="18" fillId="2" borderId="0" xfId="0" applyFont="1" applyFill="1" applyAlignment="1">
      <alignment horizontal="center" vertical="center"/>
    </xf>
    <xf numFmtId="0" fontId="18" fillId="2" borderId="5" xfId="0" applyFont="1" applyFill="1" applyBorder="1" applyAlignment="1">
      <alignment horizontal="center" vertical="center"/>
    </xf>
    <xf numFmtId="0" fontId="37" fillId="0" borderId="25" xfId="0" applyFont="1" applyBorder="1" applyAlignment="1">
      <alignment horizontal="center" vertical="center" wrapText="1"/>
    </xf>
    <xf numFmtId="0" fontId="0" fillId="0" borderId="29" xfId="0" applyBorder="1" applyAlignment="1">
      <alignment horizontal="center" vertical="center" wrapText="1"/>
    </xf>
    <xf numFmtId="0" fontId="0" fillId="0" borderId="28" xfId="0" applyBorder="1" applyAlignment="1">
      <alignment horizontal="center" vertical="center" wrapText="1"/>
    </xf>
    <xf numFmtId="0" fontId="37" fillId="0" borderId="2"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37" fillId="0" borderId="8" xfId="0" applyFont="1" applyBorder="1" applyAlignment="1">
      <alignment horizontal="center" vertical="center"/>
    </xf>
    <xf numFmtId="0" fontId="37" fillId="0" borderId="26" xfId="0" applyFont="1" applyBorder="1" applyAlignment="1">
      <alignment horizontal="center" vertical="center" wrapText="1"/>
    </xf>
    <xf numFmtId="0" fontId="37" fillId="0" borderId="26" xfId="0" applyFont="1" applyBorder="1" applyAlignment="1">
      <alignment horizontal="center" vertical="center" shrinkToFit="1"/>
    </xf>
    <xf numFmtId="0" fontId="37" fillId="0" borderId="94" xfId="0" applyFont="1" applyBorder="1" applyAlignment="1">
      <alignment horizontal="center" vertical="center"/>
    </xf>
    <xf numFmtId="0" fontId="37" fillId="0" borderId="95" xfId="0" applyFont="1" applyBorder="1" applyAlignment="1">
      <alignment horizontal="center" vertical="center" wrapText="1"/>
    </xf>
    <xf numFmtId="0" fontId="37" fillId="0" borderId="96" xfId="0" applyFont="1" applyBorder="1" applyAlignment="1">
      <alignment horizontal="center" vertical="center" wrapText="1"/>
    </xf>
    <xf numFmtId="0" fontId="37" fillId="0" borderId="97" xfId="0" applyFont="1" applyBorder="1" applyAlignment="1">
      <alignment horizontal="center" vertical="center" wrapText="1"/>
    </xf>
    <xf numFmtId="0" fontId="55" fillId="6" borderId="0" xfId="13" applyFill="1" applyAlignment="1">
      <alignment horizontal="center" vertical="center"/>
    </xf>
    <xf numFmtId="0" fontId="78" fillId="3" borderId="0" xfId="13" applyFont="1" applyFill="1" applyAlignment="1">
      <alignment horizontal="center" vertical="center"/>
    </xf>
    <xf numFmtId="0" fontId="55" fillId="6" borderId="5" xfId="13" applyFill="1" applyBorder="1" applyAlignment="1">
      <alignment horizontal="center" vertical="center" shrinkToFit="1"/>
    </xf>
    <xf numFmtId="0" fontId="55" fillId="6" borderId="7" xfId="13" applyFill="1" applyBorder="1" applyAlignment="1">
      <alignment horizontal="center" vertical="center" shrinkToFit="1"/>
    </xf>
    <xf numFmtId="0" fontId="56" fillId="3" borderId="0" xfId="13" applyFont="1" applyFill="1" applyAlignment="1">
      <alignment horizontal="left" vertical="center"/>
    </xf>
    <xf numFmtId="0" fontId="55" fillId="6" borderId="2" xfId="13" applyFill="1" applyBorder="1" applyAlignment="1">
      <alignment horizontal="center" vertical="center"/>
    </xf>
    <xf numFmtId="0" fontId="55" fillId="3" borderId="2" xfId="13" applyFill="1" applyBorder="1" applyAlignment="1">
      <alignment horizontal="center" vertical="center"/>
    </xf>
    <xf numFmtId="0" fontId="55" fillId="6" borderId="2" xfId="13" applyFill="1" applyBorder="1" applyAlignment="1">
      <alignment horizontal="center" vertical="center" shrinkToFit="1"/>
    </xf>
    <xf numFmtId="0" fontId="55" fillId="3" borderId="5" xfId="13" applyFill="1" applyBorder="1" applyAlignment="1">
      <alignment horizontal="left" vertical="center"/>
    </xf>
    <xf numFmtId="0" fontId="55" fillId="3" borderId="6" xfId="13" applyFill="1" applyBorder="1" applyAlignment="1">
      <alignment horizontal="center" vertical="center"/>
    </xf>
    <xf numFmtId="0" fontId="55" fillId="3" borderId="7" xfId="13" applyFill="1" applyBorder="1" applyAlignment="1">
      <alignment horizontal="center" vertical="center"/>
    </xf>
    <xf numFmtId="0" fontId="55" fillId="3" borderId="8" xfId="13" applyFill="1" applyBorder="1" applyAlignment="1">
      <alignment horizontal="center" vertical="center"/>
    </xf>
    <xf numFmtId="0" fontId="55" fillId="3" borderId="2" xfId="13" applyFill="1" applyBorder="1" applyAlignment="1">
      <alignment horizontal="center" vertical="center" wrapText="1"/>
    </xf>
    <xf numFmtId="0" fontId="106" fillId="3" borderId="2" xfId="13" applyFont="1" applyFill="1" applyBorder="1" applyAlignment="1">
      <alignment horizontal="center" vertical="top" wrapText="1"/>
    </xf>
    <xf numFmtId="0" fontId="55" fillId="3" borderId="2" xfId="13" applyFill="1" applyBorder="1" applyAlignment="1">
      <alignment horizontal="center" vertical="top" wrapText="1"/>
    </xf>
    <xf numFmtId="0" fontId="55" fillId="3" borderId="6" xfId="13" applyFill="1" applyBorder="1" applyAlignment="1">
      <alignment horizontal="center" vertical="center" wrapText="1"/>
    </xf>
    <xf numFmtId="0" fontId="55" fillId="3" borderId="7" xfId="13" applyFill="1" applyBorder="1" applyAlignment="1">
      <alignment horizontal="center" vertical="center" wrapText="1"/>
    </xf>
    <xf numFmtId="0" fontId="55" fillId="3" borderId="8" xfId="13" applyFill="1" applyBorder="1" applyAlignment="1">
      <alignment horizontal="center" vertical="center" wrapText="1"/>
    </xf>
    <xf numFmtId="177" fontId="80" fillId="6" borderId="2" xfId="22" applyNumberFormat="1" applyFont="1" applyFill="1" applyBorder="1" applyAlignment="1">
      <alignment horizontal="center" vertical="center"/>
    </xf>
    <xf numFmtId="0" fontId="55" fillId="3" borderId="25" xfId="13" applyFill="1" applyBorder="1" applyAlignment="1">
      <alignment horizontal="center" vertical="center"/>
    </xf>
    <xf numFmtId="0" fontId="55" fillId="3" borderId="28" xfId="13" applyFill="1" applyBorder="1" applyAlignment="1">
      <alignment horizontal="center" vertical="center"/>
    </xf>
    <xf numFmtId="180" fontId="80" fillId="3" borderId="3" xfId="13" applyNumberFormat="1" applyFont="1" applyFill="1" applyBorder="1" applyAlignment="1">
      <alignment horizontal="center" vertical="center"/>
    </xf>
    <xf numFmtId="180" fontId="80" fillId="3" borderId="4" xfId="13" applyNumberFormat="1" applyFont="1" applyFill="1" applyBorder="1" applyAlignment="1">
      <alignment horizontal="center" vertical="center"/>
    </xf>
    <xf numFmtId="180" fontId="80" fillId="3" borderId="1" xfId="13" applyNumberFormat="1" applyFont="1" applyFill="1" applyBorder="1" applyAlignment="1">
      <alignment horizontal="center" vertical="center"/>
    </xf>
    <xf numFmtId="180" fontId="80" fillId="3" borderId="16" xfId="13" applyNumberFormat="1" applyFont="1" applyFill="1" applyBorder="1" applyAlignment="1">
      <alignment horizontal="center" vertical="center"/>
    </xf>
    <xf numFmtId="180" fontId="80" fillId="3" borderId="5" xfId="13" applyNumberFormat="1" applyFont="1" applyFill="1" applyBorder="1" applyAlignment="1">
      <alignment horizontal="center" vertical="center"/>
    </xf>
    <xf numFmtId="180" fontId="80" fillId="3" borderId="15" xfId="13" applyNumberFormat="1" applyFont="1" applyFill="1" applyBorder="1" applyAlignment="1">
      <alignment horizontal="center" vertical="center"/>
    </xf>
    <xf numFmtId="0" fontId="55" fillId="0" borderId="25" xfId="13" applyBorder="1" applyAlignment="1">
      <alignment horizontal="center" vertical="center"/>
    </xf>
    <xf numFmtId="0" fontId="55" fillId="0" borderId="29" xfId="13" applyBorder="1" applyAlignment="1">
      <alignment horizontal="center" vertical="center"/>
    </xf>
    <xf numFmtId="0" fontId="55" fillId="0" borderId="28" xfId="13" applyBorder="1" applyAlignment="1">
      <alignment horizontal="center" vertical="center"/>
    </xf>
    <xf numFmtId="180" fontId="80" fillId="3" borderId="6" xfId="13" applyNumberFormat="1" applyFont="1" applyFill="1" applyBorder="1" applyAlignment="1">
      <alignment horizontal="center" vertical="center"/>
    </xf>
    <xf numFmtId="180" fontId="80" fillId="3" borderId="7" xfId="13" applyNumberFormat="1" applyFont="1" applyFill="1" applyBorder="1" applyAlignment="1">
      <alignment horizontal="center" vertical="center"/>
    </xf>
    <xf numFmtId="180" fontId="80" fillId="3" borderId="8" xfId="13" applyNumberFormat="1" applyFont="1" applyFill="1" applyBorder="1" applyAlignment="1">
      <alignment horizontal="center" vertical="center"/>
    </xf>
    <xf numFmtId="0" fontId="55" fillId="3" borderId="3" xfId="13" applyFill="1" applyBorder="1" applyAlignment="1">
      <alignment horizontal="center" vertical="center" wrapText="1"/>
    </xf>
    <xf numFmtId="0" fontId="55" fillId="3" borderId="4" xfId="13" applyFill="1" applyBorder="1" applyAlignment="1">
      <alignment horizontal="center" vertical="center" wrapText="1"/>
    </xf>
    <xf numFmtId="0" fontId="55" fillId="3" borderId="1" xfId="13" applyFill="1" applyBorder="1" applyAlignment="1">
      <alignment horizontal="center" vertical="center" wrapText="1"/>
    </xf>
    <xf numFmtId="178" fontId="80" fillId="7" borderId="3" xfId="5" applyNumberFormat="1" applyFont="1" applyFill="1" applyBorder="1" applyAlignment="1">
      <alignment horizontal="center" vertical="center"/>
    </xf>
    <xf numFmtId="178" fontId="80" fillId="7" borderId="4" xfId="5" applyNumberFormat="1" applyFont="1" applyFill="1" applyBorder="1" applyAlignment="1">
      <alignment horizontal="center" vertical="center"/>
    </xf>
    <xf numFmtId="178" fontId="80" fillId="7" borderId="1" xfId="5" applyNumberFormat="1" applyFont="1" applyFill="1" applyBorder="1" applyAlignment="1">
      <alignment horizontal="center" vertical="center"/>
    </xf>
    <xf numFmtId="178" fontId="80" fillId="7" borderId="16" xfId="5" applyNumberFormat="1" applyFont="1" applyFill="1" applyBorder="1" applyAlignment="1">
      <alignment horizontal="center" vertical="center"/>
    </xf>
    <xf numFmtId="178" fontId="80" fillId="7" borderId="5" xfId="5" applyNumberFormat="1" applyFont="1" applyFill="1" applyBorder="1" applyAlignment="1">
      <alignment horizontal="center" vertical="center"/>
    </xf>
    <xf numFmtId="178" fontId="80" fillId="7" borderId="15" xfId="5" applyNumberFormat="1" applyFont="1" applyFill="1" applyBorder="1" applyAlignment="1">
      <alignment horizontal="center" vertical="center"/>
    </xf>
    <xf numFmtId="0" fontId="55" fillId="3" borderId="16" xfId="13" applyFill="1" applyBorder="1" applyAlignment="1">
      <alignment horizontal="center" vertical="center"/>
    </xf>
    <xf numFmtId="0" fontId="55" fillId="3" borderId="5" xfId="13" applyFill="1" applyBorder="1" applyAlignment="1">
      <alignment horizontal="center" vertical="center"/>
    </xf>
    <xf numFmtId="0" fontId="55" fillId="3" borderId="15" xfId="13" applyFill="1" applyBorder="1" applyAlignment="1">
      <alignment horizontal="center" vertical="center"/>
    </xf>
    <xf numFmtId="0" fontId="55" fillId="3" borderId="0" xfId="13" applyFill="1" applyAlignment="1">
      <alignment horizontal="left" vertical="center"/>
    </xf>
    <xf numFmtId="0" fontId="55" fillId="3" borderId="0" xfId="13" applyFill="1" applyAlignment="1">
      <alignment horizontal="left" vertical="center" wrapText="1"/>
    </xf>
    <xf numFmtId="0" fontId="6" fillId="0" borderId="0" xfId="0" applyFont="1" applyAlignment="1">
      <alignment horizont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0" xfId="0" applyFont="1" applyAlignment="1">
      <alignment horizontal="center" vertical="top" wrapText="1"/>
    </xf>
    <xf numFmtId="0" fontId="6" fillId="0" borderId="27" xfId="0" applyFont="1" applyBorder="1" applyAlignment="1">
      <alignment horizontal="center" vertical="top"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1" xfId="0" applyFont="1" applyBorder="1" applyAlignment="1">
      <alignment horizontal="center"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6" fillId="0" borderId="17" xfId="0" applyFont="1" applyBorder="1" applyAlignment="1">
      <alignment horizontal="center" vertical="center"/>
    </xf>
    <xf numFmtId="0" fontId="6" fillId="0" borderId="27" xfId="0" applyFont="1" applyBorder="1" applyAlignment="1">
      <alignment horizontal="center"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 xfId="0" applyFont="1" applyBorder="1" applyAlignment="1">
      <alignment horizontal="left" vertical="center"/>
    </xf>
    <xf numFmtId="0" fontId="6" fillId="0" borderId="16"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8" xfId="0" applyFont="1" applyBorder="1" applyAlignment="1">
      <alignment horizontal="center" vertical="center"/>
    </xf>
    <xf numFmtId="0" fontId="7" fillId="0" borderId="0" xfId="0" applyFont="1" applyAlignment="1">
      <alignment horizontal="left"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16" fillId="0" borderId="2" xfId="0" applyFont="1" applyBorder="1" applyAlignment="1">
      <alignment horizontal="center" vertical="center"/>
    </xf>
    <xf numFmtId="0" fontId="6" fillId="0" borderId="0" xfId="0" applyFont="1" applyAlignment="1">
      <alignment horizontal="center" vertical="center" wrapText="1"/>
    </xf>
    <xf numFmtId="1" fontId="6" fillId="2" borderId="6" xfId="0" applyNumberFormat="1" applyFont="1" applyFill="1" applyBorder="1" applyAlignment="1">
      <alignment horizontal="center" vertical="center"/>
    </xf>
    <xf numFmtId="1" fontId="6" fillId="2" borderId="7" xfId="0" applyNumberFormat="1" applyFont="1" applyFill="1" applyBorder="1" applyAlignment="1">
      <alignment horizontal="center" vertical="center"/>
    </xf>
    <xf numFmtId="0" fontId="16" fillId="0" borderId="8" xfId="0" applyFont="1" applyBorder="1" applyAlignment="1">
      <alignment horizontal="center" vertical="center"/>
    </xf>
    <xf numFmtId="0" fontId="16" fillId="0" borderId="6" xfId="0" applyFont="1" applyBorder="1" applyAlignment="1">
      <alignment horizontal="center" vertical="center"/>
    </xf>
    <xf numFmtId="0" fontId="16" fillId="0" borderId="28" xfId="0" applyFont="1" applyBorder="1" applyAlignment="1">
      <alignment horizontal="center" vertical="center"/>
    </xf>
    <xf numFmtId="0" fontId="6" fillId="0" borderId="0" xfId="0" applyFont="1" applyAlignment="1">
      <alignment vertical="center" wrapText="1"/>
    </xf>
    <xf numFmtId="0" fontId="15" fillId="0" borderId="0" xfId="0" applyFont="1" applyAlignment="1">
      <alignment horizontal="center" vertical="top" wrapText="1"/>
    </xf>
    <xf numFmtId="0" fontId="15" fillId="0" borderId="0" xfId="0" applyFont="1" applyAlignment="1">
      <alignment horizontal="center" vertical="top"/>
    </xf>
    <xf numFmtId="0" fontId="15" fillId="0" borderId="0" xfId="0" applyFont="1" applyAlignment="1">
      <alignment horizontal="left" vertical="top" wrapText="1"/>
    </xf>
    <xf numFmtId="0" fontId="37" fillId="0" borderId="3"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17" xfId="0" applyFont="1" applyBorder="1" applyAlignment="1">
      <alignment horizontal="center" vertical="center" wrapText="1"/>
    </xf>
    <xf numFmtId="0" fontId="37" fillId="0" borderId="0" xfId="0" applyFont="1" applyAlignment="1">
      <alignment horizontal="center" vertical="center" wrapText="1"/>
    </xf>
    <xf numFmtId="0" fontId="37" fillId="0" borderId="27" xfId="0" applyFont="1" applyBorder="1" applyAlignment="1">
      <alignment horizontal="center" vertical="center" wrapText="1"/>
    </xf>
    <xf numFmtId="0" fontId="37" fillId="0" borderId="16"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6" xfId="0" applyFont="1" applyBorder="1" applyAlignment="1">
      <alignment vertical="center" wrapText="1"/>
    </xf>
    <xf numFmtId="0" fontId="37" fillId="0" borderId="7" xfId="0" applyFont="1" applyBorder="1" applyAlignment="1">
      <alignment vertical="center"/>
    </xf>
    <xf numFmtId="0" fontId="37" fillId="0" borderId="6" xfId="0" applyFont="1" applyBorder="1" applyAlignment="1">
      <alignment horizontal="left" vertical="center" wrapText="1"/>
    </xf>
    <xf numFmtId="0" fontId="37" fillId="0" borderId="7" xfId="0" applyFont="1" applyBorder="1" applyAlignment="1">
      <alignment horizontal="left" vertical="center" wrapText="1"/>
    </xf>
    <xf numFmtId="0" fontId="6" fillId="0" borderId="3" xfId="0" applyFont="1" applyBorder="1" applyAlignment="1">
      <alignment horizontal="center" vertical="center" textRotation="255"/>
    </xf>
    <xf numFmtId="0" fontId="6" fillId="0" borderId="1" xfId="0" applyFont="1" applyBorder="1" applyAlignment="1">
      <alignment horizontal="center" vertical="center" textRotation="255"/>
    </xf>
    <xf numFmtId="0" fontId="6" fillId="0" borderId="17" xfId="0" applyFont="1" applyBorder="1" applyAlignment="1">
      <alignment horizontal="center" vertical="center" textRotation="255"/>
    </xf>
    <xf numFmtId="0" fontId="6" fillId="0" borderId="27" xfId="0" applyFont="1" applyBorder="1" applyAlignment="1">
      <alignment horizontal="center" vertical="center" textRotation="255"/>
    </xf>
    <xf numFmtId="0" fontId="6" fillId="0" borderId="16" xfId="0" applyFont="1" applyBorder="1" applyAlignment="1">
      <alignment horizontal="center" vertical="center" textRotation="255"/>
    </xf>
    <xf numFmtId="0" fontId="6" fillId="0" borderId="15" xfId="0" applyFont="1" applyBorder="1" applyAlignment="1">
      <alignment horizontal="center" vertical="center" textRotation="255"/>
    </xf>
    <xf numFmtId="0" fontId="37" fillId="0" borderId="7" xfId="0" applyFont="1" applyBorder="1" applyAlignment="1">
      <alignment vertical="center" wrapText="1"/>
    </xf>
    <xf numFmtId="0" fontId="37" fillId="0" borderId="8" xfId="0" applyFont="1" applyBorder="1" applyAlignment="1">
      <alignment vertical="center" wrapText="1"/>
    </xf>
    <xf numFmtId="0" fontId="6" fillId="0" borderId="8" xfId="0" applyFont="1" applyBorder="1" applyAlignment="1">
      <alignment horizontal="center" vertical="center" textRotation="255"/>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27" xfId="0" applyFont="1" applyBorder="1" applyAlignment="1">
      <alignment horizontal="left" vertical="center"/>
    </xf>
    <xf numFmtId="0" fontId="7" fillId="0" borderId="3" xfId="0" applyFont="1" applyBorder="1" applyAlignment="1">
      <alignment wrapText="1"/>
    </xf>
    <xf numFmtId="0" fontId="7" fillId="0" borderId="4" xfId="0" applyFont="1" applyBorder="1" applyAlignment="1">
      <alignment wrapText="1"/>
    </xf>
    <xf numFmtId="0" fontId="7" fillId="0" borderId="1" xfId="0" applyFont="1" applyBorder="1" applyAlignment="1">
      <alignment wrapText="1"/>
    </xf>
    <xf numFmtId="0" fontId="7" fillId="0" borderId="17" xfId="0" applyFont="1" applyBorder="1" applyAlignment="1">
      <alignment horizontal="left" vertical="top" wrapText="1"/>
    </xf>
    <xf numFmtId="0" fontId="7" fillId="0" borderId="0" xfId="0" applyFont="1" applyAlignment="1">
      <alignment horizontal="left" vertical="top" wrapText="1"/>
    </xf>
    <xf numFmtId="0" fontId="7" fillId="0" borderId="27" xfId="0" applyFont="1" applyBorder="1" applyAlignment="1">
      <alignment horizontal="left" vertical="top" wrapText="1"/>
    </xf>
    <xf numFmtId="0" fontId="7" fillId="0" borderId="17" xfId="0" applyFont="1" applyBorder="1" applyAlignment="1">
      <alignment vertical="top" wrapText="1"/>
    </xf>
    <xf numFmtId="0" fontId="7" fillId="0" borderId="0" xfId="0" applyFont="1" applyAlignment="1">
      <alignment vertical="top" wrapText="1"/>
    </xf>
    <xf numFmtId="0" fontId="7" fillId="0" borderId="27" xfId="0" applyFont="1" applyBorder="1" applyAlignment="1">
      <alignment vertical="top" wrapText="1"/>
    </xf>
    <xf numFmtId="0" fontId="7" fillId="0" borderId="16" xfId="0" applyFont="1" applyBorder="1" applyAlignment="1">
      <alignment vertical="top" wrapText="1"/>
    </xf>
    <xf numFmtId="0" fontId="7" fillId="0" borderId="5" xfId="0" applyFont="1" applyBorder="1" applyAlignment="1">
      <alignment vertical="top" wrapText="1"/>
    </xf>
    <xf numFmtId="0" fontId="7" fillId="0" borderId="15" xfId="0" applyFont="1" applyBorder="1" applyAlignment="1">
      <alignment vertical="top" wrapText="1"/>
    </xf>
    <xf numFmtId="0" fontId="6" fillId="0" borderId="2" xfId="0" applyFont="1" applyBorder="1" applyAlignment="1">
      <alignment horizontal="left" vertical="center"/>
    </xf>
    <xf numFmtId="0" fontId="37" fillId="0" borderId="6" xfId="0" applyFont="1" applyBorder="1" applyAlignment="1">
      <alignment horizontal="left" vertical="center"/>
    </xf>
    <xf numFmtId="0" fontId="37" fillId="0" borderId="7" xfId="0" applyFont="1" applyBorder="1" applyAlignment="1">
      <alignment horizontal="left" vertical="center"/>
    </xf>
    <xf numFmtId="0" fontId="37" fillId="0" borderId="8" xfId="0" applyFont="1" applyBorder="1" applyAlignment="1">
      <alignment horizontal="left" vertical="center"/>
    </xf>
    <xf numFmtId="0" fontId="15" fillId="0" borderId="0" xfId="0" applyFont="1" applyAlignment="1">
      <alignment vertical="top" wrapText="1"/>
    </xf>
    <xf numFmtId="0" fontId="6" fillId="0" borderId="17"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2"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6" fillId="0" borderId="16" xfId="0" applyFont="1" applyBorder="1" applyAlignment="1">
      <alignment vertical="center"/>
    </xf>
    <xf numFmtId="0" fontId="6" fillId="0" borderId="5" xfId="0" applyFont="1" applyBorder="1" applyAlignment="1">
      <alignment vertical="center"/>
    </xf>
    <xf numFmtId="0" fontId="37" fillId="0" borderId="16" xfId="0" applyFont="1" applyBorder="1" applyAlignment="1">
      <alignment horizontal="left" vertical="center" wrapText="1"/>
    </xf>
    <xf numFmtId="0" fontId="37" fillId="0" borderId="5" xfId="0" applyFont="1" applyBorder="1" applyAlignment="1">
      <alignment horizontal="left" vertical="center" wrapText="1"/>
    </xf>
    <xf numFmtId="0" fontId="6" fillId="0" borderId="28" xfId="0" applyFont="1" applyBorder="1" applyAlignment="1">
      <alignment vertical="center"/>
    </xf>
    <xf numFmtId="0" fontId="16" fillId="0" borderId="4" xfId="0" applyFont="1" applyBorder="1" applyAlignment="1">
      <alignment horizontal="center" vertical="center" shrinkToFit="1"/>
    </xf>
    <xf numFmtId="0" fontId="16" fillId="0" borderId="1" xfId="0" applyFont="1" applyBorder="1" applyAlignment="1">
      <alignment horizontal="center" vertical="center" shrinkToFit="1"/>
    </xf>
    <xf numFmtId="0" fontId="37" fillId="0" borderId="8" xfId="0" applyFont="1" applyBorder="1" applyAlignment="1">
      <alignment horizontal="left" vertical="center" wrapText="1"/>
    </xf>
    <xf numFmtId="0" fontId="6" fillId="0" borderId="17" xfId="0" applyFont="1" applyBorder="1" applyAlignment="1">
      <alignment horizontal="left" vertical="top"/>
    </xf>
    <xf numFmtId="0" fontId="6" fillId="0" borderId="0" xfId="0" applyFont="1" applyAlignment="1">
      <alignment horizontal="left" vertical="top"/>
    </xf>
    <xf numFmtId="0" fontId="6" fillId="0" borderId="27" xfId="0" applyFont="1" applyBorder="1" applyAlignment="1">
      <alignment horizontal="left" vertical="top"/>
    </xf>
    <xf numFmtId="0" fontId="7" fillId="0" borderId="2" xfId="0" applyFont="1" applyBorder="1" applyAlignment="1">
      <alignment vertical="center" wrapText="1"/>
    </xf>
    <xf numFmtId="0" fontId="7" fillId="0" borderId="2" xfId="0" applyFont="1" applyBorder="1" applyAlignment="1">
      <alignment vertical="center"/>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0" xfId="0" applyFont="1" applyAlignment="1">
      <alignment horizontal="left" vertical="center" wrapText="1"/>
    </xf>
    <xf numFmtId="0" fontId="6" fillId="0" borderId="17" xfId="0" applyFont="1" applyBorder="1" applyAlignment="1">
      <alignment vertical="center" wrapText="1"/>
    </xf>
    <xf numFmtId="0" fontId="6" fillId="0" borderId="27" xfId="0" applyFont="1" applyBorder="1" applyAlignment="1">
      <alignment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xf>
    <xf numFmtId="0" fontId="15" fillId="0" borderId="1" xfId="0" applyFont="1" applyBorder="1" applyAlignment="1">
      <alignment horizontal="center" vertical="center"/>
    </xf>
    <xf numFmtId="0" fontId="15" fillId="0" borderId="17" xfId="0" applyFont="1" applyBorder="1" applyAlignment="1">
      <alignment horizontal="center" vertical="center"/>
    </xf>
    <xf numFmtId="0" fontId="15" fillId="0" borderId="0" xfId="0" applyFont="1" applyAlignment="1">
      <alignment horizontal="center" vertical="center"/>
    </xf>
    <xf numFmtId="0" fontId="15" fillId="0" borderId="27" xfId="0" applyFont="1" applyBorder="1" applyAlignment="1">
      <alignment horizontal="center" vertical="center"/>
    </xf>
    <xf numFmtId="0" fontId="15" fillId="0" borderId="16" xfId="0" applyFont="1" applyBorder="1" applyAlignment="1">
      <alignment horizontal="center" vertical="center"/>
    </xf>
    <xf numFmtId="0" fontId="15" fillId="0" borderId="5" xfId="0" applyFont="1" applyBorder="1" applyAlignment="1">
      <alignment horizontal="center" vertical="center"/>
    </xf>
    <xf numFmtId="0" fontId="15" fillId="0" borderId="15" xfId="0" applyFont="1" applyBorder="1" applyAlignment="1">
      <alignment horizontal="center" vertical="center"/>
    </xf>
    <xf numFmtId="0" fontId="15" fillId="0" borderId="2" xfId="0" applyFont="1" applyBorder="1" applyAlignment="1">
      <alignment horizontal="center" vertical="center" wrapText="1"/>
    </xf>
    <xf numFmtId="0" fontId="15" fillId="0" borderId="2" xfId="0" applyFont="1" applyBorder="1" applyAlignment="1">
      <alignment horizontal="center" vertical="center"/>
    </xf>
    <xf numFmtId="0" fontId="9" fillId="0" borderId="0" xfId="0" applyFont="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55" fillId="0" borderId="0" xfId="23" applyAlignment="1">
      <alignment horizontal="left" vertical="center"/>
    </xf>
    <xf numFmtId="0" fontId="55" fillId="6" borderId="6" xfId="23" applyFill="1" applyBorder="1" applyAlignment="1">
      <alignment horizontal="center" vertical="center"/>
    </xf>
    <xf numFmtId="0" fontId="55" fillId="6" borderId="7" xfId="23" applyFill="1" applyBorder="1" applyAlignment="1">
      <alignment horizontal="center" vertical="center"/>
    </xf>
    <xf numFmtId="0" fontId="55" fillId="0" borderId="2" xfId="23" applyBorder="1" applyAlignment="1">
      <alignment horizontal="center" vertical="center"/>
    </xf>
    <xf numFmtId="0" fontId="55" fillId="0" borderId="6" xfId="23" applyBorder="1" applyAlignment="1">
      <alignment horizontal="center" vertical="center"/>
    </xf>
    <xf numFmtId="0" fontId="55" fillId="0" borderId="7" xfId="23" applyBorder="1" applyAlignment="1">
      <alignment horizontal="center" vertical="center"/>
    </xf>
    <xf numFmtId="0" fontId="55" fillId="0" borderId="2" xfId="23" applyBorder="1" applyAlignment="1">
      <alignment horizontal="center" vertical="center" wrapText="1"/>
    </xf>
    <xf numFmtId="180" fontId="55" fillId="0" borderId="6" xfId="23" applyNumberFormat="1" applyBorder="1" applyAlignment="1">
      <alignment horizontal="center" vertical="center"/>
    </xf>
    <xf numFmtId="180" fontId="55" fillId="0" borderId="7" xfId="23" applyNumberFormat="1" applyBorder="1" applyAlignment="1">
      <alignment horizontal="center" vertical="center"/>
    </xf>
    <xf numFmtId="178" fontId="2" fillId="7" borderId="6" xfId="24" applyNumberFormat="1" applyFont="1" applyFill="1" applyBorder="1" applyAlignment="1">
      <alignment horizontal="center" vertical="center"/>
    </xf>
    <xf numFmtId="178" fontId="2" fillId="7" borderId="7" xfId="24" applyNumberFormat="1" applyFont="1" applyFill="1" applyBorder="1" applyAlignment="1">
      <alignment horizontal="center" vertical="center"/>
    </xf>
    <xf numFmtId="178" fontId="2" fillId="7" borderId="8" xfId="24" applyNumberFormat="1" applyFont="1" applyFill="1" applyBorder="1" applyAlignment="1">
      <alignment horizontal="center" vertical="center"/>
    </xf>
    <xf numFmtId="0" fontId="55" fillId="0" borderId="6" xfId="23" applyBorder="1" applyAlignment="1">
      <alignment horizontal="center" vertical="center" wrapText="1"/>
    </xf>
    <xf numFmtId="0" fontId="55" fillId="0" borderId="7" xfId="23" applyBorder="1" applyAlignment="1">
      <alignment horizontal="center" vertical="center" wrapText="1"/>
    </xf>
    <xf numFmtId="0" fontId="55" fillId="0" borderId="8" xfId="23" applyBorder="1" applyAlignment="1">
      <alignment horizontal="center" vertical="center" wrapText="1"/>
    </xf>
    <xf numFmtId="0" fontId="55" fillId="0" borderId="8" xfId="23" applyBorder="1" applyAlignment="1">
      <alignment horizontal="center" vertical="center"/>
    </xf>
    <xf numFmtId="0" fontId="55" fillId="6" borderId="2" xfId="23" applyFill="1" applyBorder="1" applyAlignment="1">
      <alignment horizontal="center" vertical="center"/>
    </xf>
    <xf numFmtId="0" fontId="91" fillId="0" borderId="0" xfId="23" applyFont="1" applyAlignment="1">
      <alignment horizontal="center" vertical="center"/>
    </xf>
    <xf numFmtId="0" fontId="55" fillId="6" borderId="42" xfId="23" applyFill="1" applyBorder="1" applyAlignment="1">
      <alignment horizontal="center" vertical="center" shrinkToFit="1"/>
    </xf>
    <xf numFmtId="0" fontId="55" fillId="6" borderId="33" xfId="23" applyFill="1" applyBorder="1" applyAlignment="1">
      <alignment horizontal="center" vertical="center" shrinkToFit="1"/>
    </xf>
    <xf numFmtId="0" fontId="7" fillId="0" borderId="0" xfId="0" applyFont="1" applyAlignment="1">
      <alignment horizontal="center" vertical="center"/>
    </xf>
    <xf numFmtId="0" fontId="7" fillId="0" borderId="2" xfId="0" applyFont="1" applyBorder="1" applyAlignment="1">
      <alignment horizontal="left" vertical="center" shrinkToFit="1"/>
    </xf>
    <xf numFmtId="0" fontId="15" fillId="0" borderId="2" xfId="0" applyFont="1" applyBorder="1" applyAlignment="1">
      <alignment horizontal="left" vertical="center" shrinkToFit="1"/>
    </xf>
    <xf numFmtId="0" fontId="6" fillId="0" borderId="0" xfId="0" applyFont="1" applyAlignment="1">
      <alignment horizontal="left" vertical="center" shrinkToFit="1"/>
    </xf>
    <xf numFmtId="0" fontId="6" fillId="0" borderId="8" xfId="0" applyFont="1" applyBorder="1" applyAlignment="1">
      <alignment vertical="center"/>
    </xf>
    <xf numFmtId="0" fontId="6" fillId="0" borderId="6" xfId="0" applyFont="1" applyBorder="1" applyAlignment="1">
      <alignment horizontal="right" vertical="center"/>
    </xf>
    <xf numFmtId="0" fontId="6" fillId="0" borderId="7" xfId="0" applyFont="1" applyBorder="1" applyAlignment="1">
      <alignment horizontal="right" vertical="center"/>
    </xf>
    <xf numFmtId="0" fontId="6" fillId="0" borderId="8" xfId="0" applyFont="1" applyBorder="1" applyAlignment="1">
      <alignment horizontal="right" vertical="center"/>
    </xf>
    <xf numFmtId="0" fontId="15" fillId="0" borderId="0" xfId="0" applyFont="1" applyAlignment="1">
      <alignment horizontal="left" vertical="center" shrinkToFit="1"/>
    </xf>
    <xf numFmtId="0" fontId="6" fillId="0" borderId="0" xfId="0" applyFont="1" applyAlignment="1">
      <alignment horizontal="center" vertical="center" shrinkToFit="1"/>
    </xf>
    <xf numFmtId="0" fontId="6" fillId="0" borderId="5" xfId="0" applyFont="1" applyBorder="1" applyAlignment="1">
      <alignment horizontal="left" vertical="center" shrinkToFit="1"/>
    </xf>
    <xf numFmtId="0" fontId="16" fillId="0" borderId="7"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6" fillId="3" borderId="0" xfId="0" applyFont="1" applyFill="1" applyAlignment="1">
      <alignment horizontal="left" vertical="center" wrapText="1"/>
    </xf>
    <xf numFmtId="0" fontId="7" fillId="3" borderId="2" xfId="0" applyFont="1" applyFill="1" applyBorder="1" applyAlignment="1">
      <alignment horizontal="left" vertical="center"/>
    </xf>
    <xf numFmtId="0" fontId="6" fillId="3" borderId="17" xfId="0" applyFont="1" applyFill="1" applyBorder="1" applyAlignment="1">
      <alignment horizontal="left" vertical="center" wrapText="1"/>
    </xf>
    <xf numFmtId="0" fontId="6" fillId="3" borderId="27" xfId="0" applyFont="1" applyFill="1" applyBorder="1" applyAlignment="1">
      <alignment horizontal="left" vertical="center" wrapText="1"/>
    </xf>
    <xf numFmtId="0" fontId="7" fillId="3" borderId="0" xfId="0" applyFont="1" applyFill="1" applyAlignment="1">
      <alignment horizontal="left" vertical="top" wrapText="1"/>
    </xf>
    <xf numFmtId="0" fontId="7" fillId="3" borderId="28" xfId="0" applyFont="1" applyFill="1" applyBorder="1" applyAlignment="1">
      <alignment horizontal="left" vertical="center"/>
    </xf>
    <xf numFmtId="0" fontId="11" fillId="3" borderId="93" xfId="0" quotePrefix="1" applyFont="1" applyFill="1" applyBorder="1" applyAlignment="1">
      <alignment horizontal="center" vertical="center"/>
    </xf>
    <xf numFmtId="0" fontId="6" fillId="3" borderId="2" xfId="0" applyFont="1" applyFill="1" applyBorder="1" applyAlignment="1">
      <alignment horizontal="center" vertical="center"/>
    </xf>
    <xf numFmtId="0" fontId="6" fillId="3" borderId="6" xfId="0" applyFont="1" applyFill="1" applyBorder="1" applyAlignment="1">
      <alignment horizontal="center" vertical="center"/>
    </xf>
    <xf numFmtId="0" fontId="15" fillId="3" borderId="98" xfId="0" quotePrefix="1" applyFont="1" applyFill="1" applyBorder="1" applyAlignment="1">
      <alignment horizontal="center" vertical="center"/>
    </xf>
    <xf numFmtId="0" fontId="15" fillId="3" borderId="99" xfId="0" quotePrefix="1" applyFont="1" applyFill="1" applyBorder="1" applyAlignment="1">
      <alignment horizontal="center" vertical="center"/>
    </xf>
    <xf numFmtId="0" fontId="15" fillId="3" borderId="63" xfId="0" quotePrefix="1" applyFont="1" applyFill="1" applyBorder="1" applyAlignment="1">
      <alignment horizontal="center" vertical="center"/>
    </xf>
    <xf numFmtId="0" fontId="15" fillId="3" borderId="64" xfId="0" quotePrefix="1" applyFont="1" applyFill="1" applyBorder="1" applyAlignment="1">
      <alignment horizontal="center" vertical="center"/>
    </xf>
    <xf numFmtId="0" fontId="7" fillId="3" borderId="0" xfId="0" applyFont="1" applyFill="1" applyAlignment="1">
      <alignment horizontal="left" vertical="center" wrapText="1"/>
    </xf>
    <xf numFmtId="0" fontId="7" fillId="3" borderId="2" xfId="0" applyFont="1" applyFill="1" applyBorder="1" applyAlignment="1">
      <alignment horizontal="center" vertical="center"/>
    </xf>
    <xf numFmtId="0" fontId="7" fillId="3" borderId="2" xfId="0" applyFont="1" applyFill="1" applyBorder="1" applyAlignment="1">
      <alignment vertical="center" wrapText="1"/>
    </xf>
    <xf numFmtId="0" fontId="6" fillId="3" borderId="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2" xfId="0" applyFont="1" applyFill="1" applyBorder="1" applyAlignment="1">
      <alignment horizontal="left" vertical="center" wrapText="1"/>
    </xf>
    <xf numFmtId="0" fontId="6" fillId="3" borderId="3"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27" xfId="0" applyFont="1" applyFill="1" applyBorder="1" applyAlignment="1">
      <alignment horizontal="center" vertical="center"/>
    </xf>
    <xf numFmtId="0" fontId="6" fillId="3" borderId="15" xfId="0" applyFont="1" applyFill="1" applyBorder="1" applyAlignment="1">
      <alignment horizontal="center" vertical="center"/>
    </xf>
    <xf numFmtId="0" fontId="6" fillId="3" borderId="17" xfId="0" applyFont="1" applyFill="1" applyBorder="1" applyAlignment="1">
      <alignment horizontal="center" vertical="center" wrapText="1"/>
    </xf>
    <xf numFmtId="0" fontId="6" fillId="3" borderId="0" xfId="0" applyFont="1" applyFill="1" applyAlignment="1">
      <alignment horizontal="center" vertical="center" wrapText="1"/>
    </xf>
    <xf numFmtId="0" fontId="7" fillId="3" borderId="3" xfId="0" applyFont="1" applyFill="1" applyBorder="1" applyAlignment="1">
      <alignment horizontal="left" vertical="center" wrapText="1"/>
    </xf>
    <xf numFmtId="0" fontId="7" fillId="3" borderId="4" xfId="0" applyFont="1" applyFill="1" applyBorder="1" applyAlignment="1">
      <alignment horizontal="left" vertical="center" wrapText="1"/>
    </xf>
    <xf numFmtId="0" fontId="7" fillId="3" borderId="1" xfId="0" applyFont="1" applyFill="1" applyBorder="1" applyAlignment="1">
      <alignment horizontal="left" vertical="center" wrapText="1"/>
    </xf>
    <xf numFmtId="0" fontId="7" fillId="3" borderId="16" xfId="0" applyFont="1" applyFill="1" applyBorder="1" applyAlignment="1">
      <alignment horizontal="left" vertical="center" wrapText="1"/>
    </xf>
    <xf numFmtId="0" fontId="7" fillId="3" borderId="5" xfId="0" applyFont="1" applyFill="1" applyBorder="1" applyAlignment="1">
      <alignment horizontal="left" vertical="center" wrapText="1"/>
    </xf>
    <xf numFmtId="0" fontId="7" fillId="3" borderId="15" xfId="0" applyFont="1" applyFill="1" applyBorder="1" applyAlignment="1">
      <alignment horizontal="left" vertical="center" wrapText="1"/>
    </xf>
    <xf numFmtId="0" fontId="7" fillId="3" borderId="6" xfId="0" applyFont="1" applyFill="1" applyBorder="1" applyAlignment="1">
      <alignment horizontal="left" vertical="center" wrapText="1"/>
    </xf>
    <xf numFmtId="0" fontId="7" fillId="3" borderId="7" xfId="0" applyFont="1" applyFill="1" applyBorder="1" applyAlignment="1">
      <alignment horizontal="left" vertical="center" wrapText="1"/>
    </xf>
    <xf numFmtId="0" fontId="7" fillId="3" borderId="8" xfId="0" applyFont="1" applyFill="1" applyBorder="1" applyAlignment="1">
      <alignment horizontal="left" vertical="center" wrapText="1"/>
    </xf>
    <xf numFmtId="0" fontId="7" fillId="3" borderId="0" xfId="0" applyFont="1" applyFill="1" applyAlignment="1">
      <alignment horizontal="center" vertical="center" wrapText="1"/>
    </xf>
    <xf numFmtId="0" fontId="7" fillId="3" borderId="17" xfId="0" applyFont="1" applyFill="1" applyBorder="1" applyAlignment="1">
      <alignment horizontal="left" vertical="center" wrapText="1"/>
    </xf>
    <xf numFmtId="0" fontId="7" fillId="3" borderId="27" xfId="0" applyFont="1" applyFill="1" applyBorder="1" applyAlignment="1">
      <alignment horizontal="left" vertical="center" wrapText="1"/>
    </xf>
    <xf numFmtId="0" fontId="7" fillId="3" borderId="62" xfId="0" applyFont="1" applyFill="1" applyBorder="1" applyAlignment="1">
      <alignment horizontal="left" vertical="center" wrapText="1"/>
    </xf>
    <xf numFmtId="0" fontId="7" fillId="3" borderId="0" xfId="0" applyFont="1" applyFill="1" applyAlignment="1">
      <alignment horizontal="center" vertical="center"/>
    </xf>
    <xf numFmtId="0" fontId="7" fillId="3" borderId="28" xfId="0" applyFont="1" applyFill="1" applyBorder="1" applyAlignment="1">
      <alignment horizontal="center" vertical="center"/>
    </xf>
    <xf numFmtId="0" fontId="7" fillId="3" borderId="28"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7" fillId="3" borderId="25" xfId="0" applyFont="1" applyFill="1" applyBorder="1" applyAlignment="1">
      <alignment horizontal="center" vertical="center"/>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6" fillId="3" borderId="4" xfId="0" applyFont="1" applyFill="1" applyBorder="1" applyAlignment="1">
      <alignment horizontal="center" vertical="center"/>
    </xf>
    <xf numFmtId="0" fontId="6" fillId="3" borderId="0" xfId="0" applyFont="1" applyFill="1" applyAlignment="1">
      <alignment horizontal="center" vertical="center"/>
    </xf>
    <xf numFmtId="0" fontId="6" fillId="3" borderId="5" xfId="0" applyFont="1" applyFill="1" applyBorder="1" applyAlignment="1">
      <alignment horizontal="center" vertical="center"/>
    </xf>
    <xf numFmtId="0" fontId="17" fillId="3" borderId="7" xfId="0" applyFont="1" applyFill="1" applyBorder="1" applyAlignment="1">
      <alignment horizontal="left" vertical="center" wrapText="1"/>
    </xf>
    <xf numFmtId="0" fontId="17" fillId="3" borderId="8" xfId="0" applyFont="1" applyFill="1" applyBorder="1" applyAlignment="1">
      <alignment horizontal="left" vertical="center" wrapText="1"/>
    </xf>
    <xf numFmtId="0" fontId="6" fillId="3" borderId="8" xfId="0" applyFont="1" applyFill="1" applyBorder="1" applyAlignment="1">
      <alignment horizontal="center" vertical="center"/>
    </xf>
    <xf numFmtId="0" fontId="6" fillId="3" borderId="6" xfId="0" applyFont="1" applyFill="1" applyBorder="1" applyAlignment="1">
      <alignment horizontal="left" vertical="center"/>
    </xf>
    <xf numFmtId="0" fontId="6" fillId="3" borderId="7" xfId="0" applyFont="1" applyFill="1" applyBorder="1" applyAlignment="1">
      <alignment horizontal="left" vertical="center"/>
    </xf>
    <xf numFmtId="0" fontId="6" fillId="3" borderId="8" xfId="0" applyFont="1" applyFill="1" applyBorder="1" applyAlignment="1">
      <alignment horizontal="left" vertical="center"/>
    </xf>
    <xf numFmtId="0" fontId="6" fillId="3" borderId="2" xfId="0" applyFont="1" applyFill="1" applyBorder="1" applyAlignment="1">
      <alignment horizontal="left" vertical="center"/>
    </xf>
    <xf numFmtId="0" fontId="6" fillId="3" borderId="3" xfId="0" applyFont="1" applyFill="1" applyBorder="1" applyAlignment="1">
      <alignment horizontal="left" vertical="center"/>
    </xf>
    <xf numFmtId="0" fontId="6" fillId="3" borderId="4" xfId="0" applyFont="1" applyFill="1" applyBorder="1" applyAlignment="1">
      <alignment horizontal="left" vertical="center"/>
    </xf>
    <xf numFmtId="0" fontId="6" fillId="3" borderId="1" xfId="0" applyFont="1" applyFill="1" applyBorder="1" applyAlignment="1">
      <alignment horizontal="left" vertical="center"/>
    </xf>
    <xf numFmtId="0" fontId="6" fillId="3" borderId="16" xfId="0" applyFont="1" applyFill="1" applyBorder="1" applyAlignment="1">
      <alignment horizontal="left" vertical="center"/>
    </xf>
    <xf numFmtId="0" fontId="6" fillId="3" borderId="5" xfId="0" applyFont="1" applyFill="1" applyBorder="1" applyAlignment="1">
      <alignment horizontal="left" vertical="center"/>
    </xf>
    <xf numFmtId="0" fontId="6" fillId="3" borderId="15" xfId="0" applyFont="1" applyFill="1" applyBorder="1" applyAlignment="1">
      <alignment horizontal="left" vertical="center"/>
    </xf>
    <xf numFmtId="0" fontId="7" fillId="3" borderId="98" xfId="0" applyFont="1" applyFill="1" applyBorder="1" applyAlignment="1">
      <alignment horizontal="center" vertical="center" wrapText="1"/>
    </xf>
    <xf numFmtId="0" fontId="7" fillId="3" borderId="99" xfId="0" applyFont="1" applyFill="1" applyBorder="1" applyAlignment="1">
      <alignment horizontal="center" vertical="center" wrapText="1"/>
    </xf>
    <xf numFmtId="0" fontId="7" fillId="3" borderId="61" xfId="0" applyFont="1" applyFill="1" applyBorder="1" applyAlignment="1">
      <alignment horizontal="center" vertical="center" wrapText="1"/>
    </xf>
    <xf numFmtId="0" fontId="7" fillId="3" borderId="62" xfId="0" applyFont="1" applyFill="1" applyBorder="1" applyAlignment="1">
      <alignment horizontal="center" vertical="center" wrapText="1"/>
    </xf>
    <xf numFmtId="0" fontId="7" fillId="0" borderId="98" xfId="0" applyFont="1" applyBorder="1" applyAlignment="1">
      <alignment horizontal="center" vertical="center" wrapText="1"/>
    </xf>
    <xf numFmtId="0" fontId="7" fillId="0" borderId="99"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62" xfId="0" applyFont="1" applyBorder="1" applyAlignment="1">
      <alignment horizontal="center" vertical="center" wrapText="1"/>
    </xf>
    <xf numFmtId="0" fontId="7" fillId="0" borderId="6"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6" fillId="0" borderId="29"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7" fillId="0" borderId="15" xfId="0" applyFont="1" applyBorder="1" applyAlignment="1">
      <alignment horizontal="left" vertical="center" wrapText="1"/>
    </xf>
    <xf numFmtId="0" fontId="7" fillId="0" borderId="28" xfId="0" applyFont="1" applyBorder="1" applyAlignment="1">
      <alignment horizontal="center" vertical="center"/>
    </xf>
    <xf numFmtId="0" fontId="7" fillId="0" borderId="17" xfId="0" applyFont="1" applyBorder="1" applyAlignment="1">
      <alignment horizontal="left" vertical="center" wrapText="1"/>
    </xf>
    <xf numFmtId="0" fontId="7" fillId="0" borderId="27" xfId="0" applyFont="1" applyBorder="1" applyAlignment="1">
      <alignment horizontal="left" vertical="center" wrapText="1"/>
    </xf>
    <xf numFmtId="0" fontId="7" fillId="0" borderId="28" xfId="0" applyFont="1" applyBorder="1" applyAlignment="1">
      <alignment horizontal="center" vertical="center" wrapText="1"/>
    </xf>
    <xf numFmtId="0" fontId="7" fillId="0" borderId="62" xfId="0" applyFont="1" applyBorder="1" applyAlignment="1">
      <alignment horizontal="left" vertical="center" wrapText="1"/>
    </xf>
    <xf numFmtId="0" fontId="7" fillId="0" borderId="25" xfId="0" applyFont="1" applyBorder="1" applyAlignment="1">
      <alignment horizontal="center" vertical="center"/>
    </xf>
    <xf numFmtId="0" fontId="7" fillId="0" borderId="2" xfId="0" applyFont="1" applyBorder="1" applyAlignment="1">
      <alignment horizontal="left" vertical="center"/>
    </xf>
    <xf numFmtId="0" fontId="11" fillId="0" borderId="93" xfId="0" quotePrefix="1" applyFont="1" applyBorder="1" applyAlignment="1">
      <alignment horizontal="center" vertical="center"/>
    </xf>
    <xf numFmtId="0" fontId="15" fillId="0" borderId="98" xfId="0" quotePrefix="1" applyFont="1" applyBorder="1" applyAlignment="1">
      <alignment horizontal="center" vertical="center"/>
    </xf>
    <xf numFmtId="0" fontId="15" fillId="0" borderId="99" xfId="0" quotePrefix="1" applyFont="1" applyBorder="1" applyAlignment="1">
      <alignment horizontal="center" vertical="center"/>
    </xf>
    <xf numFmtId="0" fontId="15" fillId="0" borderId="63" xfId="0" quotePrefix="1" applyFont="1" applyBorder="1" applyAlignment="1">
      <alignment horizontal="center" vertical="center"/>
    </xf>
    <xf numFmtId="0" fontId="15" fillId="0" borderId="64" xfId="0" quotePrefix="1" applyFont="1" applyBorder="1" applyAlignment="1">
      <alignment horizontal="center" vertical="center"/>
    </xf>
    <xf numFmtId="0" fontId="7" fillId="0" borderId="6" xfId="0" applyFont="1" applyBorder="1" applyAlignment="1">
      <alignment horizontal="left" vertical="center"/>
    </xf>
    <xf numFmtId="0" fontId="12" fillId="0" borderId="7" xfId="0" applyFont="1" applyBorder="1" applyAlignment="1">
      <alignment horizontal="left" vertical="center"/>
    </xf>
    <xf numFmtId="0" fontId="12" fillId="0" borderId="8" xfId="0" applyFont="1" applyBorder="1" applyAlignment="1">
      <alignment horizontal="left" vertical="center"/>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7" fillId="0" borderId="7" xfId="0" applyFont="1" applyBorder="1" applyAlignment="1">
      <alignment horizontal="left" vertical="center"/>
    </xf>
    <xf numFmtId="0" fontId="7" fillId="0" borderId="8" xfId="0" applyFont="1" applyBorder="1" applyAlignment="1">
      <alignment horizontal="left" vertical="center"/>
    </xf>
    <xf numFmtId="0" fontId="6" fillId="0" borderId="6" xfId="0" applyFont="1" applyBorder="1" applyAlignment="1">
      <alignment horizontal="center" vertical="center" shrinkToFit="1"/>
    </xf>
    <xf numFmtId="0" fontId="6" fillId="0" borderId="8" xfId="0" applyFont="1" applyBorder="1" applyAlignment="1">
      <alignment horizontal="center" vertical="center" shrinkToFit="1"/>
    </xf>
    <xf numFmtId="0" fontId="7" fillId="0" borderId="6" xfId="0" applyFont="1" applyBorder="1" applyAlignment="1">
      <alignment horizontal="left" vertical="center" indent="1"/>
    </xf>
    <xf numFmtId="0" fontId="7" fillId="0" borderId="7" xfId="0" applyFont="1" applyBorder="1" applyAlignment="1">
      <alignment horizontal="left" vertical="center" indent="1"/>
    </xf>
    <xf numFmtId="0" fontId="7" fillId="0" borderId="8" xfId="0" applyFont="1" applyBorder="1" applyAlignment="1">
      <alignment horizontal="left" vertical="center" indent="1"/>
    </xf>
    <xf numFmtId="0" fontId="6" fillId="0" borderId="100" xfId="0" applyFont="1" applyBorder="1" applyAlignment="1">
      <alignment vertical="center"/>
    </xf>
    <xf numFmtId="0" fontId="0" fillId="0" borderId="101" xfId="0" applyBorder="1" applyAlignment="1">
      <alignment vertical="center"/>
    </xf>
    <xf numFmtId="0" fontId="7" fillId="0" borderId="6" xfId="0" applyFont="1" applyBorder="1" applyAlignment="1">
      <alignment horizontal="left" vertical="center" wrapText="1" indent="1"/>
    </xf>
    <xf numFmtId="0" fontId="7" fillId="0" borderId="7" xfId="0" applyFont="1" applyBorder="1" applyAlignment="1">
      <alignment horizontal="left" vertical="center" wrapText="1" indent="1"/>
    </xf>
    <xf numFmtId="0" fontId="7" fillId="0" borderId="8" xfId="0" applyFont="1" applyBorder="1" applyAlignment="1">
      <alignment horizontal="left" vertical="center" wrapText="1" indent="1"/>
    </xf>
    <xf numFmtId="0" fontId="0" fillId="0" borderId="0" xfId="0" applyAlignment="1">
      <alignment horizontal="center" vertical="center"/>
    </xf>
    <xf numFmtId="0" fontId="0" fillId="0" borderId="27" xfId="0" applyBorder="1" applyAlignment="1">
      <alignment horizontal="center" vertical="center"/>
    </xf>
    <xf numFmtId="0" fontId="6" fillId="0" borderId="2" xfId="0" applyFont="1" applyBorder="1" applyAlignment="1">
      <alignment horizontal="center" vertical="center" wrapText="1"/>
    </xf>
    <xf numFmtId="0" fontId="37" fillId="0" borderId="2" xfId="0" applyFont="1" applyBorder="1" applyAlignment="1">
      <alignment horizontal="center" vertical="center"/>
    </xf>
    <xf numFmtId="0" fontId="6" fillId="0" borderId="25" xfId="0" applyFont="1" applyBorder="1" applyAlignment="1">
      <alignment horizontal="center" vertical="center" wrapText="1"/>
    </xf>
    <xf numFmtId="38" fontId="6" fillId="0" borderId="2" xfId="21" applyFont="1" applyFill="1" applyBorder="1" applyAlignment="1">
      <alignment horizontal="center" vertical="center"/>
    </xf>
    <xf numFmtId="38" fontId="6" fillId="0" borderId="2" xfId="21" applyFont="1" applyFill="1" applyBorder="1" applyAlignment="1">
      <alignment horizontal="center" vertical="center" wrapText="1"/>
    </xf>
    <xf numFmtId="190" fontId="6" fillId="0" borderId="4" xfId="18" applyNumberFormat="1" applyFont="1" applyBorder="1" applyAlignment="1">
      <alignment horizontal="center" vertical="center"/>
    </xf>
    <xf numFmtId="190" fontId="6" fillId="0" borderId="5" xfId="18" applyNumberFormat="1" applyFont="1" applyBorder="1" applyAlignment="1">
      <alignment horizontal="center" vertical="center"/>
    </xf>
    <xf numFmtId="190" fontId="6" fillId="0" borderId="1" xfId="18" applyNumberFormat="1" applyFont="1" applyBorder="1" applyAlignment="1">
      <alignment horizontal="center" vertical="center"/>
    </xf>
    <xf numFmtId="190" fontId="6" fillId="0" borderId="15" xfId="18" applyNumberFormat="1" applyFont="1" applyBorder="1" applyAlignment="1">
      <alignment horizontal="center" vertical="center"/>
    </xf>
    <xf numFmtId="0" fontId="15" fillId="0" borderId="0" xfId="0" applyFont="1" applyAlignment="1">
      <alignment horizontal="left" vertical="center"/>
    </xf>
    <xf numFmtId="190" fontId="6" fillId="0" borderId="6" xfId="18" applyNumberFormat="1" applyFont="1" applyBorder="1" applyAlignment="1">
      <alignment horizontal="center" vertical="center"/>
    </xf>
    <xf numFmtId="190" fontId="6" fillId="0" borderId="7" xfId="18" applyNumberFormat="1" applyFont="1" applyBorder="1" applyAlignment="1">
      <alignment horizontal="center" vertical="center"/>
    </xf>
    <xf numFmtId="1" fontId="6" fillId="0" borderId="6" xfId="0" applyNumberFormat="1" applyFont="1" applyBorder="1" applyAlignment="1">
      <alignment horizontal="center" vertical="center"/>
    </xf>
    <xf numFmtId="1" fontId="6" fillId="0" borderId="7" xfId="0" applyNumberFormat="1" applyFont="1" applyBorder="1" applyAlignment="1">
      <alignment horizontal="center" vertical="center"/>
    </xf>
    <xf numFmtId="0" fontId="6" fillId="0" borderId="4" xfId="0" applyFont="1" applyBorder="1" applyAlignment="1">
      <alignment vertical="center"/>
    </xf>
    <xf numFmtId="0" fontId="6" fillId="0" borderId="1" xfId="0" applyFont="1" applyBorder="1" applyAlignment="1">
      <alignment vertical="center"/>
    </xf>
    <xf numFmtId="0" fontId="6" fillId="0" borderId="15" xfId="0" applyFont="1" applyBorder="1" applyAlignment="1">
      <alignment vertical="center"/>
    </xf>
    <xf numFmtId="0" fontId="72" fillId="0" borderId="0" xfId="0" applyFont="1" applyAlignment="1">
      <alignment horizontal="left" vertical="center" wrapText="1" indent="1"/>
    </xf>
    <xf numFmtId="0" fontId="72" fillId="0" borderId="0" xfId="0" applyFont="1" applyAlignment="1">
      <alignment horizontal="left" vertical="center" indent="1"/>
    </xf>
    <xf numFmtId="0" fontId="70" fillId="0" borderId="6" xfId="0" applyFont="1" applyBorder="1" applyAlignment="1">
      <alignment horizontal="left" vertical="center" indent="1"/>
    </xf>
    <xf numFmtId="0" fontId="70" fillId="0" borderId="7" xfId="0" applyFont="1" applyBorder="1" applyAlignment="1">
      <alignment horizontal="left" vertical="center" indent="1"/>
    </xf>
    <xf numFmtId="0" fontId="70" fillId="0" borderId="8" xfId="0" applyFont="1" applyBorder="1" applyAlignment="1">
      <alignment horizontal="left" vertical="center" indent="1"/>
    </xf>
    <xf numFmtId="182" fontId="70" fillId="12" borderId="2" xfId="0" applyNumberFormat="1" applyFont="1" applyFill="1" applyBorder="1" applyAlignment="1">
      <alignment horizontal="center" vertical="center"/>
    </xf>
    <xf numFmtId="0" fontId="70" fillId="14" borderId="2" xfId="0" applyFont="1" applyFill="1" applyBorder="1" applyAlignment="1">
      <alignment horizontal="center" vertical="center"/>
    </xf>
    <xf numFmtId="0" fontId="70" fillId="12" borderId="2" xfId="0" applyFont="1" applyFill="1" applyBorder="1" applyAlignment="1">
      <alignment horizontal="center" vertical="center"/>
    </xf>
    <xf numFmtId="0" fontId="70" fillId="14" borderId="3" xfId="0" applyFont="1" applyFill="1" applyBorder="1" applyAlignment="1">
      <alignment horizontal="center" vertical="center"/>
    </xf>
    <xf numFmtId="0" fontId="70" fillId="14" borderId="4" xfId="0" applyFont="1" applyFill="1" applyBorder="1" applyAlignment="1">
      <alignment horizontal="center" vertical="center"/>
    </xf>
    <xf numFmtId="0" fontId="70" fillId="0" borderId="17" xfId="0" applyFont="1" applyBorder="1" applyAlignment="1">
      <alignment horizontal="center" vertical="center"/>
    </xf>
    <xf numFmtId="0" fontId="70" fillId="0" borderId="27" xfId="0" applyFont="1" applyBorder="1" applyAlignment="1">
      <alignment horizontal="center" vertical="center"/>
    </xf>
    <xf numFmtId="0" fontId="73" fillId="0" borderId="17" xfId="0" applyFont="1" applyBorder="1" applyAlignment="1">
      <alignment horizontal="center" vertical="center" wrapText="1"/>
    </xf>
    <xf numFmtId="0" fontId="73" fillId="0" borderId="27" xfId="0" applyFont="1" applyBorder="1" applyAlignment="1">
      <alignment horizontal="center" vertical="center" wrapText="1"/>
    </xf>
    <xf numFmtId="0" fontId="70" fillId="0" borderId="76" xfId="0" applyFont="1" applyBorder="1" applyAlignment="1">
      <alignment horizontal="center" vertical="center"/>
    </xf>
    <xf numFmtId="0" fontId="70" fillId="0" borderId="77" xfId="0" applyFont="1" applyBorder="1" applyAlignment="1">
      <alignment horizontal="center" vertical="center"/>
    </xf>
    <xf numFmtId="0" fontId="70" fillId="0" borderId="78" xfId="0" applyFont="1" applyBorder="1" applyAlignment="1">
      <alignment horizontal="center" vertical="center"/>
    </xf>
    <xf numFmtId="0" fontId="70" fillId="0" borderId="2" xfId="0" applyFont="1" applyBorder="1" applyAlignment="1">
      <alignment horizontal="center" vertical="center"/>
    </xf>
    <xf numFmtId="0" fontId="92" fillId="0" borderId="2" xfId="0" applyFont="1" applyBorder="1" applyAlignment="1">
      <alignment horizontal="center" vertical="center" wrapText="1"/>
    </xf>
    <xf numFmtId="0" fontId="70" fillId="0" borderId="2" xfId="0" applyFont="1" applyBorder="1" applyAlignment="1">
      <alignment horizontal="center" vertical="center" wrapText="1"/>
    </xf>
    <xf numFmtId="0" fontId="70" fillId="12" borderId="3" xfId="0" applyFont="1" applyFill="1" applyBorder="1" applyAlignment="1">
      <alignment horizontal="center" vertical="center"/>
    </xf>
    <xf numFmtId="0" fontId="70" fillId="12" borderId="4" xfId="0" applyFont="1" applyFill="1" applyBorder="1" applyAlignment="1">
      <alignment horizontal="center" vertical="center"/>
    </xf>
    <xf numFmtId="0" fontId="71" fillId="0" borderId="6" xfId="0" applyFont="1" applyBorder="1" applyAlignment="1">
      <alignment horizontal="center" vertical="center"/>
    </xf>
    <xf numFmtId="0" fontId="71" fillId="0" borderId="7" xfId="0" applyFont="1" applyBorder="1" applyAlignment="1">
      <alignment horizontal="center" vertical="center"/>
    </xf>
    <xf numFmtId="0" fontId="71" fillId="0" borderId="8" xfId="0" applyFont="1" applyBorder="1" applyAlignment="1">
      <alignment horizontal="center" vertical="center"/>
    </xf>
    <xf numFmtId="0" fontId="70" fillId="0" borderId="25" xfId="0" applyFont="1" applyBorder="1" applyAlignment="1">
      <alignment horizontal="center" vertical="center"/>
    </xf>
    <xf numFmtId="0" fontId="70" fillId="0" borderId="28" xfId="0" applyFont="1" applyBorder="1" applyAlignment="1">
      <alignment horizontal="center" vertical="center"/>
    </xf>
    <xf numFmtId="0" fontId="74" fillId="14" borderId="3" xfId="0" applyFont="1" applyFill="1" applyBorder="1" applyAlignment="1">
      <alignment horizontal="left" vertical="top"/>
    </xf>
    <xf numFmtId="0" fontId="74" fillId="14" borderId="4" xfId="0" applyFont="1" applyFill="1" applyBorder="1" applyAlignment="1">
      <alignment horizontal="left" vertical="top"/>
    </xf>
    <xf numFmtId="0" fontId="74" fillId="14" borderId="1" xfId="0" applyFont="1" applyFill="1" applyBorder="1" applyAlignment="1">
      <alignment horizontal="left" vertical="top"/>
    </xf>
    <xf numFmtId="0" fontId="72" fillId="14" borderId="16" xfId="0" applyFont="1" applyFill="1" applyBorder="1" applyAlignment="1">
      <alignment horizontal="left" vertical="top"/>
    </xf>
    <xf numFmtId="0" fontId="72" fillId="14" borderId="5" xfId="0" applyFont="1" applyFill="1" applyBorder="1" applyAlignment="1">
      <alignment horizontal="left" vertical="top"/>
    </xf>
    <xf numFmtId="0" fontId="72" fillId="14" borderId="15" xfId="0" applyFont="1" applyFill="1" applyBorder="1" applyAlignment="1">
      <alignment horizontal="left" vertical="top"/>
    </xf>
    <xf numFmtId="0" fontId="72" fillId="0" borderId="4" xfId="0" applyFont="1" applyBorder="1" applyAlignment="1">
      <alignment horizontal="left" vertical="center" wrapText="1" indent="1"/>
    </xf>
    <xf numFmtId="0" fontId="70" fillId="0" borderId="65" xfId="0" applyFont="1" applyBorder="1" applyAlignment="1">
      <alignment horizontal="center" vertical="center"/>
    </xf>
    <xf numFmtId="0" fontId="93" fillId="0" borderId="0" xfId="0" applyFont="1" applyAlignment="1">
      <alignment horizontal="left" vertical="center" wrapText="1" indent="1"/>
    </xf>
    <xf numFmtId="0" fontId="93" fillId="0" borderId="0" xfId="0" applyFont="1" applyAlignment="1">
      <alignment horizontal="left" vertical="center" indent="1"/>
    </xf>
    <xf numFmtId="0" fontId="70" fillId="4" borderId="2" xfId="0" applyFont="1" applyFill="1" applyBorder="1" applyAlignment="1">
      <alignment horizontal="center" vertical="center"/>
    </xf>
    <xf numFmtId="10" fontId="70" fillId="12" borderId="3" xfId="3" applyNumberFormat="1" applyFont="1" applyFill="1" applyBorder="1" applyAlignment="1">
      <alignment horizontal="center" vertical="center"/>
    </xf>
    <xf numFmtId="10" fontId="70" fillId="12" borderId="4" xfId="3" applyNumberFormat="1" applyFont="1" applyFill="1" applyBorder="1" applyAlignment="1">
      <alignment horizontal="center" vertical="center"/>
    </xf>
    <xf numFmtId="0" fontId="70" fillId="15" borderId="6" xfId="0" applyFont="1" applyFill="1" applyBorder="1" applyAlignment="1">
      <alignment horizontal="center" vertical="center"/>
    </xf>
    <xf numFmtId="0" fontId="70" fillId="15" borderId="7" xfId="0" applyFont="1" applyFill="1" applyBorder="1" applyAlignment="1">
      <alignment horizontal="center" vertical="center"/>
    </xf>
    <xf numFmtId="0" fontId="70" fillId="15" borderId="8" xfId="0" applyFont="1" applyFill="1" applyBorder="1" applyAlignment="1">
      <alignment horizontal="center" vertical="center"/>
    </xf>
    <xf numFmtId="38" fontId="70" fillId="14" borderId="3" xfId="7" applyFont="1" applyFill="1" applyBorder="1" applyAlignment="1">
      <alignment horizontal="center" vertical="center"/>
    </xf>
    <xf numFmtId="38" fontId="70" fillId="14" borderId="4" xfId="7" applyFont="1" applyFill="1" applyBorder="1" applyAlignment="1">
      <alignment horizontal="center" vertical="center"/>
    </xf>
    <xf numFmtId="0" fontId="70" fillId="13" borderId="2" xfId="0" applyFont="1" applyFill="1" applyBorder="1" applyAlignment="1">
      <alignment horizontal="left" vertical="center" indent="1" shrinkToFit="1"/>
    </xf>
    <xf numFmtId="38" fontId="70" fillId="14" borderId="6" xfId="7" applyFont="1" applyFill="1" applyBorder="1" applyAlignment="1">
      <alignment horizontal="center" vertical="center"/>
    </xf>
    <xf numFmtId="38" fontId="70" fillId="14" borderId="7" xfId="7" applyFont="1" applyFill="1" applyBorder="1" applyAlignment="1">
      <alignment horizontal="center" vertical="center"/>
    </xf>
    <xf numFmtId="0" fontId="70" fillId="0" borderId="16" xfId="0" applyFont="1" applyBorder="1" applyAlignment="1">
      <alignment horizontal="left" vertical="center" indent="1"/>
    </xf>
    <xf numFmtId="0" fontId="70" fillId="0" borderId="5" xfId="0" applyFont="1" applyBorder="1" applyAlignment="1">
      <alignment horizontal="left" vertical="center" indent="1"/>
    </xf>
    <xf numFmtId="0" fontId="70" fillId="12" borderId="16" xfId="0" applyFont="1" applyFill="1" applyBorder="1" applyAlignment="1">
      <alignment horizontal="center" vertical="center"/>
    </xf>
    <xf numFmtId="0" fontId="70" fillId="12" borderId="5" xfId="0" applyFont="1" applyFill="1" applyBorder="1" applyAlignment="1">
      <alignment horizontal="center" vertical="center"/>
    </xf>
    <xf numFmtId="0" fontId="70" fillId="12" borderId="15" xfId="0" applyFont="1" applyFill="1" applyBorder="1" applyAlignment="1">
      <alignment horizontal="center" vertical="center"/>
    </xf>
    <xf numFmtId="0" fontId="70" fillId="13" borderId="6" xfId="0" applyFont="1" applyFill="1" applyBorder="1" applyAlignment="1">
      <alignment horizontal="center" vertical="center"/>
    </xf>
    <xf numFmtId="0" fontId="70" fillId="13" borderId="7" xfId="0" applyFont="1" applyFill="1" applyBorder="1" applyAlignment="1">
      <alignment horizontal="center" vertical="center"/>
    </xf>
    <xf numFmtId="0" fontId="70" fillId="13" borderId="8" xfId="0" applyFont="1" applyFill="1" applyBorder="1" applyAlignment="1">
      <alignment horizontal="center" vertical="center"/>
    </xf>
    <xf numFmtId="0" fontId="70" fillId="0" borderId="6" xfId="0" applyFont="1" applyBorder="1" applyAlignment="1">
      <alignment horizontal="center" vertical="center"/>
    </xf>
    <xf numFmtId="0" fontId="70" fillId="0" borderId="7" xfId="0" applyFont="1" applyBorder="1" applyAlignment="1">
      <alignment horizontal="center" vertical="center"/>
    </xf>
    <xf numFmtId="0" fontId="70" fillId="0" borderId="8" xfId="0" applyFont="1" applyBorder="1" applyAlignment="1">
      <alignment horizontal="center" vertical="center"/>
    </xf>
    <xf numFmtId="0" fontId="72" fillId="0" borderId="0" xfId="0" applyFont="1" applyAlignment="1">
      <alignment horizontal="left" vertical="center" wrapText="1"/>
    </xf>
    <xf numFmtId="0" fontId="70" fillId="14" borderId="7" xfId="0" applyFont="1" applyFill="1" applyBorder="1" applyAlignment="1">
      <alignment horizontal="center" vertical="center"/>
    </xf>
    <xf numFmtId="0" fontId="70" fillId="14" borderId="6" xfId="0" applyFont="1" applyFill="1" applyBorder="1" applyAlignment="1">
      <alignment horizontal="center" vertical="center"/>
    </xf>
    <xf numFmtId="0" fontId="70" fillId="14" borderId="8" xfId="0" applyFont="1" applyFill="1" applyBorder="1" applyAlignment="1">
      <alignment horizontal="center" vertical="center"/>
    </xf>
    <xf numFmtId="0" fontId="94" fillId="0" borderId="0" xfId="0" applyFont="1" applyAlignment="1">
      <alignment horizontal="center" vertical="center"/>
    </xf>
    <xf numFmtId="0" fontId="70" fillId="0" borderId="3" xfId="0" applyFont="1" applyBorder="1" applyAlignment="1">
      <alignment horizontal="left" vertical="center" wrapText="1"/>
    </xf>
    <xf numFmtId="0" fontId="70" fillId="0" borderId="4" xfId="0" applyFont="1" applyBorder="1" applyAlignment="1">
      <alignment horizontal="left" vertical="center"/>
    </xf>
    <xf numFmtId="0" fontId="70" fillId="0" borderId="1" xfId="0" applyFont="1" applyBorder="1" applyAlignment="1">
      <alignment horizontal="left" vertical="center"/>
    </xf>
    <xf numFmtId="0" fontId="70" fillId="0" borderId="17" xfId="0" applyFont="1" applyBorder="1" applyAlignment="1">
      <alignment horizontal="left" vertical="center" wrapText="1"/>
    </xf>
    <xf numFmtId="0" fontId="70" fillId="0" borderId="0" xfId="0" applyFont="1" applyAlignment="1">
      <alignment horizontal="left" vertical="center"/>
    </xf>
    <xf numFmtId="0" fontId="70" fillId="0" borderId="27" xfId="0" applyFont="1" applyBorder="1" applyAlignment="1">
      <alignment horizontal="left" vertical="center"/>
    </xf>
    <xf numFmtId="0" fontId="70" fillId="0" borderId="17" xfId="0" applyFont="1" applyBorder="1" applyAlignment="1">
      <alignment horizontal="left" vertical="center"/>
    </xf>
    <xf numFmtId="0" fontId="70" fillId="0" borderId="16" xfId="0" applyFont="1" applyBorder="1" applyAlignment="1">
      <alignment horizontal="left" vertical="center"/>
    </xf>
    <xf numFmtId="0" fontId="70" fillId="0" borderId="5" xfId="0" applyFont="1" applyBorder="1" applyAlignment="1">
      <alignment horizontal="left" vertical="center"/>
    </xf>
    <xf numFmtId="0" fontId="70" fillId="0" borderId="15" xfId="0" applyFont="1" applyBorder="1" applyAlignment="1">
      <alignment horizontal="left" vertical="center"/>
    </xf>
    <xf numFmtId="0" fontId="70" fillId="14" borderId="2" xfId="0" applyFont="1" applyFill="1" applyBorder="1" applyAlignment="1">
      <alignment horizontal="left" vertical="center" indent="1"/>
    </xf>
    <xf numFmtId="0" fontId="70" fillId="14" borderId="25" xfId="0" applyFont="1" applyFill="1" applyBorder="1" applyAlignment="1">
      <alignment horizontal="left" vertical="center" indent="1"/>
    </xf>
    <xf numFmtId="0" fontId="10" fillId="0" borderId="0" xfId="11" applyAlignment="1">
      <alignment horizontal="left" vertical="top" wrapText="1"/>
    </xf>
    <xf numFmtId="0" fontId="10" fillId="0" borderId="6" xfId="11" applyBorder="1" applyAlignment="1">
      <alignment horizontal="center" vertical="top" wrapText="1"/>
    </xf>
    <xf numFmtId="0" fontId="10" fillId="0" borderId="8" xfId="11" applyBorder="1" applyAlignment="1">
      <alignment horizontal="center" vertical="top" wrapText="1"/>
    </xf>
    <xf numFmtId="0" fontId="10" fillId="0" borderId="6" xfId="11" applyBorder="1" applyAlignment="1">
      <alignment horizontal="center" vertical="top" shrinkToFit="1"/>
    </xf>
    <xf numFmtId="0" fontId="10" fillId="0" borderId="8" xfId="11" applyBorder="1" applyAlignment="1">
      <alignment horizontal="center" vertical="top" shrinkToFit="1"/>
    </xf>
    <xf numFmtId="0" fontId="45" fillId="0" borderId="102" xfId="11" applyFont="1" applyBorder="1" applyAlignment="1">
      <alignment horizontal="center" vertical="top" wrapText="1"/>
    </xf>
    <xf numFmtId="0" fontId="45" fillId="0" borderId="103" xfId="11" applyFont="1" applyBorder="1" applyAlignment="1">
      <alignment horizontal="center" vertical="top" wrapText="1"/>
    </xf>
    <xf numFmtId="38" fontId="10" fillId="11" borderId="6" xfId="7" applyFont="1" applyFill="1" applyBorder="1" applyAlignment="1" applyProtection="1">
      <alignment horizontal="center" vertical="center" wrapText="1"/>
    </xf>
    <xf numFmtId="38" fontId="10" fillId="11" borderId="8" xfId="7" applyFont="1" applyFill="1" applyBorder="1" applyAlignment="1" applyProtection="1">
      <alignment horizontal="center" vertical="center" wrapText="1"/>
    </xf>
    <xf numFmtId="38" fontId="10" fillId="12" borderId="104" xfId="7" applyFont="1" applyFill="1" applyBorder="1" applyAlignment="1" applyProtection="1">
      <alignment horizontal="center" vertical="center" wrapText="1"/>
    </xf>
    <xf numFmtId="38" fontId="10" fillId="12" borderId="105" xfId="7" applyFont="1" applyFill="1" applyBorder="1" applyAlignment="1" applyProtection="1">
      <alignment horizontal="center" vertical="center" wrapText="1"/>
    </xf>
    <xf numFmtId="0" fontId="45" fillId="3" borderId="7" xfId="11" applyFont="1" applyFill="1" applyBorder="1" applyAlignment="1">
      <alignment horizontal="center"/>
    </xf>
    <xf numFmtId="0" fontId="45" fillId="3" borderId="6" xfId="11" applyFont="1" applyFill="1" applyBorder="1" applyAlignment="1">
      <alignment horizontal="center" wrapText="1"/>
    </xf>
    <xf numFmtId="0" fontId="45" fillId="3" borderId="7" xfId="11" applyFont="1" applyFill="1" applyBorder="1" applyAlignment="1">
      <alignment horizontal="center" wrapText="1"/>
    </xf>
    <xf numFmtId="0" fontId="45" fillId="3" borderId="8" xfId="11" applyFont="1" applyFill="1" applyBorder="1" applyAlignment="1">
      <alignment horizontal="center" wrapText="1"/>
    </xf>
    <xf numFmtId="0" fontId="45" fillId="3" borderId="4" xfId="11" applyFont="1" applyFill="1" applyBorder="1" applyAlignment="1">
      <alignment horizontal="center"/>
    </xf>
    <xf numFmtId="0" fontId="10" fillId="0" borderId="6" xfId="11" applyBorder="1" applyAlignment="1">
      <alignment horizontal="left" vertical="top" wrapText="1"/>
    </xf>
    <xf numFmtId="0" fontId="10" fillId="0" borderId="7" xfId="11" applyBorder="1" applyAlignment="1">
      <alignment horizontal="left" vertical="top" wrapText="1"/>
    </xf>
    <xf numFmtId="0" fontId="10" fillId="0" borderId="8" xfId="11" applyBorder="1" applyAlignment="1">
      <alignment horizontal="left" vertical="top" wrapText="1"/>
    </xf>
    <xf numFmtId="0" fontId="10" fillId="0" borderId="17" xfId="11" applyBorder="1" applyAlignment="1">
      <alignment horizontal="left" vertical="top" wrapText="1"/>
    </xf>
    <xf numFmtId="0" fontId="10" fillId="0" borderId="27" xfId="11" applyBorder="1" applyAlignment="1">
      <alignment horizontal="left" vertical="top" wrapText="1"/>
    </xf>
    <xf numFmtId="0" fontId="10" fillId="0" borderId="16" xfId="11" applyBorder="1" applyAlignment="1">
      <alignment horizontal="left" vertical="top" wrapText="1"/>
    </xf>
    <xf numFmtId="0" fontId="10" fillId="0" borderId="5" xfId="11" applyBorder="1" applyAlignment="1">
      <alignment horizontal="left" vertical="top" wrapText="1"/>
    </xf>
    <xf numFmtId="0" fontId="10" fillId="0" borderId="15" xfId="11" applyBorder="1" applyAlignment="1">
      <alignment horizontal="left" vertical="top" wrapText="1"/>
    </xf>
    <xf numFmtId="42" fontId="12" fillId="0" borderId="106" xfId="11" applyNumberFormat="1" applyFont="1" applyBorder="1" applyAlignment="1">
      <alignment horizontal="center" vertical="center" wrapText="1"/>
    </xf>
    <xf numFmtId="42" fontId="12" fillId="0" borderId="107" xfId="11" applyNumberFormat="1" applyFont="1" applyBorder="1" applyAlignment="1">
      <alignment horizontal="center" vertical="center" wrapText="1"/>
    </xf>
    <xf numFmtId="42" fontId="12" fillId="0" borderId="93" xfId="11" applyNumberFormat="1" applyFont="1" applyBorder="1" applyAlignment="1">
      <alignment horizontal="center" vertical="center" wrapText="1"/>
    </xf>
    <xf numFmtId="42" fontId="12" fillId="0" borderId="108" xfId="11" applyNumberFormat="1" applyFont="1" applyBorder="1" applyAlignment="1">
      <alignment horizontal="center" vertical="center" wrapText="1"/>
    </xf>
    <xf numFmtId="0" fontId="95" fillId="0" borderId="15" xfId="12" applyFont="1" applyBorder="1" applyAlignment="1">
      <alignment horizontal="left" vertical="top" wrapText="1"/>
    </xf>
    <xf numFmtId="0" fontId="95" fillId="0" borderId="28" xfId="12" applyFont="1" applyBorder="1" applyAlignment="1">
      <alignment horizontal="left" vertical="top" wrapText="1"/>
    </xf>
    <xf numFmtId="0" fontId="45" fillId="0" borderId="25" xfId="11" applyFont="1" applyBorder="1" applyAlignment="1">
      <alignment horizontal="center" vertical="center" wrapText="1" readingOrder="1"/>
    </xf>
    <xf numFmtId="0" fontId="45" fillId="0" borderId="29" xfId="11" applyFont="1" applyBorder="1" applyAlignment="1">
      <alignment horizontal="center" vertical="center" wrapText="1" readingOrder="1"/>
    </xf>
    <xf numFmtId="0" fontId="45" fillId="0" borderId="29" xfId="11" applyFont="1" applyBorder="1" applyAlignment="1">
      <alignment horizontal="center" vertical="center" readingOrder="1"/>
    </xf>
    <xf numFmtId="0" fontId="45" fillId="0" borderId="28" xfId="11" applyFont="1" applyBorder="1" applyAlignment="1">
      <alignment horizontal="center" vertical="center" readingOrder="1"/>
    </xf>
    <xf numFmtId="0" fontId="12" fillId="0" borderId="109" xfId="11" applyFont="1" applyBorder="1" applyAlignment="1">
      <alignment horizontal="center" vertical="center" shrinkToFit="1"/>
    </xf>
    <xf numFmtId="0" fontId="12" fillId="0" borderId="110" xfId="11" applyFont="1" applyBorder="1" applyAlignment="1">
      <alignment horizontal="center" vertical="center" shrinkToFit="1"/>
    </xf>
    <xf numFmtId="0" fontId="12" fillId="0" borderId="111" xfId="11" applyFont="1" applyBorder="1" applyAlignment="1">
      <alignment horizontal="center" vertical="center" shrinkToFit="1"/>
    </xf>
    <xf numFmtId="0" fontId="45" fillId="0" borderId="112" xfId="11" applyFont="1" applyBorder="1" applyAlignment="1">
      <alignment horizontal="left" vertical="center"/>
    </xf>
    <xf numFmtId="0" fontId="45" fillId="0" borderId="31" xfId="11" applyFont="1" applyBorder="1" applyAlignment="1">
      <alignment horizontal="left" vertical="center"/>
    </xf>
    <xf numFmtId="0" fontId="47" fillId="0" borderId="113" xfId="11" applyFont="1" applyBorder="1" applyAlignment="1">
      <alignment horizontal="left" vertical="center" wrapText="1" shrinkToFit="1"/>
    </xf>
    <xf numFmtId="0" fontId="47" fillId="0" borderId="34" xfId="11" applyFont="1" applyBorder="1" applyAlignment="1">
      <alignment horizontal="left" vertical="center" wrapText="1" shrinkToFit="1"/>
    </xf>
    <xf numFmtId="0" fontId="47" fillId="0" borderId="114" xfId="11" applyFont="1" applyBorder="1" applyAlignment="1">
      <alignment horizontal="left" vertical="center" wrapText="1" shrinkToFit="1"/>
    </xf>
    <xf numFmtId="0" fontId="47" fillId="0" borderId="39" xfId="11" applyFont="1" applyBorder="1" applyAlignment="1">
      <alignment horizontal="left" vertical="center" wrapText="1" shrinkToFit="1"/>
    </xf>
    <xf numFmtId="0" fontId="47" fillId="0" borderId="115" xfId="11" applyFont="1" applyBorder="1" applyAlignment="1">
      <alignment horizontal="left" vertical="center" wrapText="1"/>
    </xf>
    <xf numFmtId="0" fontId="47" fillId="0" borderId="15" xfId="11" applyFont="1" applyBorder="1" applyAlignment="1">
      <alignment horizontal="left" vertical="center" wrapText="1"/>
    </xf>
    <xf numFmtId="0" fontId="41" fillId="0" borderId="0" xfId="11" applyFont="1" applyAlignment="1">
      <alignment horizontal="center" vertical="center"/>
    </xf>
    <xf numFmtId="0" fontId="75" fillId="0" borderId="0" xfId="10" applyFont="1" applyAlignment="1">
      <alignment horizontal="left" vertical="center" wrapText="1"/>
    </xf>
    <xf numFmtId="0" fontId="45" fillId="3" borderId="25" xfId="11" applyFont="1" applyFill="1" applyBorder="1" applyAlignment="1">
      <alignment horizontal="center" vertical="center" shrinkToFit="1"/>
    </xf>
    <xf numFmtId="0" fontId="77" fillId="3" borderId="28" xfId="12" applyFont="1" applyFill="1" applyBorder="1" applyAlignment="1">
      <alignment vertical="center" shrinkToFit="1"/>
    </xf>
    <xf numFmtId="184" fontId="45" fillId="12" borderId="6" xfId="11" applyNumberFormat="1" applyFont="1" applyFill="1" applyBorder="1" applyAlignment="1">
      <alignment horizontal="center"/>
    </xf>
    <xf numFmtId="184" fontId="45" fillId="12" borderId="7" xfId="11" applyNumberFormat="1" applyFont="1" applyFill="1" applyBorder="1" applyAlignment="1">
      <alignment horizontal="center"/>
    </xf>
    <xf numFmtId="184" fontId="45" fillId="12" borderId="8" xfId="11" applyNumberFormat="1" applyFont="1" applyFill="1" applyBorder="1" applyAlignment="1">
      <alignment horizontal="center"/>
    </xf>
    <xf numFmtId="0" fontId="45" fillId="3" borderId="25" xfId="11" applyFont="1" applyFill="1" applyBorder="1" applyAlignment="1">
      <alignment horizontal="center" vertical="center" wrapText="1"/>
    </xf>
    <xf numFmtId="0" fontId="45" fillId="3" borderId="28" xfId="11" applyFont="1" applyFill="1" applyBorder="1" applyAlignment="1">
      <alignment horizontal="center" vertical="center" wrapText="1"/>
    </xf>
    <xf numFmtId="0" fontId="47" fillId="0" borderId="32" xfId="11" applyFont="1" applyBorder="1" applyAlignment="1">
      <alignment horizontal="left" vertical="center" wrapText="1"/>
    </xf>
    <xf numFmtId="0" fontId="47" fillId="0" borderId="30" xfId="11" applyFont="1" applyBorder="1" applyAlignment="1">
      <alignment horizontal="left" vertical="center" wrapText="1"/>
    </xf>
    <xf numFmtId="0" fontId="47" fillId="0" borderId="31" xfId="11" applyFont="1" applyBorder="1" applyAlignment="1">
      <alignment horizontal="left" vertical="center" wrapText="1"/>
    </xf>
    <xf numFmtId="0" fontId="47" fillId="0" borderId="36" xfId="11" applyFont="1" applyBorder="1" applyAlignment="1">
      <alignment horizontal="left" vertical="center" wrapText="1"/>
    </xf>
    <xf numFmtId="0" fontId="47" fillId="0" borderId="33" xfId="11" applyFont="1" applyBorder="1" applyAlignment="1">
      <alignment horizontal="left" vertical="center" wrapText="1"/>
    </xf>
    <xf numFmtId="0" fontId="47" fillId="0" borderId="34" xfId="11" applyFont="1" applyBorder="1" applyAlignment="1">
      <alignment horizontal="left" vertical="center" wrapText="1"/>
    </xf>
    <xf numFmtId="0" fontId="47" fillId="0" borderId="37" xfId="11" applyFont="1" applyBorder="1" applyAlignment="1">
      <alignment horizontal="left" vertical="center" wrapText="1"/>
    </xf>
    <xf numFmtId="0" fontId="47" fillId="0" borderId="38" xfId="11" applyFont="1" applyBorder="1" applyAlignment="1">
      <alignment horizontal="left" vertical="center" wrapText="1"/>
    </xf>
    <xf numFmtId="0" fontId="47" fillId="0" borderId="39" xfId="11" applyFont="1" applyBorder="1" applyAlignment="1">
      <alignment horizontal="left" vertical="center" wrapText="1"/>
    </xf>
    <xf numFmtId="0" fontId="121" fillId="9" borderId="25" xfId="25" applyFont="1" applyFill="1" applyBorder="1" applyAlignment="1">
      <alignment horizontal="center" vertical="center" wrapText="1"/>
    </xf>
    <xf numFmtId="0" fontId="121" fillId="9" borderId="29" xfId="25" applyFont="1" applyFill="1" applyBorder="1" applyAlignment="1">
      <alignment horizontal="center" vertical="center" wrapText="1"/>
    </xf>
    <xf numFmtId="0" fontId="121" fillId="9" borderId="28" xfId="25" applyFont="1" applyFill="1" applyBorder="1" applyAlignment="1">
      <alignment horizontal="center" vertical="center" wrapText="1"/>
    </xf>
    <xf numFmtId="0" fontId="121" fillId="9" borderId="3" xfId="25" applyFont="1" applyFill="1" applyBorder="1" applyAlignment="1">
      <alignment horizontal="center" vertical="center" wrapText="1"/>
    </xf>
    <xf numFmtId="0" fontId="121" fillId="9" borderId="4" xfId="25" applyFont="1" applyFill="1" applyBorder="1" applyAlignment="1">
      <alignment horizontal="center" vertical="center" wrapText="1"/>
    </xf>
    <xf numFmtId="0" fontId="121" fillId="9" borderId="1" xfId="25" applyFont="1" applyFill="1" applyBorder="1" applyAlignment="1">
      <alignment horizontal="center" vertical="center" wrapText="1"/>
    </xf>
    <xf numFmtId="0" fontId="121" fillId="9" borderId="17" xfId="25" applyFont="1" applyFill="1" applyBorder="1" applyAlignment="1">
      <alignment horizontal="center" vertical="center" wrapText="1"/>
    </xf>
    <xf numFmtId="0" fontId="121" fillId="9" borderId="0" xfId="25" applyFont="1" applyFill="1" applyAlignment="1">
      <alignment horizontal="center" vertical="center" wrapText="1"/>
    </xf>
    <xf numFmtId="0" fontId="121" fillId="9" borderId="27" xfId="25" applyFont="1" applyFill="1" applyBorder="1" applyAlignment="1">
      <alignment horizontal="center" vertical="center" wrapText="1"/>
    </xf>
    <xf numFmtId="0" fontId="114" fillId="3" borderId="27" xfId="25" applyFont="1" applyFill="1" applyBorder="1" applyAlignment="1">
      <alignment horizontal="right" vertical="center" shrinkToFit="1"/>
    </xf>
    <xf numFmtId="0" fontId="23" fillId="4" borderId="25" xfId="25" applyFont="1" applyFill="1" applyBorder="1" applyAlignment="1">
      <alignment horizontal="left" vertical="center" shrinkToFit="1"/>
    </xf>
    <xf numFmtId="0" fontId="23" fillId="4" borderId="28" xfId="25" applyFont="1" applyFill="1" applyBorder="1" applyAlignment="1">
      <alignment horizontal="left" vertical="center" shrinkToFit="1"/>
    </xf>
    <xf numFmtId="0" fontId="23" fillId="4" borderId="25" xfId="25" applyFont="1" applyFill="1" applyBorder="1" applyAlignment="1">
      <alignment horizontal="center" vertical="center" shrinkToFit="1"/>
    </xf>
    <xf numFmtId="0" fontId="23" fillId="4" borderId="28" xfId="25" applyFont="1" applyFill="1" applyBorder="1" applyAlignment="1">
      <alignment horizontal="center" vertical="center" shrinkToFit="1"/>
    </xf>
    <xf numFmtId="0" fontId="114" fillId="5" borderId="25" xfId="25" applyFont="1" applyFill="1" applyBorder="1" applyAlignment="1">
      <alignment vertical="center" shrinkToFit="1"/>
    </xf>
    <xf numFmtId="0" fontId="114" fillId="5" borderId="28" xfId="25" applyFont="1" applyFill="1" applyBorder="1" applyAlignment="1">
      <alignment vertical="center" shrinkToFit="1"/>
    </xf>
    <xf numFmtId="0" fontId="29" fillId="3" borderId="0" xfId="25" applyFont="1" applyFill="1" applyAlignment="1">
      <alignment horizontal="right" vertical="center"/>
    </xf>
    <xf numFmtId="0" fontId="116" fillId="5" borderId="0" xfId="25" applyFont="1" applyFill="1" applyAlignment="1">
      <alignment horizontal="right" vertical="center"/>
    </xf>
    <xf numFmtId="0" fontId="116" fillId="3" borderId="0" xfId="25" applyFont="1" applyFill="1">
      <alignment vertical="center"/>
    </xf>
    <xf numFmtId="0" fontId="119" fillId="7" borderId="48" xfId="25" applyFont="1" applyFill="1" applyBorder="1" applyAlignment="1">
      <alignment vertical="center" wrapText="1"/>
    </xf>
    <xf numFmtId="0" fontId="119" fillId="7" borderId="43" xfId="25" applyFont="1" applyFill="1" applyBorder="1" applyAlignment="1">
      <alignment vertical="center" wrapText="1"/>
    </xf>
    <xf numFmtId="0" fontId="119" fillId="7" borderId="44" xfId="25" applyFont="1" applyFill="1" applyBorder="1" applyAlignment="1">
      <alignment vertical="center" wrapText="1"/>
    </xf>
    <xf numFmtId="0" fontId="119" fillId="7" borderId="46" xfId="25" applyFont="1" applyFill="1" applyBorder="1" applyAlignment="1">
      <alignment vertical="center" wrapText="1"/>
    </xf>
    <xf numFmtId="0" fontId="119" fillId="7" borderId="42" xfId="25" applyFont="1" applyFill="1" applyBorder="1" applyAlignment="1">
      <alignment vertical="center" wrapText="1"/>
    </xf>
    <xf numFmtId="0" fontId="119" fillId="7" borderId="47" xfId="25" applyFont="1" applyFill="1" applyBorder="1" applyAlignment="1">
      <alignment vertical="center" wrapText="1"/>
    </xf>
    <xf numFmtId="0" fontId="122" fillId="9" borderId="3" xfId="25" applyFont="1" applyFill="1" applyBorder="1" applyAlignment="1">
      <alignment horizontal="center" vertical="center" wrapText="1"/>
    </xf>
    <xf numFmtId="0" fontId="122" fillId="9" borderId="17" xfId="25" applyFont="1" applyFill="1" applyBorder="1" applyAlignment="1">
      <alignment horizontal="center" vertical="center" wrapText="1"/>
    </xf>
    <xf numFmtId="0" fontId="122" fillId="9" borderId="16" xfId="25" applyFont="1" applyFill="1" applyBorder="1" applyAlignment="1">
      <alignment horizontal="center" vertical="center" wrapText="1"/>
    </xf>
    <xf numFmtId="0" fontId="121" fillId="9" borderId="220" xfId="25" applyFont="1" applyFill="1" applyBorder="1" applyAlignment="1">
      <alignment horizontal="center" vertical="center"/>
    </xf>
    <xf numFmtId="0" fontId="121" fillId="9" borderId="7" xfId="25" applyFont="1" applyFill="1" applyBorder="1" applyAlignment="1">
      <alignment horizontal="center" vertical="center"/>
    </xf>
    <xf numFmtId="0" fontId="121" fillId="9" borderId="221" xfId="25" applyFont="1" applyFill="1" applyBorder="1" applyAlignment="1">
      <alignment horizontal="center" vertical="center"/>
    </xf>
    <xf numFmtId="0" fontId="121" fillId="9" borderId="8" xfId="25" applyFont="1" applyFill="1" applyBorder="1" applyAlignment="1">
      <alignment horizontal="center" vertical="center"/>
    </xf>
    <xf numFmtId="0" fontId="114" fillId="3" borderId="229" xfId="25" applyFont="1" applyFill="1" applyBorder="1" applyAlignment="1">
      <alignment horizontal="right" vertical="center" shrinkToFit="1"/>
    </xf>
    <xf numFmtId="0" fontId="23" fillId="4" borderId="29" xfId="25" applyFont="1" applyFill="1" applyBorder="1" applyAlignment="1">
      <alignment horizontal="left" vertical="center" shrinkToFit="1"/>
    </xf>
    <xf numFmtId="0" fontId="23" fillId="4" borderId="29" xfId="25" applyFont="1" applyFill="1" applyBorder="1" applyAlignment="1">
      <alignment horizontal="center" vertical="center" shrinkToFit="1"/>
    </xf>
    <xf numFmtId="0" fontId="114" fillId="5" borderId="29" xfId="25" applyFont="1" applyFill="1" applyBorder="1" applyAlignment="1">
      <alignment vertical="center" shrinkToFit="1"/>
    </xf>
    <xf numFmtId="0" fontId="114" fillId="3" borderId="6" xfId="25" applyFont="1" applyFill="1" applyBorder="1" applyAlignment="1">
      <alignment vertical="center" shrinkToFit="1"/>
    </xf>
    <xf numFmtId="0" fontId="114" fillId="3" borderId="7" xfId="25" applyFont="1" applyFill="1" applyBorder="1" applyAlignment="1">
      <alignment vertical="center" shrinkToFit="1"/>
    </xf>
    <xf numFmtId="0" fontId="114" fillId="3" borderId="8" xfId="25" applyFont="1" applyFill="1" applyBorder="1" applyAlignment="1">
      <alignment vertical="center" shrinkToFit="1"/>
    </xf>
    <xf numFmtId="0" fontId="118" fillId="3" borderId="0" xfId="25" applyFont="1" applyFill="1" applyAlignment="1">
      <alignment horizontal="left" vertical="center" shrinkToFit="1"/>
    </xf>
    <xf numFmtId="0" fontId="118" fillId="3" borderId="0" xfId="25" applyFont="1" applyFill="1" applyAlignment="1">
      <alignment horizontal="left" vertical="center" wrapText="1"/>
    </xf>
    <xf numFmtId="0" fontId="1" fillId="0" borderId="0" xfId="25" applyAlignment="1">
      <alignment vertical="center" wrapText="1"/>
    </xf>
    <xf numFmtId="0" fontId="118" fillId="3" borderId="0" xfId="25" applyFont="1" applyFill="1" applyAlignment="1">
      <alignment horizontal="right" vertical="center" shrinkToFit="1"/>
    </xf>
    <xf numFmtId="0" fontId="118" fillId="3" borderId="0" xfId="25" applyFont="1" applyFill="1" applyAlignment="1">
      <alignment horizontal="center" vertical="center" shrinkToFit="1"/>
    </xf>
    <xf numFmtId="0" fontId="118" fillId="3" borderId="205" xfId="25" applyFont="1" applyFill="1" applyBorder="1" applyAlignment="1">
      <alignment horizontal="left" vertical="center" shrinkToFit="1"/>
    </xf>
    <xf numFmtId="180" fontId="118" fillId="5" borderId="90" xfId="25" applyNumberFormat="1" applyFont="1" applyFill="1" applyBorder="1" applyAlignment="1">
      <alignment horizontal="center" vertical="center" shrinkToFit="1"/>
    </xf>
    <xf numFmtId="0" fontId="23" fillId="3" borderId="0" xfId="25" applyFont="1" applyFill="1" applyAlignment="1">
      <alignment horizontal="center" shrinkToFit="1"/>
    </xf>
    <xf numFmtId="0" fontId="121" fillId="9" borderId="2" xfId="25" applyFont="1" applyFill="1" applyBorder="1" applyAlignment="1">
      <alignment horizontal="center" vertical="center" shrinkToFit="1"/>
    </xf>
    <xf numFmtId="0" fontId="121" fillId="9" borderId="6" xfId="25" applyFont="1" applyFill="1" applyBorder="1" applyAlignment="1">
      <alignment horizontal="center" vertical="center" shrinkToFit="1"/>
    </xf>
    <xf numFmtId="0" fontId="121" fillId="9" borderId="7" xfId="25" applyFont="1" applyFill="1" applyBorder="1" applyAlignment="1">
      <alignment horizontal="center" vertical="center" shrinkToFit="1"/>
    </xf>
    <xf numFmtId="0" fontId="114" fillId="7" borderId="32" xfId="25" applyFont="1" applyFill="1" applyBorder="1" applyAlignment="1">
      <alignment vertical="center" shrinkToFit="1"/>
    </xf>
    <xf numFmtId="0" fontId="114" fillId="7" borderId="30" xfId="25" applyFont="1" applyFill="1" applyBorder="1" applyAlignment="1">
      <alignment vertical="center" shrinkToFit="1"/>
    </xf>
    <xf numFmtId="0" fontId="114" fillId="7" borderId="31" xfId="25" applyFont="1" applyFill="1" applyBorder="1" applyAlignment="1">
      <alignment vertical="center" shrinkToFit="1"/>
    </xf>
    <xf numFmtId="2" fontId="23" fillId="7" borderId="32" xfId="25" applyNumberFormat="1" applyFont="1" applyFill="1" applyBorder="1" applyAlignment="1">
      <alignment horizontal="right" vertical="center" shrinkToFit="1"/>
    </xf>
    <xf numFmtId="2" fontId="23" fillId="7" borderId="30" xfId="25" applyNumberFormat="1" applyFont="1" applyFill="1" applyBorder="1" applyAlignment="1">
      <alignment horizontal="right" vertical="center" shrinkToFit="1"/>
    </xf>
    <xf numFmtId="2" fontId="118" fillId="7" borderId="73" xfId="25" applyNumberFormat="1" applyFont="1" applyFill="1" applyBorder="1" applyAlignment="1">
      <alignment horizontal="center" vertical="center" shrinkToFit="1"/>
    </xf>
    <xf numFmtId="2" fontId="118" fillId="7" borderId="93" xfId="25" applyNumberFormat="1" applyFont="1" applyFill="1" applyBorder="1" applyAlignment="1">
      <alignment horizontal="center" vertical="center" shrinkToFit="1"/>
    </xf>
    <xf numFmtId="2" fontId="118" fillId="7" borderId="74" xfId="25" applyNumberFormat="1" applyFont="1" applyFill="1" applyBorder="1" applyAlignment="1">
      <alignment horizontal="center" vertical="center" shrinkToFit="1"/>
    </xf>
    <xf numFmtId="0" fontId="118" fillId="7" borderId="73" xfId="25" applyFont="1" applyFill="1" applyBorder="1" applyAlignment="1">
      <alignment horizontal="center" vertical="center" shrinkToFit="1"/>
    </xf>
    <xf numFmtId="0" fontId="118" fillId="7" borderId="93" xfId="25" applyFont="1" applyFill="1" applyBorder="1" applyAlignment="1">
      <alignment horizontal="center" vertical="center" shrinkToFit="1"/>
    </xf>
    <xf numFmtId="0" fontId="118" fillId="5" borderId="73" xfId="25" applyFont="1" applyFill="1" applyBorder="1" applyAlignment="1">
      <alignment horizontal="center" vertical="center" shrinkToFit="1"/>
    </xf>
    <xf numFmtId="0" fontId="118" fillId="5" borderId="93" xfId="25" applyFont="1" applyFill="1" applyBorder="1" applyAlignment="1">
      <alignment horizontal="center" vertical="center" shrinkToFit="1"/>
    </xf>
    <xf numFmtId="179" fontId="118" fillId="7" borderId="73" xfId="25" applyNumberFormat="1" applyFont="1" applyFill="1" applyBorder="1" applyAlignment="1">
      <alignment horizontal="center" vertical="center" shrinkToFit="1"/>
    </xf>
    <xf numFmtId="179" fontId="118" fillId="7" borderId="93" xfId="25" applyNumberFormat="1" applyFont="1" applyFill="1" applyBorder="1" applyAlignment="1">
      <alignment horizontal="center" vertical="center" shrinkToFit="1"/>
    </xf>
    <xf numFmtId="180" fontId="118" fillId="7" borderId="73" xfId="25" applyNumberFormat="1" applyFont="1" applyFill="1" applyBorder="1" applyAlignment="1">
      <alignment horizontal="center" vertical="center" shrinkToFit="1"/>
    </xf>
    <xf numFmtId="180" fontId="118" fillId="7" borderId="74" xfId="25" applyNumberFormat="1" applyFont="1" applyFill="1" applyBorder="1" applyAlignment="1">
      <alignment horizontal="center" vertical="center" shrinkToFit="1"/>
    </xf>
    <xf numFmtId="0" fontId="114" fillId="7" borderId="36" xfId="25" applyFont="1" applyFill="1" applyBorder="1" applyAlignment="1">
      <alignment vertical="center" shrinkToFit="1"/>
    </xf>
    <xf numFmtId="0" fontId="114" fillId="7" borderId="33" xfId="25" applyFont="1" applyFill="1" applyBorder="1" applyAlignment="1">
      <alignment vertical="center" shrinkToFit="1"/>
    </xf>
    <xf numFmtId="0" fontId="114" fillId="7" borderId="34" xfId="25" applyFont="1" applyFill="1" applyBorder="1" applyAlignment="1">
      <alignment vertical="center" shrinkToFit="1"/>
    </xf>
    <xf numFmtId="2" fontId="23" fillId="7" borderId="36" xfId="25" applyNumberFormat="1" applyFont="1" applyFill="1" applyBorder="1" applyAlignment="1">
      <alignment horizontal="right" vertical="center" shrinkToFit="1"/>
    </xf>
    <xf numFmtId="2" fontId="23" fillId="7" borderId="34" xfId="25" applyNumberFormat="1" applyFont="1" applyFill="1" applyBorder="1" applyAlignment="1">
      <alignment horizontal="right" vertical="center" shrinkToFit="1"/>
    </xf>
    <xf numFmtId="2" fontId="23" fillId="7" borderId="33" xfId="25" applyNumberFormat="1" applyFont="1" applyFill="1" applyBorder="1" applyAlignment="1">
      <alignment horizontal="right" vertical="center" shrinkToFit="1"/>
    </xf>
    <xf numFmtId="0" fontId="114" fillId="7" borderId="37" xfId="25" applyFont="1" applyFill="1" applyBorder="1" applyAlignment="1">
      <alignment vertical="center" shrinkToFit="1"/>
    </xf>
    <xf numFmtId="0" fontId="114" fillId="7" borderId="38" xfId="25" applyFont="1" applyFill="1" applyBorder="1" applyAlignment="1">
      <alignment vertical="center" shrinkToFit="1"/>
    </xf>
    <xf numFmtId="0" fontId="114" fillId="7" borderId="39" xfId="25" applyFont="1" applyFill="1" applyBorder="1" applyAlignment="1">
      <alignment vertical="center" shrinkToFit="1"/>
    </xf>
    <xf numFmtId="2" fontId="23" fillId="7" borderId="37" xfId="25" applyNumberFormat="1" applyFont="1" applyFill="1" applyBorder="1" applyAlignment="1">
      <alignment horizontal="right" vertical="center" shrinkToFit="1"/>
    </xf>
    <xf numFmtId="2" fontId="23" fillId="7" borderId="39" xfId="25" applyNumberFormat="1" applyFont="1" applyFill="1" applyBorder="1" applyAlignment="1">
      <alignment horizontal="right" vertical="center" shrinkToFit="1"/>
    </xf>
    <xf numFmtId="0" fontId="34" fillId="3" borderId="0" xfId="25" applyFont="1" applyFill="1" applyAlignment="1">
      <alignment horizontal="right" vertical="center"/>
    </xf>
    <xf numFmtId="0" fontId="34" fillId="3" borderId="27" xfId="25" applyFont="1" applyFill="1" applyBorder="1" applyAlignment="1">
      <alignment horizontal="right" vertical="center"/>
    </xf>
    <xf numFmtId="2" fontId="23" fillId="7" borderId="16" xfId="25" applyNumberFormat="1" applyFont="1" applyFill="1" applyBorder="1" applyAlignment="1">
      <alignment horizontal="right" vertical="center" shrinkToFit="1"/>
    </xf>
    <xf numFmtId="2" fontId="23" fillId="7" borderId="15" xfId="25" applyNumberFormat="1" applyFont="1" applyFill="1" applyBorder="1" applyAlignment="1">
      <alignment horizontal="right" vertical="center" shrinkToFit="1"/>
    </xf>
    <xf numFmtId="0" fontId="114" fillId="3" borderId="98" xfId="25" applyFont="1" applyFill="1" applyBorder="1" applyAlignment="1">
      <alignment vertical="center" shrinkToFit="1"/>
    </xf>
    <xf numFmtId="0" fontId="114" fillId="3" borderId="92" xfId="25" applyFont="1" applyFill="1" applyBorder="1" applyAlignment="1">
      <alignment vertical="center" shrinkToFit="1"/>
    </xf>
    <xf numFmtId="0" fontId="114" fillId="3" borderId="63" xfId="25" applyFont="1" applyFill="1" applyBorder="1" applyAlignment="1">
      <alignment vertical="center" shrinkToFit="1"/>
    </xf>
    <xf numFmtId="0" fontId="114" fillId="3" borderId="205" xfId="25" applyFont="1" applyFill="1" applyBorder="1" applyAlignment="1">
      <alignment vertical="center" shrinkToFit="1"/>
    </xf>
    <xf numFmtId="0" fontId="114" fillId="17" borderId="92" xfId="25" applyFont="1" applyFill="1" applyBorder="1" applyAlignment="1">
      <alignment vertical="center" shrinkToFit="1"/>
    </xf>
    <xf numFmtId="0" fontId="114" fillId="3" borderId="92" xfId="25" applyFont="1" applyFill="1" applyBorder="1" applyAlignment="1">
      <alignment horizontal="center" vertical="center" shrinkToFit="1"/>
    </xf>
    <xf numFmtId="0" fontId="114" fillId="18" borderId="92" xfId="25" applyFont="1" applyFill="1" applyBorder="1" applyAlignment="1">
      <alignment vertical="center" shrinkToFit="1"/>
    </xf>
    <xf numFmtId="0" fontId="114" fillId="3" borderId="0" xfId="25" applyFont="1" applyFill="1">
      <alignment vertical="center"/>
    </xf>
    <xf numFmtId="0" fontId="114" fillId="3" borderId="236" xfId="25" applyFont="1" applyFill="1" applyBorder="1" applyAlignment="1">
      <alignment horizontal="center" vertical="center" shrinkToFit="1"/>
    </xf>
    <xf numFmtId="0" fontId="114" fillId="3" borderId="238" xfId="25" applyFont="1" applyFill="1" applyBorder="1" applyAlignment="1">
      <alignment horizontal="center" vertical="center" shrinkToFit="1"/>
    </xf>
    <xf numFmtId="0" fontId="121" fillId="9" borderId="6" xfId="25" applyFont="1" applyFill="1" applyBorder="1" applyAlignment="1">
      <alignment horizontal="center" vertical="center"/>
    </xf>
    <xf numFmtId="0" fontId="114" fillId="19" borderId="25" xfId="25" applyFont="1" applyFill="1" applyBorder="1" applyAlignment="1">
      <alignment horizontal="center" vertical="center" shrinkToFit="1"/>
    </xf>
    <xf numFmtId="0" fontId="114" fillId="19" borderId="3" xfId="25" applyFont="1" applyFill="1" applyBorder="1" applyAlignment="1">
      <alignment horizontal="center" vertical="center"/>
    </xf>
    <xf numFmtId="0" fontId="114" fillId="19" borderId="4" xfId="25" applyFont="1" applyFill="1" applyBorder="1" applyAlignment="1">
      <alignment horizontal="center" vertical="center"/>
    </xf>
    <xf numFmtId="0" fontId="114" fillId="19" borderId="1" xfId="25" applyFont="1" applyFill="1" applyBorder="1" applyAlignment="1">
      <alignment horizontal="center" vertical="center"/>
    </xf>
    <xf numFmtId="0" fontId="114" fillId="3" borderId="205" xfId="25" applyFont="1" applyFill="1" applyBorder="1" applyAlignment="1">
      <alignment horizontal="center" vertical="center" shrinkToFit="1"/>
    </xf>
    <xf numFmtId="180" fontId="114" fillId="18" borderId="205" xfId="25" applyNumberFormat="1" applyFont="1" applyFill="1" applyBorder="1" applyAlignment="1">
      <alignment vertical="center" shrinkToFit="1"/>
    </xf>
    <xf numFmtId="0" fontId="121" fillId="9" borderId="2" xfId="25" applyFont="1" applyFill="1" applyBorder="1" applyAlignment="1">
      <alignment horizontal="center" vertical="center"/>
    </xf>
    <xf numFmtId="0" fontId="114" fillId="17" borderId="92" xfId="25" applyFont="1" applyFill="1" applyBorder="1" applyAlignment="1">
      <alignment horizontal="left" vertical="center" shrinkToFit="1"/>
    </xf>
    <xf numFmtId="0" fontId="114" fillId="17" borderId="237" xfId="25" applyFont="1" applyFill="1" applyBorder="1" applyAlignment="1">
      <alignment horizontal="left" vertical="center" shrinkToFit="1"/>
    </xf>
    <xf numFmtId="0" fontId="114" fillId="17" borderId="205" xfId="25" applyFont="1" applyFill="1" applyBorder="1" applyAlignment="1">
      <alignment horizontal="left" vertical="center" shrinkToFit="1"/>
    </xf>
    <xf numFmtId="0" fontId="114" fillId="17" borderId="210" xfId="25" applyFont="1" applyFill="1" applyBorder="1" applyAlignment="1">
      <alignment horizontal="left" vertical="center" shrinkToFit="1"/>
    </xf>
    <xf numFmtId="49" fontId="114" fillId="17" borderId="92" xfId="25" applyNumberFormat="1" applyFont="1" applyFill="1" applyBorder="1" applyAlignment="1">
      <alignment horizontal="center" vertical="center" shrinkToFit="1"/>
    </xf>
    <xf numFmtId="49" fontId="114" fillId="17" borderId="205" xfId="25" applyNumberFormat="1" applyFont="1" applyFill="1" applyBorder="1" applyAlignment="1">
      <alignment horizontal="center" vertical="center" shrinkToFit="1"/>
    </xf>
    <xf numFmtId="2" fontId="114" fillId="17" borderId="92" xfId="25" applyNumberFormat="1" applyFont="1" applyFill="1" applyBorder="1" applyAlignment="1">
      <alignment horizontal="center" vertical="center" shrinkToFit="1"/>
    </xf>
    <xf numFmtId="2" fontId="114" fillId="17" borderId="205" xfId="25" applyNumberFormat="1" applyFont="1" applyFill="1" applyBorder="1" applyAlignment="1">
      <alignment horizontal="center" vertical="center" shrinkToFit="1"/>
    </xf>
    <xf numFmtId="0" fontId="114" fillId="3" borderId="99" xfId="25" applyFont="1" applyFill="1" applyBorder="1" applyAlignment="1">
      <alignment vertical="center" shrinkToFit="1"/>
    </xf>
    <xf numFmtId="0" fontId="114" fillId="3" borderId="64" xfId="25" applyFont="1" applyFill="1" applyBorder="1" applyAlignment="1">
      <alignment vertical="center" shrinkToFit="1"/>
    </xf>
    <xf numFmtId="2" fontId="114" fillId="18" borderId="30" xfId="25" applyNumberFormat="1" applyFont="1" applyFill="1" applyBorder="1" applyAlignment="1">
      <alignment horizontal="center" vertical="center" shrinkToFit="1"/>
    </xf>
    <xf numFmtId="2" fontId="114" fillId="18" borderId="31" xfId="25" applyNumberFormat="1" applyFont="1" applyFill="1" applyBorder="1" applyAlignment="1">
      <alignment horizontal="center" vertical="center" shrinkToFit="1"/>
    </xf>
    <xf numFmtId="0" fontId="114" fillId="17" borderId="239" xfId="25" applyFont="1" applyFill="1" applyBorder="1" applyAlignment="1">
      <alignment vertical="center" shrinkToFit="1"/>
    </xf>
    <xf numFmtId="0" fontId="114" fillId="17" borderId="240" xfId="25" applyFont="1" applyFill="1" applyBorder="1" applyAlignment="1">
      <alignment vertical="center" shrinkToFit="1"/>
    </xf>
    <xf numFmtId="0" fontId="114" fillId="17" borderId="241" xfId="25" applyFont="1" applyFill="1" applyBorder="1" applyAlignment="1">
      <alignment horizontal="left" vertical="center" shrinkToFit="1"/>
    </xf>
    <xf numFmtId="0" fontId="114" fillId="17" borderId="242" xfId="25" applyFont="1" applyFill="1" applyBorder="1" applyAlignment="1">
      <alignment horizontal="left" vertical="center" shrinkToFit="1"/>
    </xf>
    <xf numFmtId="49" fontId="114" fillId="17" borderId="241" xfId="25" applyNumberFormat="1" applyFont="1" applyFill="1" applyBorder="1" applyAlignment="1">
      <alignment horizontal="center" vertical="center" shrinkToFit="1"/>
    </xf>
    <xf numFmtId="49" fontId="114" fillId="17" borderId="243" xfId="25" applyNumberFormat="1" applyFont="1" applyFill="1" applyBorder="1" applyAlignment="1">
      <alignment horizontal="center" vertical="center" shrinkToFit="1"/>
    </xf>
    <xf numFmtId="49" fontId="114" fillId="17" borderId="242" xfId="25" applyNumberFormat="1" applyFont="1" applyFill="1" applyBorder="1" applyAlignment="1">
      <alignment horizontal="center" vertical="center" shrinkToFit="1"/>
    </xf>
    <xf numFmtId="2" fontId="114" fillId="17" borderId="241" xfId="25" applyNumberFormat="1" applyFont="1" applyFill="1" applyBorder="1" applyAlignment="1">
      <alignment horizontal="center" vertical="center" shrinkToFit="1"/>
    </xf>
    <xf numFmtId="2" fontId="114" fillId="17" borderId="243" xfId="25" applyNumberFormat="1" applyFont="1" applyFill="1" applyBorder="1" applyAlignment="1">
      <alignment horizontal="center" vertical="center" shrinkToFit="1"/>
    </xf>
    <xf numFmtId="197" fontId="114" fillId="18" borderId="32" xfId="25" applyNumberFormat="1" applyFont="1" applyFill="1" applyBorder="1" applyAlignment="1">
      <alignment horizontal="center" vertical="center"/>
    </xf>
    <xf numFmtId="197" fontId="114" fillId="18" borderId="31" xfId="25" applyNumberFormat="1" applyFont="1" applyFill="1" applyBorder="1" applyAlignment="1">
      <alignment horizontal="center" vertical="center"/>
    </xf>
    <xf numFmtId="2" fontId="114" fillId="18" borderId="40" xfId="25" applyNumberFormat="1" applyFont="1" applyFill="1" applyBorder="1" applyAlignment="1">
      <alignment horizontal="center" vertical="center" shrinkToFit="1"/>
    </xf>
    <xf numFmtId="2" fontId="114" fillId="18" borderId="32" xfId="25" applyNumberFormat="1" applyFont="1" applyFill="1" applyBorder="1" applyAlignment="1">
      <alignment horizontal="center" vertical="center" shrinkToFit="1"/>
    </xf>
    <xf numFmtId="0" fontId="114" fillId="18" borderId="32" xfId="25" applyFont="1" applyFill="1" applyBorder="1" applyAlignment="1">
      <alignment horizontal="center" vertical="center"/>
    </xf>
    <xf numFmtId="0" fontId="114" fillId="18" borderId="30" xfId="25" applyFont="1" applyFill="1" applyBorder="1" applyAlignment="1">
      <alignment horizontal="center" vertical="center"/>
    </xf>
    <xf numFmtId="2" fontId="114" fillId="18" borderId="33" xfId="25" applyNumberFormat="1" applyFont="1" applyFill="1" applyBorder="1" applyAlignment="1">
      <alignment horizontal="center" vertical="center" shrinkToFit="1"/>
    </xf>
    <xf numFmtId="2" fontId="114" fillId="18" borderId="34" xfId="25" applyNumberFormat="1" applyFont="1" applyFill="1" applyBorder="1" applyAlignment="1">
      <alignment horizontal="center" vertical="center" shrinkToFit="1"/>
    </xf>
    <xf numFmtId="0" fontId="114" fillId="17" borderId="245" xfId="25" applyFont="1" applyFill="1" applyBorder="1" applyAlignment="1">
      <alignment vertical="center" shrinkToFit="1"/>
    </xf>
    <xf numFmtId="0" fontId="114" fillId="17" borderId="246" xfId="25" applyFont="1" applyFill="1" applyBorder="1" applyAlignment="1">
      <alignment vertical="center" shrinkToFit="1"/>
    </xf>
    <xf numFmtId="0" fontId="114" fillId="17" borderId="247" xfId="25" applyFont="1" applyFill="1" applyBorder="1" applyAlignment="1">
      <alignment horizontal="left" vertical="center" shrinkToFit="1"/>
    </xf>
    <xf numFmtId="0" fontId="114" fillId="17" borderId="248" xfId="25" applyFont="1" applyFill="1" applyBorder="1" applyAlignment="1">
      <alignment horizontal="left" vertical="center" shrinkToFit="1"/>
    </xf>
    <xf numFmtId="49" fontId="114" fillId="17" borderId="247" xfId="25" applyNumberFormat="1" applyFont="1" applyFill="1" applyBorder="1" applyAlignment="1">
      <alignment horizontal="center" vertical="center" shrinkToFit="1"/>
    </xf>
    <xf numFmtId="49" fontId="114" fillId="17" borderId="249" xfId="25" applyNumberFormat="1" applyFont="1" applyFill="1" applyBorder="1" applyAlignment="1">
      <alignment horizontal="center" vertical="center" shrinkToFit="1"/>
    </xf>
    <xf numFmtId="49" fontId="114" fillId="17" borderId="248" xfId="25" applyNumberFormat="1" applyFont="1" applyFill="1" applyBorder="1" applyAlignment="1">
      <alignment horizontal="center" vertical="center" shrinkToFit="1"/>
    </xf>
    <xf numFmtId="2" fontId="114" fillId="17" borderId="247" xfId="25" applyNumberFormat="1" applyFont="1" applyFill="1" applyBorder="1" applyAlignment="1">
      <alignment horizontal="center" vertical="center" shrinkToFit="1"/>
    </xf>
    <xf numFmtId="2" fontId="114" fillId="17" borderId="249" xfId="25" applyNumberFormat="1" applyFont="1" applyFill="1" applyBorder="1" applyAlignment="1">
      <alignment horizontal="center" vertical="center" shrinkToFit="1"/>
    </xf>
    <xf numFmtId="197" fontId="114" fillId="18" borderId="36" xfId="25" applyNumberFormat="1" applyFont="1" applyFill="1" applyBorder="1" applyAlignment="1">
      <alignment horizontal="center" vertical="center"/>
    </xf>
    <xf numFmtId="197" fontId="114" fillId="18" borderId="34" xfId="25" applyNumberFormat="1" applyFont="1" applyFill="1" applyBorder="1" applyAlignment="1">
      <alignment horizontal="center" vertical="center"/>
    </xf>
    <xf numFmtId="2" fontId="114" fillId="18" borderId="35" xfId="25" applyNumberFormat="1" applyFont="1" applyFill="1" applyBorder="1" applyAlignment="1">
      <alignment horizontal="center" vertical="center" shrinkToFit="1"/>
    </xf>
    <xf numFmtId="2" fontId="114" fillId="18" borderId="36" xfId="25" applyNumberFormat="1" applyFont="1" applyFill="1" applyBorder="1" applyAlignment="1">
      <alignment horizontal="center" vertical="center" shrinkToFit="1"/>
    </xf>
    <xf numFmtId="0" fontId="114" fillId="18" borderId="36" xfId="25" applyFont="1" applyFill="1" applyBorder="1" applyAlignment="1">
      <alignment horizontal="center" vertical="center"/>
    </xf>
    <xf numFmtId="0" fontId="114" fillId="18" borderId="33" xfId="25" applyFont="1" applyFill="1" applyBorder="1" applyAlignment="1">
      <alignment horizontal="center" vertical="center"/>
    </xf>
    <xf numFmtId="0" fontId="114" fillId="17" borderId="41" xfId="25" applyFont="1" applyFill="1" applyBorder="1" applyAlignment="1">
      <alignment vertical="center" shrinkToFit="1"/>
    </xf>
    <xf numFmtId="0" fontId="114" fillId="17" borderId="50" xfId="25" applyFont="1" applyFill="1" applyBorder="1" applyAlignment="1">
      <alignment horizontal="left" vertical="center" shrinkToFit="1"/>
    </xf>
    <xf numFmtId="0" fontId="114" fillId="17" borderId="53" xfId="25" applyFont="1" applyFill="1" applyBorder="1" applyAlignment="1">
      <alignment horizontal="left" vertical="center" shrinkToFit="1"/>
    </xf>
    <xf numFmtId="49" fontId="114" fillId="17" borderId="50" xfId="25" applyNumberFormat="1" applyFont="1" applyFill="1" applyBorder="1" applyAlignment="1">
      <alignment horizontal="center" vertical="center" shrinkToFit="1"/>
    </xf>
    <xf numFmtId="49" fontId="114" fillId="17" borderId="42" xfId="25" applyNumberFormat="1" applyFont="1" applyFill="1" applyBorder="1" applyAlignment="1">
      <alignment horizontal="center" vertical="center" shrinkToFit="1"/>
    </xf>
    <xf numFmtId="49" fontId="114" fillId="17" borderId="53" xfId="25" applyNumberFormat="1" applyFont="1" applyFill="1" applyBorder="1" applyAlignment="1">
      <alignment horizontal="center" vertical="center" shrinkToFit="1"/>
    </xf>
    <xf numFmtId="2" fontId="114" fillId="17" borderId="50" xfId="25" applyNumberFormat="1" applyFont="1" applyFill="1" applyBorder="1" applyAlignment="1">
      <alignment horizontal="center" vertical="center" shrinkToFit="1"/>
    </xf>
    <xf numFmtId="2" fontId="114" fillId="17" borderId="42" xfId="25" applyNumberFormat="1" applyFont="1" applyFill="1" applyBorder="1" applyAlignment="1">
      <alignment horizontal="center" vertical="center" shrinkToFit="1"/>
    </xf>
    <xf numFmtId="0" fontId="114" fillId="17" borderId="35" xfId="25" applyFont="1" applyFill="1" applyBorder="1" applyAlignment="1">
      <alignment vertical="center" shrinkToFit="1"/>
    </xf>
    <xf numFmtId="0" fontId="114" fillId="17" borderId="36" xfId="25" applyFont="1" applyFill="1" applyBorder="1" applyAlignment="1">
      <alignment horizontal="left" vertical="center" shrinkToFit="1"/>
    </xf>
    <xf numFmtId="0" fontId="114" fillId="17" borderId="34" xfId="25" applyFont="1" applyFill="1" applyBorder="1" applyAlignment="1">
      <alignment horizontal="left" vertical="center" shrinkToFit="1"/>
    </xf>
    <xf numFmtId="49" fontId="114" fillId="17" borderId="36" xfId="25" applyNumberFormat="1" applyFont="1" applyFill="1" applyBorder="1" applyAlignment="1">
      <alignment horizontal="center" vertical="center" shrinkToFit="1"/>
    </xf>
    <xf numFmtId="49" fontId="114" fillId="17" borderId="33" xfId="25" applyNumberFormat="1" applyFont="1" applyFill="1" applyBorder="1" applyAlignment="1">
      <alignment horizontal="center" vertical="center" shrinkToFit="1"/>
    </xf>
    <xf numFmtId="49" fontId="114" fillId="17" borderId="34" xfId="25" applyNumberFormat="1" applyFont="1" applyFill="1" applyBorder="1" applyAlignment="1">
      <alignment horizontal="center" vertical="center" shrinkToFit="1"/>
    </xf>
    <xf numFmtId="2" fontId="114" fillId="17" borderId="36" xfId="25" applyNumberFormat="1" applyFont="1" applyFill="1" applyBorder="1" applyAlignment="1">
      <alignment horizontal="center" vertical="center" shrinkToFit="1"/>
    </xf>
    <xf numFmtId="2" fontId="114" fillId="17" borderId="33" xfId="25" applyNumberFormat="1" applyFont="1" applyFill="1" applyBorder="1" applyAlignment="1">
      <alignment horizontal="center" vertical="center" shrinkToFit="1"/>
    </xf>
    <xf numFmtId="0" fontId="63" fillId="3" borderId="4" xfId="25" applyFont="1" applyFill="1" applyBorder="1" applyAlignment="1">
      <alignment horizontal="center" vertical="center"/>
    </xf>
    <xf numFmtId="2" fontId="114" fillId="18" borderId="38" xfId="25" applyNumberFormat="1" applyFont="1" applyFill="1" applyBorder="1" applyAlignment="1">
      <alignment horizontal="center" vertical="center" shrinkToFit="1"/>
    </xf>
    <xf numFmtId="2" fontId="114" fillId="18" borderId="39" xfId="25" applyNumberFormat="1" applyFont="1" applyFill="1" applyBorder="1" applyAlignment="1">
      <alignment horizontal="center" vertical="center" shrinkToFit="1"/>
    </xf>
    <xf numFmtId="0" fontId="114" fillId="17" borderId="54" xfId="25" applyFont="1" applyFill="1" applyBorder="1" applyAlignment="1">
      <alignment vertical="center" shrinkToFit="1"/>
    </xf>
    <xf numFmtId="0" fontId="114" fillId="17" borderId="37" xfId="25" applyFont="1" applyFill="1" applyBorder="1" applyAlignment="1">
      <alignment horizontal="left" vertical="center" shrinkToFit="1"/>
    </xf>
    <xf numFmtId="0" fontId="114" fillId="17" borderId="39" xfId="25" applyFont="1" applyFill="1" applyBorder="1" applyAlignment="1">
      <alignment horizontal="left" vertical="center" shrinkToFit="1"/>
    </xf>
    <xf numFmtId="49" fontId="114" fillId="17" borderId="37" xfId="25" applyNumberFormat="1" applyFont="1" applyFill="1" applyBorder="1" applyAlignment="1">
      <alignment horizontal="center" vertical="center" shrinkToFit="1"/>
    </xf>
    <xf numFmtId="49" fontId="114" fillId="17" borderId="38" xfId="25" applyNumberFormat="1" applyFont="1" applyFill="1" applyBorder="1" applyAlignment="1">
      <alignment horizontal="center" vertical="center" shrinkToFit="1"/>
    </xf>
    <xf numFmtId="49" fontId="114" fillId="17" borderId="39" xfId="25" applyNumberFormat="1" applyFont="1" applyFill="1" applyBorder="1" applyAlignment="1">
      <alignment horizontal="center" vertical="center" shrinkToFit="1"/>
    </xf>
    <xf numFmtId="2" fontId="114" fillId="17" borderId="37" xfId="25" applyNumberFormat="1" applyFont="1" applyFill="1" applyBorder="1" applyAlignment="1">
      <alignment horizontal="center" vertical="center" shrinkToFit="1"/>
    </xf>
    <xf numFmtId="2" fontId="114" fillId="17" borderId="38" xfId="25" applyNumberFormat="1" applyFont="1" applyFill="1" applyBorder="1" applyAlignment="1">
      <alignment horizontal="center" vertical="center" shrinkToFit="1"/>
    </xf>
    <xf numFmtId="197" fontId="114" fillId="18" borderId="37" xfId="25" applyNumberFormat="1" applyFont="1" applyFill="1" applyBorder="1" applyAlignment="1">
      <alignment horizontal="center" vertical="center"/>
    </xf>
    <xf numFmtId="197" fontId="114" fillId="18" borderId="39" xfId="25" applyNumberFormat="1" applyFont="1" applyFill="1" applyBorder="1" applyAlignment="1">
      <alignment horizontal="center" vertical="center"/>
    </xf>
    <xf numFmtId="2" fontId="114" fillId="18" borderId="54" xfId="25" applyNumberFormat="1" applyFont="1" applyFill="1" applyBorder="1" applyAlignment="1">
      <alignment horizontal="center" vertical="center" shrinkToFit="1"/>
    </xf>
    <xf numFmtId="2" fontId="114" fillId="18" borderId="37" xfId="25" applyNumberFormat="1" applyFont="1" applyFill="1" applyBorder="1" applyAlignment="1">
      <alignment horizontal="center" vertical="center" shrinkToFit="1"/>
    </xf>
    <xf numFmtId="0" fontId="114" fillId="18" borderId="37" xfId="25" applyFont="1" applyFill="1" applyBorder="1" applyAlignment="1">
      <alignment horizontal="center" vertical="center"/>
    </xf>
    <xf numFmtId="0" fontId="114" fillId="18" borderId="38" xfId="25" applyFont="1" applyFill="1" applyBorder="1" applyAlignment="1">
      <alignment horizontal="center" vertical="center"/>
    </xf>
    <xf numFmtId="0" fontId="100" fillId="3" borderId="170" xfId="19" applyFont="1" applyFill="1" applyBorder="1" applyAlignment="1">
      <alignment horizontal="right" vertical="center" wrapText="1"/>
    </xf>
    <xf numFmtId="0" fontId="100" fillId="3" borderId="168" xfId="19" applyFont="1" applyFill="1" applyBorder="1" applyAlignment="1">
      <alignment horizontal="right" vertical="center" wrapText="1"/>
    </xf>
    <xf numFmtId="0" fontId="100" fillId="3" borderId="168" xfId="19" applyFont="1" applyFill="1" applyBorder="1" applyAlignment="1">
      <alignment horizontal="center" vertical="center" wrapText="1"/>
    </xf>
    <xf numFmtId="0" fontId="100" fillId="3" borderId="171" xfId="19" applyFont="1" applyFill="1" applyBorder="1" applyAlignment="1">
      <alignment horizontal="center" vertical="center" wrapText="1"/>
    </xf>
    <xf numFmtId="0" fontId="100" fillId="3" borderId="211" xfId="19" applyFont="1" applyFill="1" applyBorder="1" applyAlignment="1">
      <alignment horizontal="right" vertical="center" wrapText="1"/>
    </xf>
    <xf numFmtId="0" fontId="100" fillId="3" borderId="209" xfId="19" applyFont="1" applyFill="1" applyBorder="1" applyAlignment="1">
      <alignment horizontal="right" vertical="center" wrapText="1"/>
    </xf>
    <xf numFmtId="0" fontId="100" fillId="3" borderId="209" xfId="19" applyFont="1" applyFill="1" applyBorder="1" applyAlignment="1">
      <alignment horizontal="center" vertical="center" wrapText="1"/>
    </xf>
    <xf numFmtId="0" fontId="100" fillId="3" borderId="212" xfId="19" applyFont="1" applyFill="1" applyBorder="1" applyAlignment="1">
      <alignment horizontal="center" vertical="center" wrapText="1"/>
    </xf>
    <xf numFmtId="0" fontId="100" fillId="3" borderId="73" xfId="19" applyFont="1" applyFill="1" applyBorder="1" applyAlignment="1">
      <alignment horizontal="center" vertical="center" wrapText="1"/>
    </xf>
    <xf numFmtId="0" fontId="100" fillId="3" borderId="93" xfId="19" applyFont="1" applyFill="1" applyBorder="1" applyAlignment="1">
      <alignment horizontal="center" vertical="center" wrapText="1"/>
    </xf>
    <xf numFmtId="0" fontId="100" fillId="3" borderId="108" xfId="19" applyFont="1" applyFill="1" applyBorder="1" applyAlignment="1">
      <alignment horizontal="center" vertical="center" wrapText="1"/>
    </xf>
    <xf numFmtId="0" fontId="99" fillId="0" borderId="0" xfId="19" applyFont="1" applyAlignment="1">
      <alignment horizontal="center" vertical="top" wrapText="1"/>
    </xf>
    <xf numFmtId="0" fontId="99" fillId="0" borderId="0" xfId="19" applyFont="1" applyAlignment="1">
      <alignment horizontal="justify" vertical="top" wrapText="1"/>
    </xf>
    <xf numFmtId="0" fontId="100" fillId="3" borderId="202" xfId="19" applyFont="1" applyFill="1" applyBorder="1" applyAlignment="1">
      <alignment horizontal="center" vertical="center" wrapText="1"/>
    </xf>
    <xf numFmtId="0" fontId="100" fillId="3" borderId="2" xfId="19" applyFont="1" applyFill="1" applyBorder="1" applyAlignment="1">
      <alignment horizontal="center" vertical="center" wrapText="1"/>
    </xf>
    <xf numFmtId="0" fontId="100" fillId="3" borderId="65" xfId="19" applyFont="1" applyFill="1" applyBorder="1" applyAlignment="1">
      <alignment horizontal="center" vertical="center" wrapText="1"/>
    </xf>
    <xf numFmtId="189" fontId="100" fillId="3" borderId="2" xfId="19" applyNumberFormat="1" applyFont="1" applyFill="1" applyBorder="1" applyAlignment="1">
      <alignment horizontal="center" vertical="center" wrapText="1"/>
    </xf>
    <xf numFmtId="0" fontId="100" fillId="16" borderId="182" xfId="19" applyFont="1" applyFill="1" applyBorder="1" applyAlignment="1">
      <alignment horizontal="left" vertical="center" wrapText="1"/>
    </xf>
    <xf numFmtId="0" fontId="100" fillId="16" borderId="163" xfId="19" applyFont="1" applyFill="1" applyBorder="1" applyAlignment="1">
      <alignment horizontal="left" vertical="center" wrapText="1"/>
    </xf>
    <xf numFmtId="0" fontId="100" fillId="16" borderId="166" xfId="19" applyFont="1" applyFill="1" applyBorder="1" applyAlignment="1">
      <alignment horizontal="left" vertical="center" wrapText="1"/>
    </xf>
    <xf numFmtId="0" fontId="100" fillId="3" borderId="181" xfId="19" applyFont="1" applyFill="1" applyBorder="1" applyAlignment="1">
      <alignment horizontal="center" vertical="top" wrapText="1"/>
    </xf>
    <xf numFmtId="0" fontId="100" fillId="3" borderId="173" xfId="19" applyFont="1" applyFill="1" applyBorder="1" applyAlignment="1">
      <alignment horizontal="center" vertical="top" wrapText="1"/>
    </xf>
    <xf numFmtId="0" fontId="100" fillId="3" borderId="188" xfId="19" applyFont="1" applyFill="1" applyBorder="1" applyAlignment="1">
      <alignment horizontal="center" vertical="top" wrapText="1"/>
    </xf>
    <xf numFmtId="0" fontId="100" fillId="3" borderId="61" xfId="19" applyFont="1" applyFill="1" applyBorder="1" applyAlignment="1">
      <alignment horizontal="center" vertical="top" wrapText="1"/>
    </xf>
    <xf numFmtId="0" fontId="100" fillId="3" borderId="0" xfId="19" applyFont="1" applyFill="1" applyAlignment="1">
      <alignment horizontal="center" vertical="top" wrapText="1"/>
    </xf>
    <xf numFmtId="0" fontId="100" fillId="3" borderId="189" xfId="19" applyFont="1" applyFill="1" applyBorder="1" applyAlignment="1">
      <alignment horizontal="center" vertical="top" wrapText="1"/>
    </xf>
    <xf numFmtId="0" fontId="100" fillId="3" borderId="63" xfId="19" applyFont="1" applyFill="1" applyBorder="1" applyAlignment="1">
      <alignment horizontal="center" vertical="top" wrapText="1"/>
    </xf>
    <xf numFmtId="0" fontId="100" fillId="3" borderId="205" xfId="19" applyFont="1" applyFill="1" applyBorder="1" applyAlignment="1">
      <alignment horizontal="center" vertical="top" wrapText="1"/>
    </xf>
    <xf numFmtId="0" fontId="100" fillId="3" borderId="206" xfId="19" applyFont="1" applyFill="1" applyBorder="1" applyAlignment="1">
      <alignment horizontal="center" vertical="top" wrapText="1"/>
    </xf>
    <xf numFmtId="0" fontId="100" fillId="3" borderId="172" xfId="19" applyFont="1" applyFill="1" applyBorder="1" applyAlignment="1">
      <alignment horizontal="left" vertical="top" wrapText="1"/>
    </xf>
    <xf numFmtId="0" fontId="100" fillId="3" borderId="188" xfId="19" applyFont="1" applyFill="1" applyBorder="1" applyAlignment="1">
      <alignment horizontal="left" vertical="top" wrapText="1"/>
    </xf>
    <xf numFmtId="0" fontId="100" fillId="3" borderId="177" xfId="19" applyFont="1" applyFill="1" applyBorder="1" applyAlignment="1">
      <alignment horizontal="left" vertical="top" wrapText="1"/>
    </xf>
    <xf numFmtId="0" fontId="100" fillId="3" borderId="189" xfId="19" applyFont="1" applyFill="1" applyBorder="1" applyAlignment="1">
      <alignment horizontal="left" vertical="top" wrapText="1"/>
    </xf>
    <xf numFmtId="0" fontId="100" fillId="3" borderId="207" xfId="19" applyFont="1" applyFill="1" applyBorder="1" applyAlignment="1">
      <alignment horizontal="left" vertical="top" wrapText="1"/>
    </xf>
    <xf numFmtId="0" fontId="100" fillId="3" borderId="206" xfId="19" applyFont="1" applyFill="1" applyBorder="1" applyAlignment="1">
      <alignment horizontal="left" vertical="top" wrapText="1"/>
    </xf>
    <xf numFmtId="0" fontId="100" fillId="3" borderId="172" xfId="19" applyFont="1" applyFill="1" applyBorder="1" applyAlignment="1">
      <alignment horizontal="center" vertical="center" wrapText="1"/>
    </xf>
    <xf numFmtId="0" fontId="100" fillId="3" borderId="173" xfId="19" applyFont="1" applyFill="1" applyBorder="1" applyAlignment="1">
      <alignment horizontal="center" vertical="center" wrapText="1"/>
    </xf>
    <xf numFmtId="0" fontId="100" fillId="3" borderId="207" xfId="19" applyFont="1" applyFill="1" applyBorder="1" applyAlignment="1">
      <alignment horizontal="center" vertical="center" wrapText="1"/>
    </xf>
    <xf numFmtId="0" fontId="100" fillId="3" borderId="205" xfId="19" applyFont="1" applyFill="1" applyBorder="1" applyAlignment="1">
      <alignment horizontal="center" vertical="center" wrapText="1"/>
    </xf>
    <xf numFmtId="0" fontId="99" fillId="3" borderId="76" xfId="19" applyFont="1" applyFill="1" applyBorder="1" applyAlignment="1">
      <alignment horizontal="center" vertical="top"/>
    </xf>
    <xf numFmtId="0" fontId="99" fillId="3" borderId="77" xfId="19" applyFont="1" applyFill="1" applyBorder="1" applyAlignment="1">
      <alignment horizontal="center" vertical="top"/>
    </xf>
    <xf numFmtId="0" fontId="99" fillId="3" borderId="198" xfId="19" applyFont="1" applyFill="1" applyBorder="1" applyAlignment="1">
      <alignment horizontal="center" vertical="top"/>
    </xf>
    <xf numFmtId="0" fontId="99" fillId="3" borderId="123" xfId="19" applyFont="1" applyFill="1" applyBorder="1" applyAlignment="1">
      <alignment horizontal="center" vertical="top"/>
    </xf>
    <xf numFmtId="0" fontId="99" fillId="3" borderId="124" xfId="19" applyFont="1" applyFill="1" applyBorder="1" applyAlignment="1">
      <alignment horizontal="center" vertical="top"/>
    </xf>
    <xf numFmtId="0" fontId="99" fillId="3" borderId="200" xfId="19" applyFont="1" applyFill="1" applyBorder="1" applyAlignment="1">
      <alignment horizontal="center" vertical="top"/>
    </xf>
    <xf numFmtId="0" fontId="99" fillId="3" borderId="79" xfId="19" applyFont="1" applyFill="1" applyBorder="1" applyAlignment="1">
      <alignment horizontal="center" vertical="top"/>
    </xf>
    <xf numFmtId="0" fontId="99" fillId="3" borderId="80" xfId="19" applyFont="1" applyFill="1" applyBorder="1" applyAlignment="1">
      <alignment horizontal="center" vertical="top"/>
    </xf>
    <xf numFmtId="0" fontId="99" fillId="3" borderId="203" xfId="19" applyFont="1" applyFill="1" applyBorder="1" applyAlignment="1">
      <alignment horizontal="center" vertical="top"/>
    </xf>
    <xf numFmtId="0" fontId="100" fillId="0" borderId="167" xfId="19" applyFont="1" applyBorder="1" applyAlignment="1">
      <alignment horizontal="center" vertical="center" wrapText="1"/>
    </xf>
    <xf numFmtId="0" fontId="100" fillId="0" borderId="187" xfId="19" applyFont="1" applyBorder="1" applyAlignment="1">
      <alignment horizontal="center" vertical="center" wrapText="1"/>
    </xf>
    <xf numFmtId="0" fontId="100" fillId="0" borderId="168" xfId="19" applyFont="1" applyBorder="1" applyAlignment="1">
      <alignment horizontal="center" vertical="center" wrapText="1"/>
    </xf>
    <xf numFmtId="0" fontId="100" fillId="0" borderId="165" xfId="19" applyFont="1" applyBorder="1" applyAlignment="1">
      <alignment horizontal="center" vertical="center" wrapText="1"/>
    </xf>
    <xf numFmtId="0" fontId="100" fillId="0" borderId="199" xfId="19" applyFont="1" applyBorder="1" applyAlignment="1">
      <alignment horizontal="center" vertical="center" wrapText="1"/>
    </xf>
    <xf numFmtId="0" fontId="100" fillId="0" borderId="162" xfId="19" applyFont="1" applyBorder="1" applyAlignment="1">
      <alignment horizontal="center" vertical="center" wrapText="1"/>
    </xf>
    <xf numFmtId="0" fontId="100" fillId="0" borderId="163" xfId="19" applyFont="1" applyBorder="1" applyAlignment="1">
      <alignment horizontal="center" vertical="center" wrapText="1"/>
    </xf>
    <xf numFmtId="189" fontId="100" fillId="3" borderId="167" xfId="19" applyNumberFormat="1" applyFont="1" applyFill="1" applyBorder="1" applyAlignment="1">
      <alignment horizontal="center" vertical="center" wrapText="1"/>
    </xf>
    <xf numFmtId="189" fontId="100" fillId="3" borderId="168" xfId="19" applyNumberFormat="1" applyFont="1" applyFill="1" applyBorder="1" applyAlignment="1">
      <alignment horizontal="center" vertical="center" wrapText="1"/>
    </xf>
    <xf numFmtId="189" fontId="100" fillId="3" borderId="172" xfId="19" applyNumberFormat="1" applyFont="1" applyFill="1" applyBorder="1" applyAlignment="1">
      <alignment horizontal="center" vertical="center" wrapText="1"/>
    </xf>
    <xf numFmtId="189" fontId="100" fillId="3" borderId="173" xfId="19" applyNumberFormat="1" applyFont="1" applyFill="1" applyBorder="1" applyAlignment="1">
      <alignment horizontal="center" vertical="center" wrapText="1"/>
    </xf>
    <xf numFmtId="0" fontId="100" fillId="16" borderId="190" xfId="19" applyFont="1" applyFill="1" applyBorder="1" applyAlignment="1">
      <alignment horizontal="center" vertical="center" textRotation="255" wrapText="1"/>
    </xf>
    <xf numFmtId="0" fontId="100" fillId="16" borderId="193" xfId="19" applyFont="1" applyFill="1" applyBorder="1" applyAlignment="1">
      <alignment horizontal="center" vertical="center" textRotation="255" wrapText="1"/>
    </xf>
    <xf numFmtId="0" fontId="100" fillId="16" borderId="204" xfId="19" applyFont="1" applyFill="1" applyBorder="1" applyAlignment="1">
      <alignment horizontal="center" vertical="center" textRotation="255" wrapText="1"/>
    </xf>
    <xf numFmtId="0" fontId="100" fillId="16" borderId="102" xfId="19" applyFont="1" applyFill="1" applyBorder="1" applyAlignment="1">
      <alignment horizontal="left" vertical="center" wrapText="1"/>
    </xf>
    <xf numFmtId="0" fontId="100" fillId="16" borderId="191" xfId="19" applyFont="1" applyFill="1" applyBorder="1" applyAlignment="1">
      <alignment horizontal="left" vertical="center" wrapText="1"/>
    </xf>
    <xf numFmtId="0" fontId="100" fillId="16" borderId="213" xfId="19" applyFont="1" applyFill="1" applyBorder="1" applyAlignment="1">
      <alignment horizontal="left" vertical="center" wrapText="1"/>
    </xf>
    <xf numFmtId="0" fontId="100" fillId="3" borderId="191" xfId="19" applyFont="1" applyFill="1" applyBorder="1" applyAlignment="1">
      <alignment horizontal="left" vertical="center" wrapText="1"/>
    </xf>
    <xf numFmtId="0" fontId="100" fillId="0" borderId="57" xfId="19" applyFont="1" applyBorder="1" applyAlignment="1">
      <alignment horizontal="left" vertical="center" wrapText="1"/>
    </xf>
    <xf numFmtId="0" fontId="100" fillId="0" borderId="4" xfId="19" applyFont="1" applyBorder="1" applyAlignment="1">
      <alignment horizontal="left" vertical="center" wrapText="1"/>
    </xf>
    <xf numFmtId="0" fontId="100" fillId="0" borderId="0" xfId="19" applyFont="1" applyAlignment="1">
      <alignment horizontal="left" vertical="center" wrapText="1"/>
    </xf>
    <xf numFmtId="0" fontId="100" fillId="0" borderId="27" xfId="19" applyFont="1" applyBorder="1" applyAlignment="1">
      <alignment horizontal="left" vertical="center" wrapText="1"/>
    </xf>
    <xf numFmtId="0" fontId="100" fillId="0" borderId="6" xfId="19" applyFont="1" applyBorder="1" applyAlignment="1">
      <alignment horizontal="center" vertical="center" wrapText="1"/>
    </xf>
    <xf numFmtId="0" fontId="100" fillId="0" borderId="7" xfId="19" applyFont="1" applyBorder="1" applyAlignment="1">
      <alignment horizontal="center" vertical="center" wrapText="1"/>
    </xf>
    <xf numFmtId="0" fontId="100" fillId="16" borderId="194" xfId="19" applyFont="1" applyFill="1" applyBorder="1" applyAlignment="1">
      <alignment horizontal="left" vertical="center" wrapText="1"/>
    </xf>
    <xf numFmtId="0" fontId="100" fillId="16" borderId="7" xfId="19" applyFont="1" applyFill="1" applyBorder="1" applyAlignment="1">
      <alignment horizontal="left" vertical="center" wrapText="1"/>
    </xf>
    <xf numFmtId="0" fontId="100" fillId="16" borderId="178" xfId="19" applyFont="1" applyFill="1" applyBorder="1" applyAlignment="1">
      <alignment horizontal="left" vertical="center" wrapText="1"/>
    </xf>
    <xf numFmtId="0" fontId="100" fillId="0" borderId="195" xfId="19" applyFont="1" applyBorder="1" applyAlignment="1">
      <alignment horizontal="left" vertical="center" wrapText="1"/>
    </xf>
    <xf numFmtId="0" fontId="100" fillId="0" borderId="182" xfId="19" applyFont="1" applyBorder="1" applyAlignment="1">
      <alignment horizontal="left" vertical="center" wrapText="1"/>
    </xf>
    <xf numFmtId="0" fontId="100" fillId="0" borderId="163" xfId="19" applyFont="1" applyBorder="1" applyAlignment="1">
      <alignment horizontal="left" vertical="center" wrapText="1"/>
    </xf>
    <xf numFmtId="0" fontId="100" fillId="0" borderId="199" xfId="19" applyFont="1" applyBorder="1" applyAlignment="1">
      <alignment horizontal="left" vertical="center" wrapText="1"/>
    </xf>
    <xf numFmtId="0" fontId="100" fillId="0" borderId="196" xfId="19" applyFont="1" applyBorder="1" applyAlignment="1">
      <alignment horizontal="center" vertical="center" wrapText="1"/>
    </xf>
    <xf numFmtId="0" fontId="100" fillId="0" borderId="184" xfId="19" applyFont="1" applyBorder="1" applyAlignment="1">
      <alignment horizontal="center" vertical="center" wrapText="1"/>
    </xf>
    <xf numFmtId="0" fontId="100" fillId="0" borderId="197" xfId="19" applyFont="1" applyBorder="1" applyAlignment="1">
      <alignment horizontal="center" vertical="center" wrapText="1"/>
    </xf>
    <xf numFmtId="0" fontId="100" fillId="0" borderId="2" xfId="19" applyFont="1" applyBorder="1" applyAlignment="1">
      <alignment horizontal="center" vertical="center" wrapText="1"/>
    </xf>
    <xf numFmtId="0" fontId="100" fillId="3" borderId="181" xfId="19" applyFont="1" applyFill="1" applyBorder="1" applyAlignment="1">
      <alignment horizontal="center" vertical="center" wrapText="1"/>
    </xf>
    <xf numFmtId="0" fontId="100" fillId="3" borderId="188" xfId="19" applyFont="1" applyFill="1" applyBorder="1" applyAlignment="1">
      <alignment horizontal="center" vertical="center" wrapText="1"/>
    </xf>
    <xf numFmtId="189" fontId="100" fillId="3" borderId="188" xfId="19" applyNumberFormat="1" applyFont="1" applyFill="1" applyBorder="1" applyAlignment="1">
      <alignment horizontal="center" vertical="center" wrapText="1"/>
    </xf>
    <xf numFmtId="189" fontId="100" fillId="3" borderId="175" xfId="19" applyNumberFormat="1" applyFont="1" applyFill="1" applyBorder="1" applyAlignment="1">
      <alignment horizontal="center" vertical="center" wrapText="1"/>
    </xf>
    <xf numFmtId="0" fontId="100" fillId="3" borderId="201" xfId="19" applyFont="1" applyFill="1" applyBorder="1" applyAlignment="1">
      <alignment horizontal="center" vertical="center" wrapText="1"/>
    </xf>
    <xf numFmtId="0" fontId="100" fillId="3" borderId="187" xfId="19" applyFont="1" applyFill="1" applyBorder="1" applyAlignment="1">
      <alignment horizontal="center" vertical="center" wrapText="1"/>
    </xf>
    <xf numFmtId="189" fontId="100" fillId="3" borderId="187" xfId="19" applyNumberFormat="1" applyFont="1" applyFill="1" applyBorder="1" applyAlignment="1">
      <alignment horizontal="center" vertical="center" wrapText="1"/>
    </xf>
    <xf numFmtId="189" fontId="100" fillId="3" borderId="170" xfId="19" applyNumberFormat="1" applyFont="1" applyFill="1" applyBorder="1" applyAlignment="1">
      <alignment horizontal="center" vertical="center" wrapText="1"/>
    </xf>
    <xf numFmtId="189" fontId="100" fillId="3" borderId="6" xfId="19" applyNumberFormat="1" applyFont="1" applyFill="1" applyBorder="1" applyAlignment="1">
      <alignment horizontal="center" vertical="center" wrapText="1"/>
    </xf>
    <xf numFmtId="49" fontId="81" fillId="3" borderId="0" xfId="19" applyNumberFormat="1" applyFont="1" applyFill="1" applyAlignment="1">
      <alignment horizontal="center" vertical="center" wrapText="1"/>
    </xf>
    <xf numFmtId="0" fontId="81" fillId="3" borderId="0" xfId="19" applyFont="1" applyFill="1" applyAlignment="1">
      <alignment horizontal="left" vertical="center" wrapText="1"/>
    </xf>
    <xf numFmtId="0" fontId="81" fillId="3" borderId="62" xfId="19" applyFont="1" applyFill="1" applyBorder="1" applyAlignment="1">
      <alignment horizontal="left" vertical="center" wrapText="1"/>
    </xf>
    <xf numFmtId="0" fontId="100" fillId="3" borderId="167" xfId="19" applyFont="1" applyFill="1" applyBorder="1" applyAlignment="1">
      <alignment horizontal="center" vertical="center" wrapText="1"/>
    </xf>
    <xf numFmtId="0" fontId="100" fillId="3" borderId="167" xfId="19" applyFont="1" applyFill="1" applyBorder="1" applyAlignment="1">
      <alignment horizontal="left" vertical="center" wrapText="1"/>
    </xf>
    <xf numFmtId="0" fontId="100" fillId="3" borderId="168" xfId="19" applyFont="1" applyFill="1" applyBorder="1" applyAlignment="1">
      <alignment horizontal="left" vertical="center" wrapText="1"/>
    </xf>
    <xf numFmtId="0" fontId="100" fillId="3" borderId="187" xfId="19" applyFont="1" applyFill="1" applyBorder="1" applyAlignment="1">
      <alignment horizontal="left" vertical="center" wrapText="1"/>
    </xf>
    <xf numFmtId="0" fontId="100" fillId="3" borderId="177" xfId="19" applyFont="1" applyFill="1" applyBorder="1" applyAlignment="1">
      <alignment horizontal="left" vertical="center" wrapText="1"/>
    </xf>
    <xf numFmtId="0" fontId="100" fillId="3" borderId="0" xfId="19" applyFont="1" applyFill="1" applyAlignment="1">
      <alignment horizontal="left" vertical="center" wrapText="1"/>
    </xf>
    <xf numFmtId="0" fontId="100" fillId="3" borderId="62" xfId="19" applyFont="1" applyFill="1" applyBorder="1" applyAlignment="1">
      <alignment horizontal="left" vertical="center" wrapText="1"/>
    </xf>
    <xf numFmtId="188" fontId="100" fillId="3" borderId="172" xfId="19" applyNumberFormat="1" applyFont="1" applyFill="1" applyBorder="1" applyAlignment="1">
      <alignment horizontal="left" vertical="center" wrapText="1"/>
    </xf>
    <xf numFmtId="188" fontId="100" fillId="3" borderId="173" xfId="19" applyNumberFormat="1" applyFont="1" applyFill="1" applyBorder="1" applyAlignment="1">
      <alignment horizontal="left" vertical="center" wrapText="1"/>
    </xf>
    <xf numFmtId="188" fontId="100" fillId="3" borderId="188" xfId="19" applyNumberFormat="1" applyFont="1" applyFill="1" applyBorder="1" applyAlignment="1">
      <alignment horizontal="left" vertical="center" wrapText="1"/>
    </xf>
    <xf numFmtId="0" fontId="100" fillId="16" borderId="93" xfId="19" applyFont="1" applyFill="1" applyBorder="1" applyAlignment="1">
      <alignment horizontal="left" vertical="center" wrapText="1"/>
    </xf>
    <xf numFmtId="0" fontId="100" fillId="16" borderId="108" xfId="19" applyFont="1" applyFill="1" applyBorder="1" applyAlignment="1">
      <alignment horizontal="left" vertical="center" wrapText="1"/>
    </xf>
    <xf numFmtId="0" fontId="100" fillId="3" borderId="70" xfId="19" applyFont="1" applyFill="1" applyBorder="1" applyAlignment="1">
      <alignment horizontal="center" vertical="center" wrapText="1"/>
    </xf>
    <xf numFmtId="0" fontId="100" fillId="3" borderId="74" xfId="19" applyFont="1" applyFill="1" applyBorder="1" applyAlignment="1">
      <alignment horizontal="center" vertical="center" wrapText="1"/>
    </xf>
    <xf numFmtId="0" fontId="100" fillId="0" borderId="8" xfId="19" applyFont="1" applyBorder="1" applyAlignment="1">
      <alignment horizontal="center" vertical="center" wrapText="1"/>
    </xf>
    <xf numFmtId="0" fontId="100" fillId="0" borderId="183" xfId="19" applyFont="1" applyBorder="1" applyAlignment="1">
      <alignment horizontal="left" vertical="center" wrapText="1"/>
    </xf>
    <xf numFmtId="0" fontId="100" fillId="0" borderId="184" xfId="19" applyFont="1" applyBorder="1" applyAlignment="1">
      <alignment horizontal="left" vertical="center" wrapText="1"/>
    </xf>
    <xf numFmtId="0" fontId="100" fillId="0" borderId="185" xfId="19" applyFont="1" applyBorder="1" applyAlignment="1">
      <alignment horizontal="left" vertical="center" wrapText="1"/>
    </xf>
    <xf numFmtId="0" fontId="100" fillId="3" borderId="186" xfId="19" applyFont="1" applyFill="1" applyBorder="1" applyAlignment="1">
      <alignment horizontal="center" vertical="center" textRotation="255" wrapText="1"/>
    </xf>
    <xf numFmtId="0" fontId="100" fillId="3" borderId="161" xfId="19" applyFont="1" applyFill="1" applyBorder="1" applyAlignment="1">
      <alignment horizontal="center" vertical="center" textRotation="255" wrapText="1"/>
    </xf>
    <xf numFmtId="0" fontId="100" fillId="3" borderId="177" xfId="19" applyFont="1" applyFill="1" applyBorder="1" applyAlignment="1">
      <alignment horizontal="center" vertical="center" wrapText="1"/>
    </xf>
    <xf numFmtId="0" fontId="100" fillId="3" borderId="189" xfId="19" applyFont="1" applyFill="1" applyBorder="1" applyAlignment="1">
      <alignment horizontal="center" vertical="center" wrapText="1"/>
    </xf>
    <xf numFmtId="49" fontId="100" fillId="3" borderId="6" xfId="19" applyNumberFormat="1" applyFont="1" applyFill="1" applyBorder="1" applyAlignment="1">
      <alignment horizontal="left" vertical="center" wrapText="1"/>
    </xf>
    <xf numFmtId="49" fontId="100" fillId="3" borderId="7" xfId="19" applyNumberFormat="1" applyFont="1" applyFill="1" applyBorder="1" applyAlignment="1">
      <alignment horizontal="left" vertical="center" wrapText="1"/>
    </xf>
    <xf numFmtId="49" fontId="100" fillId="3" borderId="178" xfId="19" applyNumberFormat="1" applyFont="1" applyFill="1" applyBorder="1" applyAlignment="1">
      <alignment horizontal="left" vertical="center" wrapText="1"/>
    </xf>
    <xf numFmtId="0" fontId="100" fillId="3" borderId="175" xfId="19" applyFont="1" applyFill="1" applyBorder="1" applyAlignment="1">
      <alignment horizontal="center" vertical="center" wrapText="1"/>
    </xf>
    <xf numFmtId="49" fontId="100" fillId="3" borderId="2" xfId="19" applyNumberFormat="1" applyFont="1" applyFill="1" applyBorder="1" applyAlignment="1">
      <alignment horizontal="left" vertical="center" wrapText="1"/>
    </xf>
    <xf numFmtId="49" fontId="100" fillId="3" borderId="180" xfId="19" applyNumberFormat="1" applyFont="1" applyFill="1" applyBorder="1" applyAlignment="1">
      <alignment horizontal="left" vertical="center" wrapText="1"/>
    </xf>
    <xf numFmtId="0" fontId="100" fillId="0" borderId="181" xfId="19" applyFont="1" applyBorder="1" applyAlignment="1">
      <alignment horizontal="center" vertical="center" wrapText="1"/>
    </xf>
    <xf numFmtId="0" fontId="100" fillId="0" borderId="173" xfId="19" applyFont="1" applyBorder="1" applyAlignment="1">
      <alignment horizontal="center" vertical="center" wrapText="1"/>
    </xf>
    <xf numFmtId="0" fontId="100" fillId="0" borderId="61" xfId="19" applyFont="1" applyBorder="1" applyAlignment="1">
      <alignment horizontal="center" vertical="center" wrapText="1"/>
    </xf>
    <xf numFmtId="0" fontId="100" fillId="0" borderId="0" xfId="19" applyFont="1" applyAlignment="1">
      <alignment horizontal="center" vertical="center" wrapText="1"/>
    </xf>
    <xf numFmtId="0" fontId="100" fillId="0" borderId="182" xfId="19" applyFont="1" applyBorder="1" applyAlignment="1">
      <alignment horizontal="center" vertical="center" wrapText="1"/>
    </xf>
    <xf numFmtId="0" fontId="100" fillId="0" borderId="6" xfId="19" applyFont="1" applyBorder="1" applyAlignment="1">
      <alignment horizontal="left" vertical="center" wrapText="1"/>
    </xf>
    <xf numFmtId="0" fontId="100" fillId="0" borderId="7" xfId="19" applyFont="1" applyBorder="1" applyAlignment="1">
      <alignment horizontal="left" vertical="center" wrapText="1"/>
    </xf>
    <xf numFmtId="0" fontId="100" fillId="0" borderId="8" xfId="19" applyFont="1" applyBorder="1" applyAlignment="1">
      <alignment horizontal="left" vertical="center" wrapText="1"/>
    </xf>
    <xf numFmtId="49" fontId="100" fillId="3" borderId="3" xfId="19" applyNumberFormat="1" applyFont="1" applyFill="1" applyBorder="1" applyAlignment="1">
      <alignment horizontal="center" vertical="center" wrapText="1"/>
    </xf>
    <xf numFmtId="49" fontId="100" fillId="3" borderId="4" xfId="19" applyNumberFormat="1" applyFont="1" applyFill="1" applyBorder="1" applyAlignment="1">
      <alignment horizontal="center" vertical="center" wrapText="1"/>
    </xf>
    <xf numFmtId="49" fontId="100" fillId="3" borderId="58" xfId="19" applyNumberFormat="1" applyFont="1" applyFill="1" applyBorder="1" applyAlignment="1">
      <alignment horizontal="center" vertical="center" wrapText="1"/>
    </xf>
    <xf numFmtId="49" fontId="100" fillId="3" borderId="17" xfId="19" applyNumberFormat="1" applyFont="1" applyFill="1" applyBorder="1" applyAlignment="1">
      <alignment horizontal="center" vertical="center" wrapText="1"/>
    </xf>
    <xf numFmtId="49" fontId="100" fillId="3" borderId="0" xfId="19" applyNumberFormat="1" applyFont="1" applyFill="1" applyAlignment="1">
      <alignment horizontal="center" vertical="center" wrapText="1"/>
    </xf>
    <xf numFmtId="49" fontId="100" fillId="3" borderId="62" xfId="19" applyNumberFormat="1" applyFont="1" applyFill="1" applyBorder="1" applyAlignment="1">
      <alignment horizontal="center" vertical="center" wrapText="1"/>
    </xf>
    <xf numFmtId="49" fontId="100" fillId="3" borderId="16" xfId="19" applyNumberFormat="1" applyFont="1" applyFill="1" applyBorder="1" applyAlignment="1">
      <alignment horizontal="center" vertical="center" wrapText="1"/>
    </xf>
    <xf numFmtId="49" fontId="100" fillId="3" borderId="5" xfId="19" applyNumberFormat="1" applyFont="1" applyFill="1" applyBorder="1" applyAlignment="1">
      <alignment horizontal="center" vertical="center" wrapText="1"/>
    </xf>
    <xf numFmtId="49" fontId="100" fillId="3" borderId="60" xfId="19" applyNumberFormat="1" applyFont="1" applyFill="1" applyBorder="1" applyAlignment="1">
      <alignment horizontal="center" vertical="center" wrapText="1"/>
    </xf>
    <xf numFmtId="0" fontId="100" fillId="3" borderId="174" xfId="19" applyFont="1" applyFill="1" applyBorder="1" applyAlignment="1">
      <alignment horizontal="center" vertical="center" wrapText="1"/>
    </xf>
    <xf numFmtId="0" fontId="100" fillId="3" borderId="162" xfId="19" applyFont="1" applyFill="1" applyBorder="1" applyAlignment="1">
      <alignment horizontal="center" vertical="center" wrapText="1"/>
    </xf>
    <xf numFmtId="0" fontId="100" fillId="3" borderId="163" xfId="19" applyFont="1" applyFill="1" applyBorder="1" applyAlignment="1">
      <alignment horizontal="center" vertical="center" wrapText="1"/>
    </xf>
    <xf numFmtId="0" fontId="100" fillId="3" borderId="164" xfId="19" applyFont="1" applyFill="1" applyBorder="1" applyAlignment="1">
      <alignment horizontal="center" vertical="center" wrapText="1"/>
    </xf>
    <xf numFmtId="0" fontId="100" fillId="3" borderId="170" xfId="19" applyFont="1" applyFill="1" applyBorder="1" applyAlignment="1">
      <alignment horizontal="center" vertical="center" wrapText="1"/>
    </xf>
    <xf numFmtId="49" fontId="81" fillId="3" borderId="7" xfId="19" applyNumberFormat="1" applyFont="1" applyFill="1" applyBorder="1" applyAlignment="1">
      <alignment horizontal="right" vertical="center" wrapText="1"/>
    </xf>
    <xf numFmtId="49" fontId="100" fillId="3" borderId="7" xfId="19" applyNumberFormat="1" applyFont="1" applyFill="1" applyBorder="1" applyAlignment="1">
      <alignment horizontal="center" vertical="center" wrapText="1"/>
    </xf>
    <xf numFmtId="49" fontId="100" fillId="3" borderId="8" xfId="19" applyNumberFormat="1" applyFont="1" applyFill="1" applyBorder="1" applyAlignment="1">
      <alignment horizontal="center" vertical="center" wrapText="1"/>
    </xf>
    <xf numFmtId="0" fontId="100" fillId="3" borderId="6" xfId="19" applyFont="1" applyFill="1" applyBorder="1" applyAlignment="1">
      <alignment horizontal="center" vertical="center" wrapText="1"/>
    </xf>
    <xf numFmtId="0" fontId="100" fillId="3" borderId="7" xfId="19" applyFont="1" applyFill="1" applyBorder="1" applyAlignment="1">
      <alignment horizontal="center" vertical="center" wrapText="1"/>
    </xf>
    <xf numFmtId="0" fontId="100" fillId="3" borderId="8" xfId="19" applyFont="1" applyFill="1" applyBorder="1" applyAlignment="1">
      <alignment horizontal="center" vertical="center" wrapText="1"/>
    </xf>
    <xf numFmtId="0" fontId="81" fillId="3" borderId="177" xfId="19" applyFont="1" applyFill="1" applyBorder="1" applyAlignment="1">
      <alignment horizontal="center" vertical="center" wrapText="1"/>
    </xf>
    <xf numFmtId="0" fontId="81" fillId="3" borderId="0" xfId="19" applyFont="1" applyFill="1" applyAlignment="1">
      <alignment horizontal="center" vertical="center" wrapText="1"/>
    </xf>
    <xf numFmtId="49" fontId="100" fillId="3" borderId="173" xfId="19" applyNumberFormat="1" applyFont="1" applyFill="1" applyBorder="1" applyAlignment="1">
      <alignment horizontal="center" vertical="center" wrapText="1"/>
    </xf>
    <xf numFmtId="0" fontId="100" fillId="3" borderId="176" xfId="19" applyFont="1" applyFill="1" applyBorder="1" applyAlignment="1">
      <alignment horizontal="center" vertical="center" wrapText="1"/>
    </xf>
    <xf numFmtId="0" fontId="95" fillId="3" borderId="17" xfId="20" applyFont="1" applyFill="1" applyBorder="1" applyAlignment="1">
      <alignment horizontal="left" vertical="center" wrapText="1"/>
    </xf>
    <xf numFmtId="0" fontId="95" fillId="3" borderId="0" xfId="20" applyFont="1" applyFill="1" applyAlignment="1">
      <alignment horizontal="left" vertical="center" wrapText="1"/>
    </xf>
    <xf numFmtId="0" fontId="99" fillId="3" borderId="0" xfId="19" applyFont="1" applyFill="1" applyAlignment="1">
      <alignment horizontal="left" vertical="top"/>
    </xf>
    <xf numFmtId="0" fontId="99" fillId="3" borderId="62" xfId="19" applyFont="1" applyFill="1" applyBorder="1" applyAlignment="1">
      <alignment horizontal="left" vertical="top"/>
    </xf>
    <xf numFmtId="0" fontId="100" fillId="3" borderId="165" xfId="19" applyFont="1" applyFill="1" applyBorder="1" applyAlignment="1">
      <alignment horizontal="left" vertical="center" wrapText="1"/>
    </xf>
    <xf numFmtId="0" fontId="100" fillId="3" borderId="163" xfId="19" applyFont="1" applyFill="1" applyBorder="1" applyAlignment="1">
      <alignment horizontal="left" vertical="center" wrapText="1"/>
    </xf>
    <xf numFmtId="0" fontId="98" fillId="3" borderId="0" xfId="19" applyFont="1" applyFill="1" applyAlignment="1">
      <alignment horizontal="left" vertical="top"/>
    </xf>
    <xf numFmtId="0" fontId="100" fillId="3" borderId="98" xfId="19" applyFont="1" applyFill="1" applyBorder="1" applyAlignment="1">
      <alignment horizontal="center" vertical="center" textRotation="255" wrapText="1"/>
    </xf>
    <xf numFmtId="0" fontId="100" fillId="3" borderId="179" xfId="19" applyFont="1" applyFill="1" applyBorder="1" applyAlignment="1">
      <alignment horizontal="center" vertical="center" textRotation="255" wrapText="1"/>
    </xf>
    <xf numFmtId="0" fontId="100" fillId="3" borderId="157" xfId="19" applyFont="1" applyFill="1" applyBorder="1" applyAlignment="1">
      <alignment horizontal="center" vertical="center" wrapText="1"/>
    </xf>
    <xf numFmtId="0" fontId="100" fillId="3" borderId="158" xfId="19" applyFont="1" applyFill="1" applyBorder="1" applyAlignment="1">
      <alignment horizontal="center" vertical="center" wrapText="1"/>
    </xf>
    <xf numFmtId="0" fontId="100" fillId="3" borderId="159" xfId="19" applyFont="1" applyFill="1" applyBorder="1" applyAlignment="1">
      <alignment horizontal="center" vertical="center" wrapText="1"/>
    </xf>
    <xf numFmtId="0" fontId="100" fillId="3" borderId="158" xfId="19" applyFont="1" applyFill="1" applyBorder="1" applyAlignment="1">
      <alignment vertical="center" wrapText="1"/>
    </xf>
    <xf numFmtId="0" fontId="100" fillId="3" borderId="160" xfId="19" applyFont="1" applyFill="1" applyBorder="1" applyAlignment="1">
      <alignment vertical="center" wrapText="1"/>
    </xf>
    <xf numFmtId="0" fontId="101" fillId="3" borderId="162" xfId="19" applyFont="1" applyFill="1" applyBorder="1" applyAlignment="1">
      <alignment horizontal="center" vertical="center" wrapText="1"/>
    </xf>
    <xf numFmtId="0" fontId="101" fillId="3" borderId="163" xfId="19" applyFont="1" applyFill="1" applyBorder="1" applyAlignment="1">
      <alignment horizontal="center" vertical="center" wrapText="1"/>
    </xf>
    <xf numFmtId="0" fontId="101" fillId="3" borderId="164" xfId="19" applyFont="1" applyFill="1" applyBorder="1" applyAlignment="1">
      <alignment horizontal="center" vertical="center" wrapText="1"/>
    </xf>
    <xf numFmtId="0" fontId="100" fillId="3" borderId="169" xfId="19" applyFont="1" applyFill="1" applyBorder="1" applyAlignment="1">
      <alignment horizontal="center" vertical="center" wrapText="1"/>
    </xf>
    <xf numFmtId="0" fontId="100" fillId="3" borderId="170" xfId="19" applyFont="1" applyFill="1" applyBorder="1" applyAlignment="1">
      <alignment horizontal="left" vertical="center" wrapText="1"/>
    </xf>
    <xf numFmtId="0" fontId="100" fillId="3" borderId="171" xfId="19" applyFont="1" applyFill="1" applyBorder="1" applyAlignment="1">
      <alignment horizontal="left" vertical="center" wrapText="1"/>
    </xf>
    <xf numFmtId="0" fontId="100" fillId="3" borderId="0" xfId="19" applyFont="1" applyFill="1" applyAlignment="1">
      <alignment horizontal="center" vertical="center" wrapText="1"/>
    </xf>
    <xf numFmtId="0" fontId="100" fillId="3" borderId="27" xfId="19" applyFont="1" applyFill="1" applyBorder="1" applyAlignment="1">
      <alignment horizontal="center" vertical="center" wrapText="1"/>
    </xf>
    <xf numFmtId="0" fontId="62" fillId="3" borderId="3" xfId="0" applyFont="1" applyFill="1" applyBorder="1" applyAlignment="1">
      <alignment vertical="center"/>
    </xf>
    <xf numFmtId="0" fontId="62" fillId="3" borderId="4" xfId="0" applyFont="1" applyFill="1" applyBorder="1" applyAlignment="1">
      <alignment vertical="center"/>
    </xf>
    <xf numFmtId="0" fontId="62" fillId="3" borderId="1" xfId="0" applyFont="1" applyFill="1" applyBorder="1" applyAlignment="1">
      <alignment vertical="center"/>
    </xf>
    <xf numFmtId="0" fontId="62" fillId="3" borderId="16" xfId="0" applyFont="1" applyFill="1" applyBorder="1" applyAlignment="1">
      <alignment vertical="center"/>
    </xf>
    <xf numFmtId="0" fontId="62" fillId="3" borderId="5" xfId="0" applyFont="1" applyFill="1" applyBorder="1" applyAlignment="1">
      <alignment vertical="center"/>
    </xf>
    <xf numFmtId="0" fontId="62" fillId="3" borderId="15" xfId="0" applyFont="1" applyFill="1" applyBorder="1" applyAlignment="1">
      <alignment vertical="center"/>
    </xf>
    <xf numFmtId="0" fontId="62" fillId="3" borderId="0" xfId="0" applyFont="1" applyFill="1" applyAlignment="1">
      <alignment vertical="center"/>
    </xf>
    <xf numFmtId="0" fontId="62" fillId="5" borderId="0" xfId="0" applyFont="1" applyFill="1" applyAlignment="1">
      <alignment horizontal="center" vertical="center"/>
    </xf>
    <xf numFmtId="180" fontId="62" fillId="5" borderId="0" xfId="0" applyNumberFormat="1" applyFont="1" applyFill="1" applyAlignment="1">
      <alignment horizontal="center" vertical="center"/>
    </xf>
    <xf numFmtId="0" fontId="62" fillId="3" borderId="28" xfId="0" applyFont="1" applyFill="1" applyBorder="1" applyAlignment="1">
      <alignment horizontal="center" vertical="center" wrapText="1"/>
    </xf>
    <xf numFmtId="0" fontId="62" fillId="3" borderId="28" xfId="0" applyFont="1" applyFill="1" applyBorder="1" applyAlignment="1">
      <alignment horizontal="center" vertical="center"/>
    </xf>
    <xf numFmtId="0" fontId="62" fillId="3" borderId="2" xfId="0" applyFont="1" applyFill="1" applyBorder="1" applyAlignment="1">
      <alignment horizontal="center" vertical="center"/>
    </xf>
    <xf numFmtId="0" fontId="16" fillId="3" borderId="3" xfId="0" applyFont="1" applyFill="1" applyBorder="1" applyAlignment="1">
      <alignment horizontal="left" vertical="top" wrapText="1"/>
    </xf>
    <xf numFmtId="0" fontId="16" fillId="3" borderId="4" xfId="0" applyFont="1" applyFill="1" applyBorder="1" applyAlignment="1">
      <alignment horizontal="left" vertical="top" wrapText="1"/>
    </xf>
    <xf numFmtId="0" fontId="16" fillId="3" borderId="1" xfId="0" applyFont="1" applyFill="1" applyBorder="1" applyAlignment="1">
      <alignment horizontal="left" vertical="top" wrapText="1"/>
    </xf>
    <xf numFmtId="0" fontId="16" fillId="3" borderId="17" xfId="0" applyFont="1" applyFill="1" applyBorder="1" applyAlignment="1">
      <alignment horizontal="left" vertical="top" wrapText="1"/>
    </xf>
    <xf numFmtId="0" fontId="16" fillId="3" borderId="0" xfId="0" applyFont="1" applyFill="1" applyAlignment="1">
      <alignment horizontal="left" vertical="top" wrapText="1"/>
    </xf>
    <xf numFmtId="0" fontId="16" fillId="3" borderId="27" xfId="0" applyFont="1" applyFill="1" applyBorder="1" applyAlignment="1">
      <alignment horizontal="left" vertical="top" wrapText="1"/>
    </xf>
    <xf numFmtId="0" fontId="16" fillId="3" borderId="16" xfId="0" applyFont="1" applyFill="1" applyBorder="1" applyAlignment="1">
      <alignment horizontal="left" vertical="top" wrapText="1"/>
    </xf>
    <xf numFmtId="0" fontId="16" fillId="3" borderId="5" xfId="0" applyFont="1" applyFill="1" applyBorder="1" applyAlignment="1">
      <alignment horizontal="left" vertical="top" wrapText="1"/>
    </xf>
    <xf numFmtId="0" fontId="16" fillId="3" borderId="15" xfId="0" applyFont="1" applyFill="1" applyBorder="1" applyAlignment="1">
      <alignment horizontal="left" vertical="top" wrapText="1"/>
    </xf>
    <xf numFmtId="180" fontId="7" fillId="5" borderId="3" xfId="0" applyNumberFormat="1" applyFont="1" applyFill="1" applyBorder="1" applyAlignment="1">
      <alignment horizontal="right" vertical="center"/>
    </xf>
    <xf numFmtId="180" fontId="7" fillId="5" borderId="4" xfId="0" applyNumberFormat="1" applyFont="1" applyFill="1" applyBorder="1" applyAlignment="1">
      <alignment horizontal="right" vertical="center"/>
    </xf>
    <xf numFmtId="180" fontId="7" fillId="5" borderId="17" xfId="0" applyNumberFormat="1" applyFont="1" applyFill="1" applyBorder="1" applyAlignment="1">
      <alignment horizontal="right" vertical="center"/>
    </xf>
    <xf numFmtId="180" fontId="7" fillId="5" borderId="0" xfId="0" applyNumberFormat="1" applyFont="1" applyFill="1" applyAlignment="1">
      <alignment horizontal="right" vertical="center"/>
    </xf>
    <xf numFmtId="180" fontId="7" fillId="5" borderId="16" xfId="0" applyNumberFormat="1" applyFont="1" applyFill="1" applyBorder="1" applyAlignment="1">
      <alignment horizontal="right" vertical="center"/>
    </xf>
    <xf numFmtId="180" fontId="7" fillId="5" borderId="5" xfId="0" applyNumberFormat="1" applyFont="1" applyFill="1" applyBorder="1" applyAlignment="1">
      <alignment horizontal="right" vertical="center"/>
    </xf>
    <xf numFmtId="0" fontId="7" fillId="3" borderId="1" xfId="0" applyFont="1" applyFill="1" applyBorder="1" applyAlignment="1">
      <alignment vertical="center"/>
    </xf>
    <xf numFmtId="0" fontId="7" fillId="3" borderId="27" xfId="0" applyFont="1" applyFill="1" applyBorder="1" applyAlignment="1">
      <alignment vertical="center"/>
    </xf>
    <xf numFmtId="0" fontId="7" fillId="3" borderId="15" xfId="0" applyFont="1" applyFill="1" applyBorder="1" applyAlignment="1">
      <alignment vertical="center"/>
    </xf>
    <xf numFmtId="0" fontId="7" fillId="3" borderId="4" xfId="0" applyFont="1" applyFill="1" applyBorder="1" applyAlignment="1">
      <alignment vertical="center"/>
    </xf>
    <xf numFmtId="0" fontId="7" fillId="3" borderId="0" xfId="0" applyFont="1" applyFill="1" applyAlignment="1">
      <alignment vertical="center"/>
    </xf>
    <xf numFmtId="0" fontId="7" fillId="3" borderId="5" xfId="0" applyFont="1" applyFill="1" applyBorder="1" applyAlignment="1">
      <alignment vertical="center"/>
    </xf>
    <xf numFmtId="0" fontId="16" fillId="3" borderId="3" xfId="0" applyFont="1" applyFill="1" applyBorder="1" applyAlignment="1">
      <alignment vertical="top" wrapText="1"/>
    </xf>
    <xf numFmtId="0" fontId="16" fillId="3" borderId="4" xfId="0" applyFont="1" applyFill="1" applyBorder="1" applyAlignment="1">
      <alignment vertical="top" wrapText="1"/>
    </xf>
    <xf numFmtId="0" fontId="16" fillId="3" borderId="1" xfId="0" applyFont="1" applyFill="1" applyBorder="1" applyAlignment="1">
      <alignment vertical="top" wrapText="1"/>
    </xf>
    <xf numFmtId="0" fontId="16" fillId="3" borderId="17" xfId="0" applyFont="1" applyFill="1" applyBorder="1" applyAlignment="1">
      <alignment vertical="top" wrapText="1"/>
    </xf>
    <xf numFmtId="0" fontId="16" fillId="3" borderId="0" xfId="0" applyFont="1" applyFill="1" applyAlignment="1">
      <alignment vertical="top" wrapText="1"/>
    </xf>
    <xf numFmtId="0" fontId="16" fillId="3" borderId="27" xfId="0" applyFont="1" applyFill="1" applyBorder="1" applyAlignment="1">
      <alignment vertical="top" wrapText="1"/>
    </xf>
    <xf numFmtId="0" fontId="16" fillId="3" borderId="16" xfId="0" applyFont="1" applyFill="1" applyBorder="1" applyAlignment="1">
      <alignment vertical="top" wrapText="1"/>
    </xf>
    <xf numFmtId="0" fontId="16" fillId="3" borderId="5" xfId="0" applyFont="1" applyFill="1" applyBorder="1" applyAlignment="1">
      <alignment vertical="top" wrapText="1"/>
    </xf>
    <xf numFmtId="0" fontId="16" fillId="3" borderId="15" xfId="0" applyFont="1" applyFill="1" applyBorder="1" applyAlignment="1">
      <alignment vertical="top" wrapText="1"/>
    </xf>
    <xf numFmtId="0" fontId="62" fillId="3" borderId="3" xfId="0" applyFont="1" applyFill="1" applyBorder="1" applyAlignment="1">
      <alignment horizontal="center" vertical="center"/>
    </xf>
    <xf numFmtId="0" fontId="62" fillId="3" borderId="1" xfId="0" applyFont="1" applyFill="1" applyBorder="1" applyAlignment="1">
      <alignment horizontal="center" vertical="center"/>
    </xf>
    <xf numFmtId="0" fontId="62" fillId="3" borderId="16" xfId="0" applyFont="1" applyFill="1" applyBorder="1" applyAlignment="1">
      <alignment horizontal="center" vertical="center"/>
    </xf>
    <xf numFmtId="0" fontId="62" fillId="3" borderId="15" xfId="0" applyFont="1" applyFill="1" applyBorder="1" applyAlignment="1">
      <alignment horizontal="center" vertical="center"/>
    </xf>
    <xf numFmtId="0" fontId="62" fillId="3" borderId="25" xfId="0" applyFont="1" applyFill="1" applyBorder="1" applyAlignment="1">
      <alignment horizontal="center" vertical="center"/>
    </xf>
    <xf numFmtId="0" fontId="62" fillId="3" borderId="2" xfId="0" applyFont="1" applyFill="1" applyBorder="1" applyAlignment="1">
      <alignment horizontal="center" vertical="center" wrapText="1"/>
    </xf>
    <xf numFmtId="0" fontId="62" fillId="3" borderId="4" xfId="0" applyFont="1" applyFill="1" applyBorder="1" applyAlignment="1">
      <alignment horizontal="center" vertical="center"/>
    </xf>
    <xf numFmtId="0" fontId="62" fillId="3" borderId="17" xfId="0" applyFont="1" applyFill="1" applyBorder="1" applyAlignment="1">
      <alignment horizontal="center" vertical="center"/>
    </xf>
    <xf numFmtId="0" fontId="62" fillId="3" borderId="0" xfId="0" applyFont="1" applyFill="1" applyAlignment="1">
      <alignment horizontal="center" vertical="center"/>
    </xf>
    <xf numFmtId="0" fontId="62" fillId="3" borderId="27" xfId="0" applyFont="1" applyFill="1" applyBorder="1" applyAlignment="1">
      <alignment horizontal="center" vertical="center"/>
    </xf>
    <xf numFmtId="0" fontId="62" fillId="3" borderId="75" xfId="0" applyFont="1" applyFill="1" applyBorder="1" applyAlignment="1">
      <alignment vertical="center"/>
    </xf>
    <xf numFmtId="0" fontId="61" fillId="3" borderId="5" xfId="0" applyFont="1" applyFill="1" applyBorder="1" applyAlignment="1">
      <alignment vertical="center"/>
    </xf>
    <xf numFmtId="0" fontId="62" fillId="5" borderId="5" xfId="0" applyFont="1" applyFill="1" applyBorder="1" applyAlignment="1">
      <alignment vertical="center"/>
    </xf>
    <xf numFmtId="0" fontId="62" fillId="3" borderId="76" xfId="0" applyFont="1" applyFill="1" applyBorder="1" applyAlignment="1">
      <alignment vertical="center"/>
    </xf>
    <xf numFmtId="0" fontId="62" fillId="3" borderId="77" xfId="0" applyFont="1" applyFill="1" applyBorder="1" applyAlignment="1">
      <alignment vertical="center"/>
    </xf>
    <xf numFmtId="0" fontId="62" fillId="3" borderId="78" xfId="0" applyFont="1" applyFill="1" applyBorder="1" applyAlignment="1">
      <alignment vertical="center"/>
    </xf>
    <xf numFmtId="0" fontId="62" fillId="3" borderId="79" xfId="0" applyFont="1" applyFill="1" applyBorder="1" applyAlignment="1">
      <alignment vertical="center"/>
    </xf>
    <xf numFmtId="0" fontId="62" fillId="3" borderId="80" xfId="0" applyFont="1" applyFill="1" applyBorder="1" applyAlignment="1">
      <alignment vertical="center"/>
    </xf>
    <xf numFmtId="0" fontId="62" fillId="3" borderId="81" xfId="0" applyFont="1" applyFill="1" applyBorder="1" applyAlignment="1">
      <alignment vertical="center"/>
    </xf>
    <xf numFmtId="0" fontId="61" fillId="3" borderId="3" xfId="0" applyFont="1" applyFill="1" applyBorder="1" applyAlignment="1">
      <alignment vertical="center" wrapText="1"/>
    </xf>
    <xf numFmtId="0" fontId="61" fillId="3" borderId="4" xfId="0" applyFont="1" applyFill="1" applyBorder="1" applyAlignment="1">
      <alignment vertical="center"/>
    </xf>
    <xf numFmtId="0" fontId="61" fillId="3" borderId="1" xfId="0" applyFont="1" applyFill="1" applyBorder="1" applyAlignment="1">
      <alignment vertical="center"/>
    </xf>
    <xf numFmtId="0" fontId="61" fillId="3" borderId="16" xfId="0" applyFont="1" applyFill="1" applyBorder="1" applyAlignment="1">
      <alignment vertical="center"/>
    </xf>
    <xf numFmtId="0" fontId="61" fillId="3" borderId="15" xfId="0" applyFont="1" applyFill="1" applyBorder="1" applyAlignment="1">
      <alignment vertical="center"/>
    </xf>
    <xf numFmtId="180" fontId="7" fillId="7" borderId="3" xfId="0" applyNumberFormat="1" applyFont="1" applyFill="1" applyBorder="1" applyAlignment="1">
      <alignment horizontal="right" vertical="center"/>
    </xf>
    <xf numFmtId="180" fontId="7" fillId="7" borderId="4" xfId="0" applyNumberFormat="1" applyFont="1" applyFill="1" applyBorder="1" applyAlignment="1">
      <alignment horizontal="right" vertical="center"/>
    </xf>
    <xf numFmtId="180" fontId="7" fillId="7" borderId="17" xfId="0" applyNumberFormat="1" applyFont="1" applyFill="1" applyBorder="1" applyAlignment="1">
      <alignment horizontal="right" vertical="center"/>
    </xf>
    <xf numFmtId="180" fontId="7" fillId="7" borderId="0" xfId="0" applyNumberFormat="1" applyFont="1" applyFill="1" applyAlignment="1">
      <alignment horizontal="right" vertical="center"/>
    </xf>
    <xf numFmtId="180" fontId="7" fillId="7" borderId="16" xfId="0" applyNumberFormat="1" applyFont="1" applyFill="1" applyBorder="1" applyAlignment="1">
      <alignment horizontal="right" vertical="center"/>
    </xf>
    <xf numFmtId="180" fontId="7" fillId="7" borderId="5" xfId="0" applyNumberFormat="1" applyFont="1" applyFill="1" applyBorder="1" applyAlignment="1">
      <alignment horizontal="right" vertical="center"/>
    </xf>
    <xf numFmtId="0" fontId="62" fillId="3" borderId="3" xfId="0" applyFont="1" applyFill="1" applyBorder="1" applyAlignment="1">
      <alignment horizontal="center" vertical="center" wrapText="1"/>
    </xf>
    <xf numFmtId="0" fontId="7" fillId="3" borderId="48" xfId="0" applyFont="1" applyFill="1" applyBorder="1" applyAlignment="1">
      <alignment vertical="center" wrapText="1"/>
    </xf>
    <xf numFmtId="0" fontId="7" fillId="3" borderId="43" xfId="0" applyFont="1" applyFill="1" applyBorder="1" applyAlignment="1">
      <alignment vertical="center" wrapText="1"/>
    </xf>
    <xf numFmtId="0" fontId="7" fillId="3" borderId="44" xfId="0" applyFont="1" applyFill="1" applyBorder="1" applyAlignment="1">
      <alignment vertical="center" wrapText="1"/>
    </xf>
    <xf numFmtId="0" fontId="7" fillId="3" borderId="45" xfId="0" applyFont="1" applyFill="1" applyBorder="1" applyAlignment="1">
      <alignment vertical="center" wrapText="1"/>
    </xf>
    <xf numFmtId="0" fontId="7" fillId="3" borderId="0" xfId="0" applyFont="1" applyFill="1" applyAlignment="1">
      <alignment vertical="center" wrapText="1"/>
    </xf>
    <xf numFmtId="0" fontId="7" fillId="3" borderId="49" xfId="0" applyFont="1" applyFill="1" applyBorder="1" applyAlignment="1">
      <alignment vertical="center" wrapText="1"/>
    </xf>
    <xf numFmtId="0" fontId="7" fillId="3" borderId="46" xfId="0" applyFont="1" applyFill="1" applyBorder="1" applyAlignment="1">
      <alignment vertical="center" wrapText="1"/>
    </xf>
    <xf numFmtId="0" fontId="7" fillId="3" borderId="42" xfId="0" applyFont="1" applyFill="1" applyBorder="1" applyAlignment="1">
      <alignment vertical="center" wrapText="1"/>
    </xf>
    <xf numFmtId="0" fontId="7" fillId="3" borderId="47" xfId="0" applyFont="1" applyFill="1" applyBorder="1" applyAlignment="1">
      <alignment vertical="center" wrapText="1"/>
    </xf>
    <xf numFmtId="0" fontId="16" fillId="3" borderId="28" xfId="0" applyFont="1" applyFill="1" applyBorder="1" applyAlignment="1">
      <alignment vertical="top" wrapText="1"/>
    </xf>
    <xf numFmtId="0" fontId="16" fillId="3" borderId="8" xfId="0" applyFont="1" applyFill="1" applyBorder="1" applyAlignment="1">
      <alignment vertical="top" wrapText="1"/>
    </xf>
    <xf numFmtId="0" fontId="16" fillId="3" borderId="2" xfId="0" applyFont="1" applyFill="1" applyBorder="1" applyAlignment="1">
      <alignment vertical="top" wrapText="1"/>
    </xf>
    <xf numFmtId="180" fontId="7" fillId="7" borderId="3" xfId="0" applyNumberFormat="1" applyFont="1" applyFill="1" applyBorder="1" applyAlignment="1">
      <alignment vertical="center"/>
    </xf>
    <xf numFmtId="180" fontId="7" fillId="7" borderId="4" xfId="0" applyNumberFormat="1" applyFont="1" applyFill="1" applyBorder="1" applyAlignment="1">
      <alignment vertical="center"/>
    </xf>
    <xf numFmtId="180" fontId="7" fillId="7" borderId="17" xfId="0" applyNumberFormat="1" applyFont="1" applyFill="1" applyBorder="1" applyAlignment="1">
      <alignment vertical="center"/>
    </xf>
    <xf numFmtId="180" fontId="7" fillId="7" borderId="0" xfId="0" applyNumberFormat="1" applyFont="1" applyFill="1" applyAlignment="1">
      <alignment vertical="center"/>
    </xf>
    <xf numFmtId="180" fontId="7" fillId="7" borderId="16" xfId="0" applyNumberFormat="1" applyFont="1" applyFill="1" applyBorder="1" applyAlignment="1">
      <alignment vertical="center"/>
    </xf>
    <xf numFmtId="180" fontId="7" fillId="7" borderId="5" xfId="0" applyNumberFormat="1" applyFont="1" applyFill="1" applyBorder="1" applyAlignment="1">
      <alignment vertical="center"/>
    </xf>
    <xf numFmtId="0" fontId="7" fillId="5" borderId="4" xfId="0" applyFont="1" applyFill="1" applyBorder="1" applyAlignment="1">
      <alignment horizontal="right" vertical="center"/>
    </xf>
    <xf numFmtId="0" fontId="7" fillId="5" borderId="0" xfId="0" applyFont="1" applyFill="1" applyAlignment="1">
      <alignment horizontal="right" vertical="center"/>
    </xf>
    <xf numFmtId="0" fontId="16" fillId="3" borderId="17" xfId="0" applyFont="1" applyFill="1" applyBorder="1" applyAlignment="1">
      <alignment horizontal="left" vertical="center"/>
    </xf>
    <xf numFmtId="0" fontId="16" fillId="3" borderId="0" xfId="0" applyFont="1" applyFill="1" applyAlignment="1">
      <alignment horizontal="left" vertical="center"/>
    </xf>
    <xf numFmtId="0" fontId="16" fillId="3" borderId="27" xfId="0" applyFont="1" applyFill="1" applyBorder="1" applyAlignment="1">
      <alignment horizontal="left" vertical="center"/>
    </xf>
    <xf numFmtId="0" fontId="7" fillId="3" borderId="3"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17"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16" xfId="0" applyFont="1" applyFill="1" applyBorder="1" applyAlignment="1">
      <alignment horizontal="center" vertical="center"/>
    </xf>
    <xf numFmtId="0" fontId="7" fillId="3" borderId="5" xfId="0" applyFont="1" applyFill="1" applyBorder="1" applyAlignment="1">
      <alignment horizontal="center" vertical="center"/>
    </xf>
    <xf numFmtId="180" fontId="7" fillId="3" borderId="17" xfId="0" applyNumberFormat="1" applyFont="1" applyFill="1" applyBorder="1" applyAlignment="1">
      <alignment horizontal="center" vertical="center"/>
    </xf>
    <xf numFmtId="180" fontId="7" fillId="3" borderId="0" xfId="0" applyNumberFormat="1" applyFont="1" applyFill="1" applyAlignment="1">
      <alignment horizontal="center" vertical="center"/>
    </xf>
    <xf numFmtId="0" fontId="7" fillId="3" borderId="7" xfId="0" applyFont="1" applyFill="1" applyBorder="1" applyAlignment="1">
      <alignment horizontal="center" vertical="center" shrinkToFit="1"/>
    </xf>
    <xf numFmtId="0" fontId="7" fillId="4" borderId="7" xfId="0" applyFont="1" applyFill="1" applyBorder="1" applyAlignment="1">
      <alignment horizontal="center" vertical="center" shrinkToFit="1"/>
    </xf>
    <xf numFmtId="0" fontId="7" fillId="3" borderId="6" xfId="0" applyFont="1" applyFill="1" applyBorder="1" applyAlignment="1">
      <alignment horizontal="center" vertical="center"/>
    </xf>
    <xf numFmtId="0" fontId="7" fillId="3" borderId="8" xfId="0" applyFont="1" applyFill="1" applyBorder="1" applyAlignment="1">
      <alignment horizontal="center" vertical="center"/>
    </xf>
    <xf numFmtId="0" fontId="7" fillId="7" borderId="7" xfId="0" applyFont="1" applyFill="1" applyBorder="1" applyAlignment="1">
      <alignment horizontal="center" vertical="center" shrinkToFit="1"/>
    </xf>
    <xf numFmtId="0" fontId="15" fillId="3" borderId="16"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83" fillId="9" borderId="0" xfId="0" applyFont="1" applyFill="1" applyAlignment="1">
      <alignment horizontal="center" vertical="center"/>
    </xf>
    <xf numFmtId="0" fontId="13" fillId="3" borderId="0" xfId="0" applyFont="1" applyFill="1" applyAlignment="1">
      <alignment horizontal="center" vertical="center"/>
    </xf>
    <xf numFmtId="0" fontId="84" fillId="3" borderId="3" xfId="0" applyFont="1" applyFill="1" applyBorder="1" applyAlignment="1">
      <alignment horizontal="center" vertical="center" shrinkToFit="1"/>
    </xf>
    <xf numFmtId="0" fontId="84" fillId="3" borderId="1" xfId="0" applyFont="1" applyFill="1" applyBorder="1" applyAlignment="1">
      <alignment horizontal="center" vertical="center" shrinkToFit="1"/>
    </xf>
    <xf numFmtId="0" fontId="84" fillId="3" borderId="16" xfId="0" applyFont="1" applyFill="1" applyBorder="1" applyAlignment="1">
      <alignment horizontal="center" vertical="center" shrinkToFit="1"/>
    </xf>
    <xf numFmtId="0" fontId="84" fillId="3" borderId="15" xfId="0" applyFont="1" applyFill="1" applyBorder="1" applyAlignment="1">
      <alignment horizontal="center" vertical="center" shrinkToFit="1"/>
    </xf>
    <xf numFmtId="0" fontId="84" fillId="3" borderId="3" xfId="0" applyFont="1" applyFill="1" applyBorder="1" applyAlignment="1">
      <alignment vertical="center" shrinkToFit="1"/>
    </xf>
    <xf numFmtId="0" fontId="84" fillId="3" borderId="1" xfId="0" applyFont="1" applyFill="1" applyBorder="1" applyAlignment="1">
      <alignment vertical="center" shrinkToFit="1"/>
    </xf>
    <xf numFmtId="0" fontId="84" fillId="3" borderId="16" xfId="0" applyFont="1" applyFill="1" applyBorder="1" applyAlignment="1">
      <alignment vertical="center" shrinkToFit="1"/>
    </xf>
    <xf numFmtId="0" fontId="84" fillId="3" borderId="15" xfId="0" applyFont="1" applyFill="1" applyBorder="1" applyAlignment="1">
      <alignment vertical="center" shrinkToFit="1"/>
    </xf>
    <xf numFmtId="0" fontId="85" fillId="5" borderId="3"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5" fillId="5" borderId="1" xfId="0" applyFont="1" applyFill="1" applyBorder="1" applyAlignment="1">
      <alignment horizontal="left" vertical="center" wrapText="1"/>
    </xf>
    <xf numFmtId="0" fontId="85" fillId="5" borderId="16" xfId="0" applyFont="1" applyFill="1" applyBorder="1" applyAlignment="1">
      <alignment horizontal="left" vertical="center" wrapText="1"/>
    </xf>
    <xf numFmtId="0" fontId="85" fillId="5" borderId="5" xfId="0" applyFont="1" applyFill="1" applyBorder="1" applyAlignment="1">
      <alignment horizontal="left" vertical="center" wrapText="1"/>
    </xf>
    <xf numFmtId="0" fontId="85" fillId="5" borderId="15" xfId="0" applyFont="1" applyFill="1" applyBorder="1" applyAlignment="1">
      <alignment horizontal="left" vertical="center" wrapText="1"/>
    </xf>
    <xf numFmtId="0" fontId="86" fillId="3" borderId="0" xfId="0" applyFont="1" applyFill="1" applyAlignment="1">
      <alignment vertical="center" wrapText="1"/>
    </xf>
    <xf numFmtId="0" fontId="36" fillId="3" borderId="6" xfId="0" applyFont="1" applyFill="1" applyBorder="1" applyAlignment="1">
      <alignment horizontal="center" vertical="center"/>
    </xf>
    <xf numFmtId="0" fontId="36" fillId="3" borderId="7" xfId="0" applyFont="1" applyFill="1" applyBorder="1" applyAlignment="1">
      <alignment horizontal="center" vertical="center"/>
    </xf>
    <xf numFmtId="0" fontId="84" fillId="7" borderId="3" xfId="0" applyFont="1" applyFill="1" applyBorder="1" applyAlignment="1">
      <alignment horizontal="center" vertical="center" shrinkToFit="1"/>
    </xf>
    <xf numFmtId="0" fontId="84" fillId="7" borderId="1" xfId="0" applyFont="1" applyFill="1" applyBorder="1" applyAlignment="1">
      <alignment horizontal="center" vertical="center" shrinkToFit="1"/>
    </xf>
    <xf numFmtId="0" fontId="84" fillId="7" borderId="16" xfId="0" applyFont="1" applyFill="1" applyBorder="1" applyAlignment="1">
      <alignment horizontal="center" vertical="center" shrinkToFit="1"/>
    </xf>
    <xf numFmtId="0" fontId="84" fillId="7" borderId="15" xfId="0" applyFont="1" applyFill="1" applyBorder="1" applyAlignment="1">
      <alignment horizontal="center" vertical="center" shrinkToFit="1"/>
    </xf>
    <xf numFmtId="0" fontId="85" fillId="7" borderId="3" xfId="0" applyFont="1" applyFill="1" applyBorder="1" applyAlignment="1">
      <alignment horizontal="left" vertical="center" wrapText="1"/>
    </xf>
    <xf numFmtId="0" fontId="85" fillId="7" borderId="4" xfId="0" applyFont="1" applyFill="1" applyBorder="1" applyAlignment="1">
      <alignment horizontal="left" vertical="center" wrapText="1"/>
    </xf>
    <xf numFmtId="0" fontId="85" fillId="7" borderId="1" xfId="0" applyFont="1" applyFill="1" applyBorder="1" applyAlignment="1">
      <alignment horizontal="left" vertical="center" wrapText="1"/>
    </xf>
    <xf numFmtId="0" fontId="85" fillId="7" borderId="16" xfId="0" applyFont="1" applyFill="1" applyBorder="1" applyAlignment="1">
      <alignment horizontal="left" vertical="center" wrapText="1"/>
    </xf>
    <xf numFmtId="0" fontId="85" fillId="7" borderId="5" xfId="0" applyFont="1" applyFill="1" applyBorder="1" applyAlignment="1">
      <alignment horizontal="left" vertical="center" wrapText="1"/>
    </xf>
    <xf numFmtId="0" fontId="85" fillId="7" borderId="15" xfId="0" applyFont="1" applyFill="1" applyBorder="1" applyAlignment="1">
      <alignment horizontal="left" vertical="center" wrapText="1"/>
    </xf>
    <xf numFmtId="0" fontId="7" fillId="3" borderId="15" xfId="0" applyFont="1" applyFill="1" applyBorder="1" applyAlignment="1">
      <alignment horizontal="center" vertical="center"/>
    </xf>
    <xf numFmtId="0" fontId="84" fillId="5" borderId="3" xfId="0" applyFont="1" applyFill="1" applyBorder="1" applyAlignment="1">
      <alignment horizontal="center" vertical="center" shrinkToFit="1"/>
    </xf>
    <xf numFmtId="0" fontId="84" fillId="5" borderId="1" xfId="0" applyFont="1" applyFill="1" applyBorder="1" applyAlignment="1">
      <alignment horizontal="center" vertical="center" shrinkToFit="1"/>
    </xf>
    <xf numFmtId="0" fontId="84" fillId="5" borderId="16" xfId="0" applyFont="1" applyFill="1" applyBorder="1" applyAlignment="1">
      <alignment horizontal="center" vertical="center" shrinkToFit="1"/>
    </xf>
    <xf numFmtId="0" fontId="84" fillId="5" borderId="15" xfId="0" applyFont="1" applyFill="1" applyBorder="1" applyAlignment="1">
      <alignment horizontal="center" vertical="center" shrinkToFit="1"/>
    </xf>
    <xf numFmtId="0" fontId="23" fillId="5" borderId="6" xfId="16" applyFont="1" applyFill="1" applyBorder="1" applyAlignment="1">
      <alignment horizontal="center" vertical="center" shrinkToFit="1"/>
    </xf>
    <xf numFmtId="0" fontId="23" fillId="5" borderId="7" xfId="16" applyFont="1" applyFill="1" applyBorder="1" applyAlignment="1">
      <alignment horizontal="center" vertical="center" shrinkToFit="1"/>
    </xf>
    <xf numFmtId="0" fontId="23" fillId="3" borderId="0" xfId="16" applyFont="1" applyFill="1" applyAlignment="1">
      <alignment vertical="center" shrinkToFit="1"/>
    </xf>
    <xf numFmtId="0" fontId="23" fillId="0" borderId="0" xfId="0" applyFont="1" applyAlignment="1">
      <alignment vertical="center" shrinkToFit="1"/>
    </xf>
    <xf numFmtId="0" fontId="23" fillId="3" borderId="0" xfId="16" applyFont="1" applyFill="1" applyAlignment="1">
      <alignment horizontal="left" vertical="top" wrapText="1"/>
    </xf>
    <xf numFmtId="40" fontId="23" fillId="7" borderId="82" xfId="7" applyNumberFormat="1" applyFont="1" applyFill="1" applyBorder="1" applyAlignment="1">
      <alignment horizontal="center" vertical="center"/>
    </xf>
    <xf numFmtId="40" fontId="23" fillId="7" borderId="83" xfId="7" applyNumberFormat="1" applyFont="1" applyFill="1" applyBorder="1" applyAlignment="1">
      <alignment horizontal="center" vertical="center"/>
    </xf>
    <xf numFmtId="40" fontId="23" fillId="7" borderId="84" xfId="7" applyNumberFormat="1" applyFont="1" applyFill="1" applyBorder="1" applyAlignment="1">
      <alignment horizontal="center" vertical="center"/>
    </xf>
    <xf numFmtId="0" fontId="23" fillId="3" borderId="0" xfId="0" applyFont="1" applyFill="1" applyAlignment="1">
      <alignment horizontal="left" vertical="top" wrapText="1"/>
    </xf>
    <xf numFmtId="0" fontId="23" fillId="3" borderId="27" xfId="0" applyFont="1" applyFill="1" applyBorder="1" applyAlignment="1">
      <alignment horizontal="left" vertical="top" wrapText="1"/>
    </xf>
    <xf numFmtId="0" fontId="23" fillId="3" borderId="0" xfId="16" applyFont="1" applyFill="1" applyAlignment="1">
      <alignment horizontal="right" vertical="center"/>
    </xf>
    <xf numFmtId="40" fontId="23" fillId="7" borderId="3" xfId="7" applyNumberFormat="1" applyFont="1" applyFill="1" applyBorder="1" applyAlignment="1">
      <alignment horizontal="center" vertical="center"/>
    </xf>
    <xf numFmtId="40" fontId="23" fillId="7" borderId="4" xfId="7" applyNumberFormat="1" applyFont="1" applyFill="1" applyBorder="1" applyAlignment="1">
      <alignment horizontal="center" vertical="center"/>
    </xf>
    <xf numFmtId="40" fontId="23" fillId="7" borderId="1" xfId="7" applyNumberFormat="1" applyFont="1" applyFill="1" applyBorder="1" applyAlignment="1">
      <alignment horizontal="center" vertical="center"/>
    </xf>
    <xf numFmtId="0" fontId="23" fillId="5" borderId="6"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8" xfId="0" applyFont="1" applyFill="1" applyBorder="1" applyAlignment="1">
      <alignment horizontal="center" vertical="center"/>
    </xf>
    <xf numFmtId="38" fontId="23" fillId="3" borderId="0" xfId="7" applyFont="1" applyFill="1" applyBorder="1" applyAlignment="1">
      <alignment horizontal="center" vertical="center"/>
    </xf>
    <xf numFmtId="0" fontId="23" fillId="7" borderId="0" xfId="16" applyFont="1" applyFill="1" applyAlignment="1">
      <alignment horizontal="center" vertical="center" shrinkToFit="1"/>
    </xf>
    <xf numFmtId="0" fontId="23" fillId="3" borderId="0" xfId="16" applyFont="1" applyFill="1" applyAlignment="1">
      <alignment horizontal="center" vertical="center"/>
    </xf>
    <xf numFmtId="2" fontId="23" fillId="7" borderId="0" xfId="16" applyNumberFormat="1" applyFont="1" applyFill="1" applyAlignment="1">
      <alignment horizontal="center" vertical="center" shrinkToFit="1"/>
    </xf>
    <xf numFmtId="2" fontId="23" fillId="7" borderId="27" xfId="16" applyNumberFormat="1" applyFont="1" applyFill="1" applyBorder="1" applyAlignment="1">
      <alignment horizontal="center" vertical="center" shrinkToFit="1"/>
    </xf>
    <xf numFmtId="2" fontId="23" fillId="7" borderId="0" xfId="16" applyNumberFormat="1" applyFont="1" applyFill="1" applyAlignment="1">
      <alignment horizontal="center" vertical="top" shrinkToFit="1"/>
    </xf>
    <xf numFmtId="0" fontId="23" fillId="3" borderId="0" xfId="16" applyFont="1" applyFill="1" applyAlignment="1">
      <alignment horizontal="left" vertical="center" wrapText="1"/>
    </xf>
    <xf numFmtId="0" fontId="23" fillId="3" borderId="0" xfId="0" applyFont="1" applyFill="1" applyAlignment="1">
      <alignment horizontal="center" vertical="center"/>
    </xf>
    <xf numFmtId="0" fontId="25" fillId="3" borderId="0" xfId="0" applyFont="1" applyFill="1" applyAlignment="1">
      <alignment horizontal="center" vertical="center"/>
    </xf>
    <xf numFmtId="0" fontId="25" fillId="3" borderId="0" xfId="16" applyFont="1" applyFill="1" applyAlignment="1">
      <alignment horizontal="center" vertical="center"/>
    </xf>
    <xf numFmtId="0" fontId="63" fillId="3" borderId="0" xfId="16" applyFont="1" applyFill="1" applyAlignment="1">
      <alignment horizontal="left" vertical="center" shrinkToFit="1"/>
    </xf>
    <xf numFmtId="0" fontId="63" fillId="3" borderId="27" xfId="16" applyFont="1" applyFill="1" applyBorder="1" applyAlignment="1">
      <alignment horizontal="left" vertical="center" shrinkToFit="1"/>
    </xf>
    <xf numFmtId="38" fontId="23" fillId="3" borderId="0" xfId="7" applyFont="1" applyFill="1" applyBorder="1" applyAlignment="1">
      <alignment vertical="center"/>
    </xf>
    <xf numFmtId="38" fontId="23" fillId="3" borderId="27" xfId="7" applyFont="1" applyFill="1" applyBorder="1" applyAlignment="1">
      <alignment vertical="center"/>
    </xf>
    <xf numFmtId="0" fontId="23" fillId="3" borderId="7" xfId="16" applyFont="1" applyFill="1" applyBorder="1" applyAlignment="1">
      <alignment horizontal="left" vertical="center" wrapText="1"/>
    </xf>
    <xf numFmtId="0" fontId="23" fillId="3" borderId="8" xfId="16" applyFont="1" applyFill="1" applyBorder="1" applyAlignment="1">
      <alignment horizontal="left" vertical="center" wrapText="1"/>
    </xf>
    <xf numFmtId="0" fontId="23" fillId="3" borderId="16" xfId="16" applyFont="1" applyFill="1" applyBorder="1" applyAlignment="1">
      <alignment horizontal="distributed" vertical="center"/>
    </xf>
    <xf numFmtId="0" fontId="23" fillId="3" borderId="5" xfId="16" applyFont="1" applyFill="1" applyBorder="1" applyAlignment="1">
      <alignment horizontal="distributed" vertical="center"/>
    </xf>
    <xf numFmtId="0" fontId="23" fillId="3" borderId="17" xfId="16" applyFont="1" applyFill="1" applyBorder="1" applyAlignment="1">
      <alignment horizontal="right" vertical="center"/>
    </xf>
    <xf numFmtId="0" fontId="23" fillId="3" borderId="27" xfId="16" applyFont="1" applyFill="1" applyBorder="1" applyAlignment="1">
      <alignment horizontal="right" vertical="center"/>
    </xf>
    <xf numFmtId="0" fontId="23" fillId="4" borderId="6" xfId="0" applyFont="1" applyFill="1" applyBorder="1" applyAlignment="1">
      <alignment horizontal="center" vertical="center"/>
    </xf>
    <xf numFmtId="0" fontId="23" fillId="4" borderId="7" xfId="0" applyFont="1" applyFill="1" applyBorder="1" applyAlignment="1">
      <alignment horizontal="center" vertical="center"/>
    </xf>
    <xf numFmtId="0" fontId="23" fillId="4" borderId="8" xfId="0" applyFont="1" applyFill="1" applyBorder="1" applyAlignment="1">
      <alignment horizontal="center" vertical="center"/>
    </xf>
    <xf numFmtId="0" fontId="23" fillId="7" borderId="82" xfId="0" applyFont="1" applyFill="1" applyBorder="1" applyAlignment="1">
      <alignment horizontal="center" vertical="center"/>
    </xf>
    <xf numFmtId="0" fontId="23" fillId="7" borderId="83" xfId="0" applyFont="1" applyFill="1" applyBorder="1" applyAlignment="1">
      <alignment horizontal="center" vertical="center"/>
    </xf>
    <xf numFmtId="0" fontId="23" fillId="7" borderId="84" xfId="0" applyFont="1" applyFill="1" applyBorder="1" applyAlignment="1">
      <alignment horizontal="center" vertical="center"/>
    </xf>
    <xf numFmtId="0" fontId="23" fillId="3" borderId="0" xfId="0" applyFont="1" applyFill="1" applyAlignment="1">
      <alignment horizontal="right" vertical="center"/>
    </xf>
    <xf numFmtId="0" fontId="23" fillId="3" borderId="27" xfId="0" applyFont="1" applyFill="1" applyBorder="1" applyAlignment="1">
      <alignment horizontal="right" vertical="center"/>
    </xf>
    <xf numFmtId="38" fontId="23" fillId="5" borderId="6" xfId="7" applyFont="1" applyFill="1" applyBorder="1" applyAlignment="1">
      <alignment horizontal="center" vertical="center"/>
    </xf>
    <xf numFmtId="38" fontId="23" fillId="5" borderId="7" xfId="7" applyFont="1" applyFill="1" applyBorder="1" applyAlignment="1">
      <alignment horizontal="center" vertical="center"/>
    </xf>
    <xf numFmtId="38" fontId="23" fillId="5" borderId="8" xfId="7" applyFont="1" applyFill="1" applyBorder="1" applyAlignment="1">
      <alignment horizontal="center" vertical="center"/>
    </xf>
    <xf numFmtId="0" fontId="23" fillId="3" borderId="7" xfId="16" applyFont="1" applyFill="1" applyBorder="1" applyAlignment="1">
      <alignment horizontal="center" vertical="center" shrinkToFit="1"/>
    </xf>
    <xf numFmtId="0" fontId="23" fillId="3" borderId="43" xfId="16" applyFont="1" applyFill="1" applyBorder="1" applyAlignment="1">
      <alignment vertical="top" wrapText="1"/>
    </xf>
    <xf numFmtId="0" fontId="23" fillId="3" borderId="44" xfId="16" applyFont="1" applyFill="1" applyBorder="1" applyAlignment="1">
      <alignment vertical="top" wrapText="1"/>
    </xf>
    <xf numFmtId="0" fontId="23" fillId="3" borderId="0" xfId="16" applyFont="1" applyFill="1" applyAlignment="1">
      <alignment vertical="top" wrapText="1"/>
    </xf>
    <xf numFmtId="0" fontId="23" fillId="3" borderId="49" xfId="16" applyFont="1" applyFill="1" applyBorder="1" applyAlignment="1">
      <alignment vertical="top" wrapText="1"/>
    </xf>
    <xf numFmtId="0" fontId="23" fillId="3" borderId="42" xfId="16" applyFont="1" applyFill="1" applyBorder="1" applyAlignment="1">
      <alignment vertical="top" wrapText="1"/>
    </xf>
    <xf numFmtId="0" fontId="23" fillId="3" borderId="47" xfId="16" applyFont="1" applyFill="1" applyBorder="1" applyAlignment="1">
      <alignment vertical="top" wrapText="1"/>
    </xf>
    <xf numFmtId="0" fontId="87" fillId="3" borderId="0" xfId="16" applyFont="1" applyFill="1" applyAlignment="1">
      <alignment vertical="top" wrapText="1"/>
    </xf>
    <xf numFmtId="0" fontId="87" fillId="3" borderId="49" xfId="16" applyFont="1" applyFill="1" applyBorder="1" applyAlignment="1">
      <alignment vertical="top" wrapText="1"/>
    </xf>
    <xf numFmtId="2" fontId="23" fillId="7" borderId="82" xfId="16" applyNumberFormat="1" applyFont="1" applyFill="1" applyBorder="1" applyAlignment="1">
      <alignment horizontal="center" vertical="center"/>
    </xf>
    <xf numFmtId="2" fontId="23" fillId="7" borderId="83" xfId="16" applyNumberFormat="1" applyFont="1" applyFill="1" applyBorder="1" applyAlignment="1">
      <alignment horizontal="center" vertical="center"/>
    </xf>
    <xf numFmtId="2" fontId="23" fillId="7" borderId="84" xfId="16" applyNumberFormat="1" applyFont="1" applyFill="1" applyBorder="1" applyAlignment="1">
      <alignment horizontal="center" vertical="center"/>
    </xf>
    <xf numFmtId="0" fontId="23" fillId="3" borderId="17" xfId="16" applyFont="1" applyFill="1" applyBorder="1" applyAlignment="1">
      <alignment horizontal="right" vertical="top"/>
    </xf>
    <xf numFmtId="0" fontId="23" fillId="3" borderId="0" xfId="0" applyFont="1" applyFill="1" applyAlignment="1">
      <alignment horizontal="right" vertical="top"/>
    </xf>
    <xf numFmtId="0" fontId="23" fillId="3" borderId="0" xfId="0" applyFont="1" applyFill="1" applyAlignment="1">
      <alignment vertical="top" wrapText="1"/>
    </xf>
    <xf numFmtId="0" fontId="23" fillId="3" borderId="27" xfId="0" applyFont="1" applyFill="1" applyBorder="1" applyAlignment="1">
      <alignment vertical="top" wrapText="1"/>
    </xf>
    <xf numFmtId="0" fontId="23" fillId="7" borderId="85" xfId="0" applyFont="1" applyFill="1" applyBorder="1" applyAlignment="1">
      <alignment horizontal="center" vertical="center"/>
    </xf>
    <xf numFmtId="0" fontId="23" fillId="7" borderId="86" xfId="0" applyFont="1" applyFill="1" applyBorder="1" applyAlignment="1">
      <alignment horizontal="center" vertical="center"/>
    </xf>
    <xf numFmtId="0" fontId="23" fillId="7" borderId="87" xfId="0" applyFont="1" applyFill="1" applyBorder="1" applyAlignment="1">
      <alignment horizontal="center" vertical="center"/>
    </xf>
    <xf numFmtId="0" fontId="23" fillId="7" borderId="51" xfId="0" applyFont="1" applyFill="1" applyBorder="1" applyAlignment="1">
      <alignment horizontal="center" vertical="center"/>
    </xf>
    <xf numFmtId="0" fontId="23" fillId="7" borderId="0" xfId="0" applyFont="1" applyFill="1" applyAlignment="1">
      <alignment horizontal="center" vertical="center"/>
    </xf>
    <xf numFmtId="0" fontId="23" fillId="7" borderId="88" xfId="0" applyFont="1" applyFill="1" applyBorder="1" applyAlignment="1">
      <alignment horizontal="center" vertical="center"/>
    </xf>
    <xf numFmtId="0" fontId="23" fillId="7" borderId="89" xfId="0" applyFont="1" applyFill="1" applyBorder="1" applyAlignment="1">
      <alignment horizontal="center" vertical="center"/>
    </xf>
    <xf numFmtId="0" fontId="23" fillId="7" borderId="90" xfId="0" applyFont="1" applyFill="1" applyBorder="1" applyAlignment="1">
      <alignment horizontal="center" vertical="center"/>
    </xf>
    <xf numFmtId="0" fontId="23" fillId="7" borderId="91" xfId="0" applyFont="1" applyFill="1" applyBorder="1" applyAlignment="1">
      <alignment horizontal="center" vertical="center"/>
    </xf>
    <xf numFmtId="0" fontId="23" fillId="3" borderId="6" xfId="16" applyFont="1" applyFill="1" applyBorder="1" applyAlignment="1">
      <alignment horizontal="distributed" vertical="center"/>
    </xf>
    <xf numFmtId="0" fontId="23" fillId="3" borderId="7" xfId="16" applyFont="1" applyFill="1" applyBorder="1" applyAlignment="1">
      <alignment horizontal="distributed" vertical="center"/>
    </xf>
    <xf numFmtId="0" fontId="23" fillId="5" borderId="6" xfId="16" applyFont="1" applyFill="1" applyBorder="1" applyAlignment="1">
      <alignment horizontal="left" vertical="center"/>
    </xf>
    <xf numFmtId="0" fontId="23" fillId="5" borderId="7" xfId="0" applyFont="1" applyFill="1" applyBorder="1" applyAlignment="1">
      <alignment horizontal="left" vertical="center"/>
    </xf>
    <xf numFmtId="0" fontId="23" fillId="5" borderId="8" xfId="0" applyFont="1" applyFill="1" applyBorder="1" applyAlignment="1">
      <alignment horizontal="left" vertical="center"/>
    </xf>
    <xf numFmtId="38" fontId="23" fillId="3" borderId="0" xfId="7" applyFont="1" applyFill="1" applyBorder="1" applyAlignment="1">
      <alignment horizontal="left" vertical="center"/>
    </xf>
    <xf numFmtId="38" fontId="23" fillId="3" borderId="27" xfId="7" applyFont="1" applyFill="1" applyBorder="1" applyAlignment="1">
      <alignment horizontal="left" vertical="center"/>
    </xf>
    <xf numFmtId="180" fontId="23" fillId="5" borderId="0" xfId="16" applyNumberFormat="1" applyFont="1" applyFill="1" applyAlignment="1">
      <alignment horizontal="center" vertical="center"/>
    </xf>
    <xf numFmtId="2" fontId="23" fillId="3" borderId="0" xfId="16" applyNumberFormat="1" applyFont="1" applyFill="1" applyAlignment="1">
      <alignment horizontal="center" vertical="center"/>
    </xf>
    <xf numFmtId="2" fontId="23" fillId="3" borderId="27" xfId="16" applyNumberFormat="1" applyFont="1" applyFill="1" applyBorder="1" applyAlignment="1">
      <alignment horizontal="center" vertical="center"/>
    </xf>
    <xf numFmtId="0" fontId="23" fillId="5" borderId="42" xfId="16" applyFont="1" applyFill="1" applyBorder="1" applyAlignment="1">
      <alignment horizontal="center" vertical="center"/>
    </xf>
    <xf numFmtId="0" fontId="23" fillId="5" borderId="43" xfId="16" applyFont="1" applyFill="1" applyBorder="1" applyAlignment="1">
      <alignment horizontal="center" vertical="center"/>
    </xf>
    <xf numFmtId="180" fontId="23" fillId="7" borderId="5" xfId="16" applyNumberFormat="1" applyFont="1" applyFill="1" applyBorder="1" applyAlignment="1">
      <alignment horizontal="center" vertical="center"/>
    </xf>
    <xf numFmtId="0" fontId="69" fillId="3" borderId="17" xfId="0" applyFont="1" applyFill="1" applyBorder="1" applyAlignment="1">
      <alignment vertical="center" shrinkToFit="1"/>
    </xf>
    <xf numFmtId="0" fontId="23" fillId="0" borderId="27" xfId="0" applyFont="1" applyBorder="1" applyAlignment="1">
      <alignment vertical="center" shrinkToFit="1"/>
    </xf>
    <xf numFmtId="0" fontId="23" fillId="3" borderId="48" xfId="16" applyFont="1" applyFill="1" applyBorder="1" applyAlignment="1">
      <alignment vertical="center" wrapText="1"/>
    </xf>
    <xf numFmtId="0" fontId="23" fillId="0" borderId="43" xfId="0" applyFont="1" applyBorder="1" applyAlignment="1">
      <alignment vertical="center" wrapText="1"/>
    </xf>
    <xf numFmtId="0" fontId="23" fillId="0" borderId="44" xfId="0" applyFont="1" applyBorder="1" applyAlignment="1">
      <alignment vertical="center" wrapText="1"/>
    </xf>
    <xf numFmtId="0" fontId="23" fillId="0" borderId="46" xfId="0" applyFont="1" applyBorder="1" applyAlignment="1">
      <alignment vertical="center" wrapText="1"/>
    </xf>
    <xf numFmtId="0" fontId="23" fillId="0" borderId="42" xfId="0" applyFont="1" applyBorder="1" applyAlignment="1">
      <alignment vertical="center" wrapText="1"/>
    </xf>
    <xf numFmtId="0" fontId="23" fillId="0" borderId="47" xfId="0" applyFont="1" applyBorder="1" applyAlignment="1">
      <alignment vertical="center" wrapText="1"/>
    </xf>
    <xf numFmtId="0" fontId="23" fillId="5" borderId="0" xfId="16" applyFont="1" applyFill="1" applyAlignment="1">
      <alignment horizontal="center" vertical="center"/>
    </xf>
    <xf numFmtId="180" fontId="23" fillId="7" borderId="0" xfId="16" applyNumberFormat="1" applyFont="1" applyFill="1" applyAlignment="1">
      <alignment horizontal="center" vertical="top"/>
    </xf>
    <xf numFmtId="0" fontId="23" fillId="7" borderId="0" xfId="16" applyFont="1" applyFill="1" applyAlignment="1">
      <alignment horizontal="center" vertical="top"/>
    </xf>
    <xf numFmtId="2" fontId="23" fillId="7" borderId="0" xfId="16" applyNumberFormat="1" applyFont="1" applyFill="1" applyAlignment="1">
      <alignment horizontal="center" vertical="top"/>
    </xf>
    <xf numFmtId="0" fontId="23" fillId="3" borderId="5" xfId="16" applyFont="1" applyFill="1" applyBorder="1" applyAlignment="1">
      <alignment vertical="center" shrinkToFit="1"/>
    </xf>
    <xf numFmtId="0" fontId="69" fillId="3" borderId="0" xfId="16" applyFont="1" applyFill="1" applyAlignment="1">
      <alignment vertical="top" wrapText="1"/>
    </xf>
    <xf numFmtId="0" fontId="69" fillId="3" borderId="49" xfId="16" applyFont="1" applyFill="1" applyBorder="1" applyAlignment="1">
      <alignment vertical="top" wrapText="1"/>
    </xf>
    <xf numFmtId="0" fontId="23" fillId="3" borderId="0" xfId="16" applyFont="1" applyFill="1">
      <alignment vertical="center"/>
    </xf>
    <xf numFmtId="180" fontId="23" fillId="7" borderId="0" xfId="16" applyNumberFormat="1" applyFont="1" applyFill="1" applyAlignment="1">
      <alignment horizontal="center" vertical="top" shrinkToFit="1"/>
    </xf>
    <xf numFmtId="0" fontId="23" fillId="7" borderId="0" xfId="16" applyFont="1" applyFill="1" applyAlignment="1">
      <alignment horizontal="center" vertical="top" shrinkToFit="1"/>
    </xf>
    <xf numFmtId="0" fontId="69" fillId="3" borderId="42" xfId="16" applyFont="1" applyFill="1" applyBorder="1" applyAlignment="1">
      <alignment vertical="top" wrapText="1"/>
    </xf>
    <xf numFmtId="0" fontId="69" fillId="3" borderId="47" xfId="16" applyFont="1" applyFill="1" applyBorder="1" applyAlignment="1">
      <alignment vertical="top" wrapText="1"/>
    </xf>
    <xf numFmtId="0" fontId="87" fillId="3" borderId="42" xfId="16" applyFont="1" applyFill="1" applyBorder="1" applyAlignment="1">
      <alignment vertical="top" wrapText="1"/>
    </xf>
    <xf numFmtId="0" fontId="87" fillId="3" borderId="47" xfId="16" applyFont="1" applyFill="1" applyBorder="1" applyAlignment="1">
      <alignment vertical="top" wrapText="1"/>
    </xf>
    <xf numFmtId="0" fontId="52" fillId="3" borderId="0" xfId="0" applyFont="1" applyFill="1" applyAlignment="1">
      <alignment horizontal="center" vertical="top" wrapText="1" shrinkToFit="1"/>
    </xf>
    <xf numFmtId="0" fontId="6" fillId="3" borderId="0" xfId="0" applyFont="1" applyFill="1" applyAlignment="1">
      <alignment horizontal="center" vertical="top" shrinkToFit="1"/>
    </xf>
    <xf numFmtId="0" fontId="6" fillId="3" borderId="0" xfId="0" applyFont="1" applyFill="1" applyAlignment="1">
      <alignment horizontal="center" vertical="top"/>
    </xf>
    <xf numFmtId="0" fontId="6" fillId="3" borderId="0" xfId="0" applyFont="1" applyFill="1" applyAlignment="1">
      <alignment horizontal="left" wrapText="1"/>
    </xf>
    <xf numFmtId="0" fontId="88" fillId="9" borderId="0" xfId="0" applyFont="1" applyFill="1" applyAlignment="1">
      <alignment horizontal="left" vertical="center" shrinkToFit="1"/>
    </xf>
    <xf numFmtId="0" fontId="6" fillId="3" borderId="0" xfId="0" applyFont="1" applyFill="1" applyAlignment="1">
      <alignment horizontal="center" vertical="center" shrinkToFit="1"/>
    </xf>
    <xf numFmtId="0" fontId="6" fillId="3" borderId="2" xfId="0" applyFont="1" applyFill="1" applyBorder="1" applyAlignment="1">
      <alignment shrinkToFit="1"/>
    </xf>
    <xf numFmtId="0" fontId="6" fillId="3" borderId="1" xfId="0" applyFont="1" applyFill="1" applyBorder="1" applyAlignment="1">
      <alignment shrinkToFit="1"/>
    </xf>
    <xf numFmtId="0" fontId="6" fillId="3" borderId="25" xfId="0" applyFont="1" applyFill="1" applyBorder="1" applyAlignment="1">
      <alignment shrinkToFit="1"/>
    </xf>
    <xf numFmtId="0" fontId="18" fillId="3" borderId="92" xfId="0" applyFont="1" applyFill="1" applyBorder="1" applyAlignment="1">
      <alignment horizontal="center" vertical="center" shrinkToFit="1"/>
    </xf>
    <xf numFmtId="0" fontId="89" fillId="3" borderId="0" xfId="0" applyFont="1" applyFill="1" applyAlignment="1">
      <alignment vertical="center" shrinkToFit="1"/>
    </xf>
    <xf numFmtId="0" fontId="6" fillId="3" borderId="6" xfId="0" applyFont="1" applyFill="1" applyBorder="1" applyAlignment="1">
      <alignment vertical="center"/>
    </xf>
    <xf numFmtId="0" fontId="6" fillId="3" borderId="7" xfId="0" applyFont="1" applyFill="1" applyBorder="1" applyAlignment="1">
      <alignment vertical="center"/>
    </xf>
    <xf numFmtId="0" fontId="6" fillId="3" borderId="8" xfId="0" applyFont="1" applyFill="1" applyBorder="1" applyAlignment="1">
      <alignment vertical="center"/>
    </xf>
    <xf numFmtId="0" fontId="6" fillId="3" borderId="6" xfId="0" applyFont="1" applyFill="1" applyBorder="1" applyAlignment="1">
      <alignment vertical="center" shrinkToFit="1"/>
    </xf>
    <xf numFmtId="0" fontId="6" fillId="3" borderId="7" xfId="0" applyFont="1" applyFill="1" applyBorder="1" applyAlignment="1">
      <alignment vertical="center" shrinkToFit="1"/>
    </xf>
    <xf numFmtId="0" fontId="6" fillId="3" borderId="16" xfId="0" applyFont="1" applyFill="1" applyBorder="1" applyAlignment="1">
      <alignment vertical="center"/>
    </xf>
    <xf numFmtId="0" fontId="6" fillId="3" borderId="5" xfId="0" applyFont="1" applyFill="1" applyBorder="1" applyAlignment="1">
      <alignment vertical="center"/>
    </xf>
    <xf numFmtId="0" fontId="6" fillId="3" borderId="15" xfId="0" applyFont="1" applyFill="1" applyBorder="1" applyAlignment="1">
      <alignment vertical="center"/>
    </xf>
    <xf numFmtId="0" fontId="6" fillId="3" borderId="28" xfId="0" applyFont="1" applyFill="1" applyBorder="1" applyAlignment="1">
      <alignment vertical="center"/>
    </xf>
    <xf numFmtId="0" fontId="6" fillId="3" borderId="28" xfId="0" applyFont="1" applyFill="1" applyBorder="1" applyAlignment="1">
      <alignment vertical="center" shrinkToFit="1"/>
    </xf>
    <xf numFmtId="0" fontId="6" fillId="3" borderId="6" xfId="0" applyFont="1" applyFill="1" applyBorder="1" applyAlignment="1">
      <alignment vertical="center" wrapText="1"/>
    </xf>
    <xf numFmtId="0" fontId="6" fillId="3" borderId="7" xfId="0" applyFont="1" applyFill="1" applyBorder="1" applyAlignment="1">
      <alignment vertical="center" wrapText="1"/>
    </xf>
    <xf numFmtId="0" fontId="6" fillId="3" borderId="8" xfId="0" applyFont="1" applyFill="1" applyBorder="1" applyAlignment="1">
      <alignment vertical="center" wrapText="1"/>
    </xf>
    <xf numFmtId="0" fontId="6" fillId="3" borderId="2" xfId="0" applyFont="1" applyFill="1" applyBorder="1" applyAlignment="1">
      <alignment vertical="center"/>
    </xf>
    <xf numFmtId="0" fontId="6" fillId="3" borderId="2" xfId="0" applyFont="1" applyFill="1" applyBorder="1" applyAlignment="1">
      <alignment vertical="center" shrinkToFit="1"/>
    </xf>
    <xf numFmtId="0" fontId="89" fillId="3" borderId="0" xfId="0" applyFont="1" applyFill="1" applyAlignment="1">
      <alignment vertical="center" wrapText="1"/>
    </xf>
    <xf numFmtId="0" fontId="88" fillId="9" borderId="0" xfId="0" applyFont="1" applyFill="1" applyAlignment="1">
      <alignment horizontal="center" vertical="center" shrinkToFit="1"/>
    </xf>
    <xf numFmtId="0" fontId="88" fillId="9" borderId="0" xfId="0" applyFont="1" applyFill="1" applyAlignment="1">
      <alignment vertical="center"/>
    </xf>
    <xf numFmtId="0" fontId="90" fillId="9" borderId="0" xfId="0" applyFont="1" applyFill="1" applyAlignment="1">
      <alignment vertical="center"/>
    </xf>
    <xf numFmtId="0" fontId="6" fillId="3" borderId="8" xfId="0" applyFont="1" applyFill="1" applyBorder="1" applyAlignment="1">
      <alignment vertical="center" shrinkToFit="1"/>
    </xf>
    <xf numFmtId="0" fontId="89" fillId="3" borderId="0" xfId="0" applyFont="1" applyFill="1" applyAlignment="1">
      <alignment horizontal="center" vertical="center" shrinkToFit="1"/>
    </xf>
    <xf numFmtId="0" fontId="6" fillId="3" borderId="4" xfId="0" applyFont="1" applyFill="1" applyBorder="1" applyAlignment="1">
      <alignment horizontal="left" vertical="center" shrinkToFit="1"/>
    </xf>
    <xf numFmtId="177" fontId="19" fillId="7" borderId="73" xfId="8" applyNumberFormat="1" applyFont="1" applyFill="1" applyBorder="1" applyAlignment="1">
      <alignment horizontal="center" vertical="center" shrinkToFit="1"/>
    </xf>
    <xf numFmtId="177" fontId="19" fillId="7" borderId="93" xfId="8" applyNumberFormat="1" applyFont="1" applyFill="1" applyBorder="1" applyAlignment="1">
      <alignment horizontal="center" vertical="center" shrinkToFit="1"/>
    </xf>
    <xf numFmtId="0" fontId="6" fillId="3" borderId="0" xfId="0" applyFont="1" applyFill="1" applyAlignment="1">
      <alignment horizontal="left" vertical="center" shrinkToFit="1"/>
    </xf>
    <xf numFmtId="0" fontId="6" fillId="3" borderId="27" xfId="0" applyFont="1" applyFill="1" applyBorder="1" applyAlignment="1">
      <alignment horizontal="left" vertical="center" shrinkToFit="1"/>
    </xf>
    <xf numFmtId="0" fontId="6" fillId="3" borderId="0" xfId="0" applyFont="1" applyFill="1" applyAlignment="1">
      <alignment vertical="center" wrapText="1"/>
    </xf>
    <xf numFmtId="0" fontId="6" fillId="5" borderId="0" xfId="0" applyFont="1" applyFill="1" applyAlignment="1">
      <alignment horizontal="center" vertical="center" shrinkToFit="1"/>
    </xf>
    <xf numFmtId="0" fontId="6" fillId="3" borderId="0" xfId="0" applyFont="1" applyFill="1" applyAlignment="1">
      <alignment vertical="center" shrinkToFit="1"/>
    </xf>
    <xf numFmtId="0" fontId="21" fillId="3" borderId="0" xfId="0" applyFont="1" applyFill="1" applyAlignment="1">
      <alignment horizontal="left" vertical="center" shrinkToFit="1"/>
    </xf>
    <xf numFmtId="0" fontId="6" fillId="3" borderId="6" xfId="0" applyFont="1" applyFill="1" applyBorder="1" applyAlignment="1">
      <alignment horizontal="center" vertical="center" shrinkToFit="1"/>
    </xf>
    <xf numFmtId="0" fontId="6" fillId="3" borderId="7" xfId="0" applyFont="1" applyFill="1" applyBorder="1" applyAlignment="1">
      <alignment horizontal="center" vertical="center" shrinkToFit="1"/>
    </xf>
    <xf numFmtId="0" fontId="6" fillId="3" borderId="8" xfId="0" applyFont="1" applyFill="1" applyBorder="1" applyAlignment="1">
      <alignment horizontal="center" vertical="center" shrinkToFit="1"/>
    </xf>
    <xf numFmtId="0" fontId="6" fillId="5" borderId="3" xfId="0" applyFont="1" applyFill="1" applyBorder="1" applyAlignment="1">
      <alignment vertical="top" wrapText="1"/>
    </xf>
    <xf numFmtId="0" fontId="6" fillId="5" borderId="4" xfId="0" applyFont="1" applyFill="1" applyBorder="1" applyAlignment="1">
      <alignment vertical="top" wrapText="1"/>
    </xf>
    <xf numFmtId="0" fontId="6" fillId="5" borderId="1" xfId="0" applyFont="1" applyFill="1" applyBorder="1" applyAlignment="1">
      <alignment vertical="top" wrapText="1"/>
    </xf>
    <xf numFmtId="0" fontId="6" fillId="5" borderId="17" xfId="0" applyFont="1" applyFill="1" applyBorder="1" applyAlignment="1">
      <alignment vertical="top" wrapText="1"/>
    </xf>
    <xf numFmtId="0" fontId="6" fillId="5" borderId="0" xfId="0" applyFont="1" applyFill="1" applyAlignment="1">
      <alignment vertical="top" wrapText="1"/>
    </xf>
    <xf numFmtId="0" fontId="6" fillId="5" borderId="27" xfId="0" applyFont="1" applyFill="1" applyBorder="1" applyAlignment="1">
      <alignment vertical="top" wrapText="1"/>
    </xf>
    <xf numFmtId="0" fontId="6" fillId="5" borderId="16" xfId="0" applyFont="1" applyFill="1" applyBorder="1" applyAlignment="1">
      <alignment vertical="top" wrapText="1"/>
    </xf>
    <xf numFmtId="0" fontId="6" fillId="5" borderId="5" xfId="0" applyFont="1" applyFill="1" applyBorder="1" applyAlignment="1">
      <alignment vertical="top" wrapText="1"/>
    </xf>
    <xf numFmtId="0" fontId="6" fillId="5" borderId="15" xfId="0" applyFont="1" applyFill="1" applyBorder="1" applyAlignment="1">
      <alignment vertical="top" wrapText="1"/>
    </xf>
    <xf numFmtId="0" fontId="6" fillId="3" borderId="3" xfId="0" applyFont="1" applyFill="1" applyBorder="1" applyAlignment="1">
      <alignment horizontal="center" vertical="center" shrinkToFit="1"/>
    </xf>
    <xf numFmtId="0" fontId="6" fillId="3" borderId="4" xfId="0" applyFont="1" applyFill="1" applyBorder="1" applyAlignment="1">
      <alignment horizontal="center" vertical="center" shrinkToFit="1"/>
    </xf>
    <xf numFmtId="0" fontId="6" fillId="3" borderId="1" xfId="0" applyFont="1" applyFill="1" applyBorder="1" applyAlignment="1">
      <alignment horizontal="center" vertical="center" shrinkToFit="1"/>
    </xf>
    <xf numFmtId="0" fontId="6" fillId="3" borderId="17" xfId="0" applyFont="1" applyFill="1" applyBorder="1" applyAlignment="1">
      <alignment horizontal="center" vertical="center" shrinkToFit="1"/>
    </xf>
    <xf numFmtId="0" fontId="6" fillId="3" borderId="27" xfId="0" applyFont="1" applyFill="1" applyBorder="1" applyAlignment="1">
      <alignment horizontal="center" vertical="center" shrinkToFit="1"/>
    </xf>
    <xf numFmtId="0" fontId="6" fillId="3" borderId="16" xfId="0" applyFont="1" applyFill="1" applyBorder="1" applyAlignment="1">
      <alignment horizontal="center" vertical="center" shrinkToFit="1"/>
    </xf>
    <xf numFmtId="0" fontId="6" fillId="3" borderId="5" xfId="0" applyFont="1" applyFill="1" applyBorder="1" applyAlignment="1">
      <alignment horizontal="center" vertical="center" shrinkToFit="1"/>
    </xf>
    <xf numFmtId="0" fontId="6" fillId="3" borderId="15" xfId="0" applyFont="1" applyFill="1" applyBorder="1" applyAlignment="1">
      <alignment horizontal="center" vertical="center" shrinkToFit="1"/>
    </xf>
    <xf numFmtId="0" fontId="6" fillId="3" borderId="4" xfId="0" applyFont="1" applyFill="1" applyBorder="1" applyAlignment="1">
      <alignment horizontal="center" vertical="center" wrapText="1" shrinkToFit="1"/>
    </xf>
    <xf numFmtId="0" fontId="6" fillId="4" borderId="4" xfId="0" applyFont="1" applyFill="1" applyBorder="1" applyAlignment="1">
      <alignment horizontal="center" vertical="center" shrinkToFit="1"/>
    </xf>
    <xf numFmtId="0" fontId="6" fillId="4" borderId="5" xfId="0" applyFont="1" applyFill="1" applyBorder="1" applyAlignment="1">
      <alignment horizontal="center" vertical="center" shrinkToFit="1"/>
    </xf>
    <xf numFmtId="0" fontId="6" fillId="3" borderId="1" xfId="0" applyFont="1" applyFill="1" applyBorder="1" applyAlignment="1">
      <alignment vertical="center" shrinkToFit="1"/>
    </xf>
    <xf numFmtId="0" fontId="6" fillId="3" borderId="27" xfId="0" applyFont="1" applyFill="1" applyBorder="1" applyAlignment="1">
      <alignment vertical="center" shrinkToFit="1"/>
    </xf>
    <xf numFmtId="0" fontId="6" fillId="3" borderId="15" xfId="0" applyFont="1" applyFill="1" applyBorder="1" applyAlignment="1">
      <alignment vertical="center" shrinkToFit="1"/>
    </xf>
    <xf numFmtId="0" fontId="6" fillId="3" borderId="25" xfId="0" applyFont="1" applyFill="1" applyBorder="1" applyAlignment="1">
      <alignment vertical="center" textRotation="255" shrinkToFit="1"/>
    </xf>
    <xf numFmtId="0" fontId="6" fillId="3" borderId="29" xfId="0" applyFont="1" applyFill="1" applyBorder="1" applyAlignment="1">
      <alignment vertical="center" textRotation="255" shrinkToFit="1"/>
    </xf>
    <xf numFmtId="0" fontId="6" fillId="3" borderId="28" xfId="0" applyFont="1" applyFill="1" applyBorder="1" applyAlignment="1">
      <alignment vertical="center" textRotation="255" shrinkToFit="1"/>
    </xf>
    <xf numFmtId="40" fontId="6" fillId="5" borderId="3" xfId="8" applyNumberFormat="1" applyFont="1" applyFill="1" applyBorder="1" applyAlignment="1">
      <alignment vertical="center" shrinkToFit="1"/>
    </xf>
    <xf numFmtId="40" fontId="6" fillId="5" borderId="4" xfId="8" applyNumberFormat="1" applyFont="1" applyFill="1" applyBorder="1" applyAlignment="1">
      <alignment vertical="center" shrinkToFit="1"/>
    </xf>
    <xf numFmtId="40" fontId="6" fillId="5" borderId="17" xfId="8" applyNumberFormat="1" applyFont="1" applyFill="1" applyBorder="1" applyAlignment="1">
      <alignment vertical="center" shrinkToFit="1"/>
    </xf>
    <xf numFmtId="40" fontId="6" fillId="5" borderId="0" xfId="8" applyNumberFormat="1" applyFont="1" applyFill="1" applyBorder="1" applyAlignment="1">
      <alignment vertical="center" shrinkToFit="1"/>
    </xf>
    <xf numFmtId="40" fontId="6" fillId="5" borderId="16" xfId="8" applyNumberFormat="1" applyFont="1" applyFill="1" applyBorder="1" applyAlignment="1">
      <alignment vertical="center" shrinkToFit="1"/>
    </xf>
    <xf numFmtId="40" fontId="6" fillId="5" borderId="5" xfId="8" applyNumberFormat="1" applyFont="1" applyFill="1" applyBorder="1" applyAlignment="1">
      <alignment vertical="center" shrinkToFit="1"/>
    </xf>
    <xf numFmtId="0" fontId="6" fillId="3" borderId="4" xfId="0" applyFont="1" applyFill="1" applyBorder="1" applyAlignment="1">
      <alignment horizontal="right" vertical="center" shrinkToFit="1"/>
    </xf>
    <xf numFmtId="0" fontId="6" fillId="3" borderId="1" xfId="0" applyFont="1" applyFill="1" applyBorder="1" applyAlignment="1">
      <alignment horizontal="right" vertical="center" shrinkToFit="1"/>
    </xf>
    <xf numFmtId="0" fontId="6" fillId="3" borderId="0" xfId="0" applyFont="1" applyFill="1" applyAlignment="1">
      <alignment horizontal="right" vertical="center" shrinkToFit="1"/>
    </xf>
    <xf numFmtId="0" fontId="6" fillId="3" borderId="27" xfId="0" applyFont="1" applyFill="1" applyBorder="1" applyAlignment="1">
      <alignment horizontal="right" vertical="center" shrinkToFit="1"/>
    </xf>
    <xf numFmtId="0" fontId="6" fillId="3" borderId="5" xfId="0" applyFont="1" applyFill="1" applyBorder="1" applyAlignment="1">
      <alignment horizontal="right" vertical="center" shrinkToFit="1"/>
    </xf>
    <xf numFmtId="0" fontId="6" fillId="3" borderId="15" xfId="0" applyFont="1" applyFill="1" applyBorder="1" applyAlignment="1">
      <alignment horizontal="right" vertical="center" shrinkToFit="1"/>
    </xf>
    <xf numFmtId="0" fontId="6" fillId="5" borderId="4" xfId="0" applyFont="1" applyFill="1" applyBorder="1" applyAlignment="1">
      <alignment horizontal="center" vertical="center" shrinkToFit="1"/>
    </xf>
    <xf numFmtId="0" fontId="6" fillId="5" borderId="5" xfId="0" applyFont="1" applyFill="1" applyBorder="1" applyAlignment="1">
      <alignment horizontal="center" vertical="center" shrinkToFit="1"/>
    </xf>
    <xf numFmtId="0" fontId="21" fillId="3" borderId="4" xfId="0" applyFont="1" applyFill="1" applyBorder="1" applyAlignment="1">
      <alignment horizontal="left" vertical="center"/>
    </xf>
    <xf numFmtId="0" fontId="21" fillId="3" borderId="3" xfId="0" applyFont="1" applyFill="1" applyBorder="1" applyAlignment="1">
      <alignment horizontal="center" vertical="center"/>
    </xf>
    <xf numFmtId="0" fontId="21" fillId="3" borderId="4" xfId="0" applyFont="1" applyFill="1" applyBorder="1" applyAlignment="1">
      <alignment horizontal="center" vertical="center"/>
    </xf>
    <xf numFmtId="0" fontId="21" fillId="3" borderId="17" xfId="0" applyFont="1" applyFill="1" applyBorder="1" applyAlignment="1">
      <alignment horizontal="center" vertical="center"/>
    </xf>
    <xf numFmtId="0" fontId="21" fillId="3" borderId="0" xfId="0" applyFont="1" applyFill="1" applyAlignment="1">
      <alignment horizontal="center" vertical="center"/>
    </xf>
    <xf numFmtId="181" fontId="21" fillId="5" borderId="4" xfId="8" applyNumberFormat="1" applyFont="1" applyFill="1" applyBorder="1" applyAlignment="1">
      <alignment horizontal="right" vertical="center" indent="1"/>
    </xf>
    <xf numFmtId="181" fontId="21" fillId="5" borderId="5" xfId="8" applyNumberFormat="1" applyFont="1" applyFill="1" applyBorder="1" applyAlignment="1">
      <alignment horizontal="right" vertical="center" indent="1"/>
    </xf>
    <xf numFmtId="0" fontId="21" fillId="3" borderId="1" xfId="0" applyFont="1" applyFill="1" applyBorder="1" applyAlignment="1">
      <alignment horizontal="left" vertical="center"/>
    </xf>
    <xf numFmtId="0" fontId="21" fillId="3" borderId="5" xfId="0" applyFont="1" applyFill="1" applyBorder="1" applyAlignment="1">
      <alignment horizontal="left" vertical="center"/>
    </xf>
    <xf numFmtId="0" fontId="21" fillId="3" borderId="15" xfId="0" applyFont="1" applyFill="1" applyBorder="1" applyAlignment="1">
      <alignment horizontal="left" vertical="center"/>
    </xf>
    <xf numFmtId="0" fontId="21" fillId="3" borderId="0" xfId="0" applyFont="1" applyFill="1" applyAlignment="1">
      <alignment horizontal="right" vertical="center"/>
    </xf>
    <xf numFmtId="0" fontId="21" fillId="3" borderId="27" xfId="0" applyFont="1" applyFill="1" applyBorder="1" applyAlignment="1">
      <alignment horizontal="right" vertical="center"/>
    </xf>
    <xf numFmtId="0" fontId="21" fillId="3" borderId="3" xfId="0" applyFont="1" applyFill="1" applyBorder="1" applyAlignment="1">
      <alignment vertical="center" textRotation="255"/>
    </xf>
    <xf numFmtId="0" fontId="21" fillId="3" borderId="4" xfId="0" applyFont="1" applyFill="1" applyBorder="1" applyAlignment="1">
      <alignment vertical="center"/>
    </xf>
    <xf numFmtId="0" fontId="21" fillId="3" borderId="1" xfId="0" applyFont="1" applyFill="1" applyBorder="1" applyAlignment="1">
      <alignment vertical="center"/>
    </xf>
    <xf numFmtId="0" fontId="21" fillId="3" borderId="17" xfId="0" applyFont="1" applyFill="1" applyBorder="1" applyAlignment="1">
      <alignment vertical="center"/>
    </xf>
    <xf numFmtId="0" fontId="21" fillId="3" borderId="0" xfId="0" applyFont="1" applyFill="1" applyAlignment="1">
      <alignment vertical="center"/>
    </xf>
    <xf numFmtId="0" fontId="21" fillId="3" borderId="27" xfId="0" applyFont="1" applyFill="1" applyBorder="1" applyAlignment="1">
      <alignment vertical="center"/>
    </xf>
    <xf numFmtId="0" fontId="21" fillId="3" borderId="16" xfId="0" applyFont="1" applyFill="1" applyBorder="1" applyAlignment="1">
      <alignment vertical="center"/>
    </xf>
    <xf numFmtId="0" fontId="21" fillId="3" borderId="5" xfId="0" applyFont="1" applyFill="1" applyBorder="1" applyAlignment="1">
      <alignment vertical="center"/>
    </xf>
    <xf numFmtId="0" fontId="21" fillId="3" borderId="15" xfId="0" applyFont="1" applyFill="1" applyBorder="1" applyAlignment="1">
      <alignment vertical="center"/>
    </xf>
    <xf numFmtId="0" fontId="21" fillId="3" borderId="1" xfId="0" applyFont="1" applyFill="1" applyBorder="1" applyAlignment="1">
      <alignment horizontal="center" vertical="center"/>
    </xf>
    <xf numFmtId="0" fontId="21" fillId="3" borderId="27" xfId="0" applyFont="1" applyFill="1" applyBorder="1" applyAlignment="1">
      <alignment horizontal="center" vertical="center"/>
    </xf>
    <xf numFmtId="0" fontId="21" fillId="3" borderId="5" xfId="0" applyFont="1" applyFill="1" applyBorder="1" applyAlignment="1">
      <alignment horizontal="center" vertical="center"/>
    </xf>
    <xf numFmtId="0" fontId="21" fillId="3" borderId="15" xfId="0" applyFont="1" applyFill="1" applyBorder="1" applyAlignment="1">
      <alignment horizontal="center" vertical="center"/>
    </xf>
    <xf numFmtId="0" fontId="21" fillId="3" borderId="2" xfId="0" applyFont="1" applyFill="1" applyBorder="1" applyAlignment="1">
      <alignment horizontal="center" vertical="center" textRotation="255"/>
    </xf>
    <xf numFmtId="0" fontId="21" fillId="3" borderId="25" xfId="0" applyFont="1" applyFill="1" applyBorder="1" applyAlignment="1">
      <alignment horizontal="center" vertical="center" textRotation="255"/>
    </xf>
    <xf numFmtId="0" fontId="21" fillId="3" borderId="2" xfId="0" applyFont="1" applyFill="1" applyBorder="1" applyAlignment="1">
      <alignment horizontal="center" vertical="center"/>
    </xf>
    <xf numFmtId="0" fontId="21" fillId="3" borderId="40" xfId="0" applyFont="1" applyFill="1" applyBorder="1" applyAlignment="1">
      <alignment horizontal="center" vertical="center"/>
    </xf>
    <xf numFmtId="38" fontId="21" fillId="5" borderId="3" xfId="8" applyFont="1" applyFill="1" applyBorder="1" applyAlignment="1">
      <alignment horizontal="right" vertical="center" indent="1"/>
    </xf>
    <xf numFmtId="38" fontId="21" fillId="5" borderId="4" xfId="8" applyFont="1" applyFill="1" applyBorder="1" applyAlignment="1">
      <alignment horizontal="right" vertical="center" indent="1"/>
    </xf>
    <xf numFmtId="38" fontId="21" fillId="5" borderId="50" xfId="8" applyFont="1" applyFill="1" applyBorder="1" applyAlignment="1">
      <alignment horizontal="right" vertical="center" indent="1"/>
    </xf>
    <xf numFmtId="38" fontId="21" fillId="5" borderId="42" xfId="8" applyFont="1" applyFill="1" applyBorder="1" applyAlignment="1">
      <alignment horizontal="right" vertical="center" indent="1"/>
    </xf>
    <xf numFmtId="0" fontId="21" fillId="3" borderId="28" xfId="0" applyFont="1" applyFill="1" applyBorder="1" applyAlignment="1">
      <alignment horizontal="center" vertical="center"/>
    </xf>
    <xf numFmtId="0" fontId="21" fillId="3" borderId="25" xfId="0" applyFont="1" applyFill="1" applyBorder="1" applyAlignment="1">
      <alignment horizontal="center" vertical="center"/>
    </xf>
    <xf numFmtId="38" fontId="21" fillId="5" borderId="17" xfId="8" applyFont="1" applyFill="1" applyBorder="1" applyAlignment="1">
      <alignment horizontal="right" vertical="center" indent="1"/>
    </xf>
    <xf numFmtId="38" fontId="21" fillId="5" borderId="0" xfId="8" applyFont="1" applyFill="1" applyBorder="1" applyAlignment="1">
      <alignment horizontal="right" vertical="center" indent="1"/>
    </xf>
    <xf numFmtId="0" fontId="21" fillId="3" borderId="3" xfId="0" applyFont="1" applyFill="1" applyBorder="1" applyAlignment="1">
      <alignment horizontal="center" vertical="center" wrapText="1"/>
    </xf>
    <xf numFmtId="0" fontId="21" fillId="3" borderId="16" xfId="0" applyFont="1" applyFill="1" applyBorder="1" applyAlignment="1">
      <alignment horizontal="center" vertical="center"/>
    </xf>
    <xf numFmtId="0" fontId="21" fillId="5" borderId="3" xfId="0" applyFont="1" applyFill="1" applyBorder="1" applyAlignment="1">
      <alignment horizontal="left" vertical="top" wrapText="1"/>
    </xf>
    <xf numFmtId="0" fontId="21" fillId="5" borderId="4" xfId="0" applyFont="1" applyFill="1" applyBorder="1" applyAlignment="1">
      <alignment horizontal="left" vertical="top" wrapText="1"/>
    </xf>
    <xf numFmtId="0" fontId="21" fillId="5" borderId="1" xfId="0" applyFont="1" applyFill="1" applyBorder="1" applyAlignment="1">
      <alignment horizontal="left" vertical="top" wrapText="1"/>
    </xf>
    <xf numFmtId="0" fontId="21" fillId="5" borderId="17" xfId="0" applyFont="1" applyFill="1" applyBorder="1" applyAlignment="1">
      <alignment horizontal="left" vertical="top" wrapText="1"/>
    </xf>
    <xf numFmtId="0" fontId="21" fillId="5" borderId="0" xfId="0" applyFont="1" applyFill="1" applyAlignment="1">
      <alignment horizontal="left" vertical="top" wrapText="1"/>
    </xf>
    <xf numFmtId="0" fontId="21" fillId="5" borderId="27" xfId="0" applyFont="1" applyFill="1" applyBorder="1" applyAlignment="1">
      <alignment horizontal="left" vertical="top" wrapText="1"/>
    </xf>
    <xf numFmtId="0" fontId="21" fillId="5" borderId="16" xfId="0" applyFont="1" applyFill="1" applyBorder="1" applyAlignment="1">
      <alignment horizontal="left" vertical="top" wrapText="1"/>
    </xf>
    <xf numFmtId="0" fontId="21" fillId="5" borderId="5" xfId="0" applyFont="1" applyFill="1" applyBorder="1" applyAlignment="1">
      <alignment horizontal="left" vertical="top" wrapText="1"/>
    </xf>
    <xf numFmtId="0" fontId="21" fillId="5" borderId="15" xfId="0" applyFont="1" applyFill="1" applyBorder="1" applyAlignment="1">
      <alignment horizontal="left" vertical="top" wrapText="1"/>
    </xf>
    <xf numFmtId="0" fontId="21" fillId="3" borderId="4" xfId="0" applyFont="1" applyFill="1" applyBorder="1" applyAlignment="1">
      <alignment horizontal="right" vertical="center"/>
    </xf>
    <xf numFmtId="0" fontId="21" fillId="3" borderId="1" xfId="0" applyFont="1" applyFill="1" applyBorder="1" applyAlignment="1">
      <alignment horizontal="right" vertical="center"/>
    </xf>
    <xf numFmtId="0" fontId="21" fillId="3" borderId="42" xfId="0" applyFont="1" applyFill="1" applyBorder="1" applyAlignment="1">
      <alignment horizontal="right" vertical="center"/>
    </xf>
    <xf numFmtId="0" fontId="21" fillId="3" borderId="53" xfId="0" applyFont="1" applyFill="1" applyBorder="1" applyAlignment="1">
      <alignment horizontal="right" vertical="center"/>
    </xf>
    <xf numFmtId="38" fontId="21" fillId="5" borderId="16" xfId="8" applyFont="1" applyFill="1" applyBorder="1" applyAlignment="1">
      <alignment horizontal="right" vertical="center" indent="1"/>
    </xf>
    <xf numFmtId="38" fontId="21" fillId="5" borderId="5" xfId="8" applyFont="1" applyFill="1" applyBorder="1" applyAlignment="1">
      <alignment horizontal="right" vertical="center" indent="1"/>
    </xf>
    <xf numFmtId="0" fontId="21" fillId="3" borderId="4" xfId="0" applyFont="1" applyFill="1" applyBorder="1" applyAlignment="1">
      <alignment horizontal="center" vertical="center" wrapText="1"/>
    </xf>
    <xf numFmtId="0" fontId="21" fillId="3" borderId="5" xfId="0" applyFont="1" applyFill="1" applyBorder="1" applyAlignment="1">
      <alignment horizontal="right" vertical="center"/>
    </xf>
    <xf numFmtId="0" fontId="21" fillId="3" borderId="15" xfId="0" applyFont="1" applyFill="1" applyBorder="1" applyAlignment="1">
      <alignment horizontal="right" vertical="center"/>
    </xf>
    <xf numFmtId="0" fontId="21" fillId="3" borderId="8" xfId="0" applyFont="1" applyFill="1" applyBorder="1" applyAlignment="1">
      <alignment horizontal="center" vertical="center" textRotation="255"/>
    </xf>
    <xf numFmtId="0" fontId="21" fillId="3" borderId="6" xfId="0" applyFont="1" applyFill="1" applyBorder="1" applyAlignment="1">
      <alignment horizontal="center" vertical="center"/>
    </xf>
    <xf numFmtId="0" fontId="21" fillId="3" borderId="32" xfId="0" applyFont="1" applyFill="1" applyBorder="1" applyAlignment="1">
      <alignment horizontal="center" vertical="center"/>
    </xf>
    <xf numFmtId="0" fontId="25" fillId="3" borderId="0" xfId="0" applyFont="1" applyFill="1" applyAlignment="1">
      <alignment horizontal="center" vertical="center" wrapText="1"/>
    </xf>
    <xf numFmtId="0" fontId="21" fillId="3" borderId="1"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0" xfId="0" applyFont="1" applyFill="1" applyAlignment="1">
      <alignment horizontal="center" vertical="center" wrapText="1"/>
    </xf>
    <xf numFmtId="0" fontId="21" fillId="3" borderId="27" xfId="0" applyFont="1" applyFill="1" applyBorder="1" applyAlignment="1">
      <alignment horizontal="center" vertical="center" wrapText="1"/>
    </xf>
    <xf numFmtId="0" fontId="21" fillId="3" borderId="16" xfId="0" applyFont="1" applyFill="1" applyBorder="1" applyAlignment="1">
      <alignment horizontal="center" vertical="center" wrapText="1"/>
    </xf>
    <xf numFmtId="0" fontId="21" fillId="3" borderId="5" xfId="0" applyFont="1" applyFill="1" applyBorder="1" applyAlignment="1">
      <alignment horizontal="center" vertical="center" wrapText="1"/>
    </xf>
    <xf numFmtId="0" fontId="21" fillId="3" borderId="15" xfId="0" applyFont="1" applyFill="1" applyBorder="1" applyAlignment="1">
      <alignment horizontal="center" vertical="center" wrapText="1"/>
    </xf>
    <xf numFmtId="0" fontId="6" fillId="3" borderId="3" xfId="0" applyFont="1" applyFill="1" applyBorder="1" applyAlignment="1">
      <alignment horizontal="distributed" vertical="center" shrinkToFit="1"/>
    </xf>
    <xf numFmtId="0" fontId="6" fillId="3" borderId="4" xfId="0" applyFont="1" applyFill="1" applyBorder="1" applyAlignment="1">
      <alignment horizontal="distributed" vertical="center" shrinkToFit="1"/>
    </xf>
    <xf numFmtId="0" fontId="6" fillId="3" borderId="1" xfId="0" applyFont="1" applyFill="1" applyBorder="1" applyAlignment="1">
      <alignment horizontal="distributed" vertical="center" shrinkToFit="1"/>
    </xf>
    <xf numFmtId="0" fontId="6" fillId="3" borderId="17" xfId="0" applyFont="1" applyFill="1" applyBorder="1" applyAlignment="1">
      <alignment horizontal="distributed" vertical="center" shrinkToFit="1"/>
    </xf>
    <xf numFmtId="0" fontId="6" fillId="3" borderId="0" xfId="0" applyFont="1" applyFill="1" applyAlignment="1">
      <alignment horizontal="distributed" vertical="center" shrinkToFit="1"/>
    </xf>
    <xf numFmtId="0" fontId="6" fillId="3" borderId="27" xfId="0" applyFont="1" applyFill="1" applyBorder="1" applyAlignment="1">
      <alignment horizontal="distributed" vertical="center" shrinkToFit="1"/>
    </xf>
    <xf numFmtId="0" fontId="6" fillId="3" borderId="16" xfId="0" applyFont="1" applyFill="1" applyBorder="1" applyAlignment="1">
      <alignment horizontal="distributed" vertical="center" shrinkToFit="1"/>
    </xf>
    <xf numFmtId="0" fontId="6" fillId="3" borderId="5" xfId="0" applyFont="1" applyFill="1" applyBorder="1" applyAlignment="1">
      <alignment horizontal="distributed" vertical="center" shrinkToFit="1"/>
    </xf>
    <xf numFmtId="0" fontId="6" fillId="3" borderId="15" xfId="0" applyFont="1" applyFill="1" applyBorder="1" applyAlignment="1">
      <alignment horizontal="distributed" vertical="center" shrinkToFit="1"/>
    </xf>
    <xf numFmtId="40" fontId="6" fillId="5" borderId="0" xfId="8" applyNumberFormat="1" applyFont="1" applyFill="1" applyBorder="1" applyAlignment="1">
      <alignment horizontal="center" vertical="center" shrinkToFit="1"/>
    </xf>
    <xf numFmtId="0" fontId="6" fillId="3" borderId="3" xfId="0" applyFont="1" applyFill="1" applyBorder="1" applyAlignment="1">
      <alignment horizontal="distributed" vertical="center" wrapText="1"/>
    </xf>
    <xf numFmtId="0" fontId="6" fillId="3" borderId="4" xfId="0" applyFont="1" applyFill="1" applyBorder="1" applyAlignment="1">
      <alignment horizontal="distributed" vertical="center" wrapText="1"/>
    </xf>
    <xf numFmtId="0" fontId="6" fillId="3" borderId="1" xfId="0" applyFont="1" applyFill="1" applyBorder="1" applyAlignment="1">
      <alignment horizontal="distributed" vertical="center" wrapText="1"/>
    </xf>
    <xf numFmtId="0" fontId="6" fillId="3" borderId="3" xfId="0" applyFont="1" applyFill="1" applyBorder="1" applyAlignment="1">
      <alignment horizontal="center" vertical="center" wrapText="1" shrinkToFit="1"/>
    </xf>
    <xf numFmtId="0" fontId="6" fillId="3" borderId="17" xfId="0" applyFont="1" applyFill="1" applyBorder="1" applyAlignment="1">
      <alignment horizontal="distributed" vertical="center" wrapText="1"/>
    </xf>
    <xf numFmtId="0" fontId="6" fillId="3" borderId="0" xfId="0" applyFont="1" applyFill="1" applyAlignment="1">
      <alignment horizontal="distributed" vertical="center" wrapText="1"/>
    </xf>
    <xf numFmtId="0" fontId="6" fillId="3" borderId="27" xfId="0" applyFont="1" applyFill="1" applyBorder="1" applyAlignment="1">
      <alignment horizontal="distributed" vertical="center" wrapText="1"/>
    </xf>
    <xf numFmtId="0" fontId="6" fillId="0" borderId="2" xfId="0" applyFont="1" applyBorder="1" applyAlignment="1">
      <alignment horizontal="left" shrinkToFit="1"/>
    </xf>
    <xf numFmtId="0" fontId="6" fillId="0" borderId="15" xfId="0" applyFont="1" applyBorder="1" applyAlignment="1">
      <alignment horizontal="center" wrapText="1"/>
    </xf>
    <xf numFmtId="0" fontId="6" fillId="0" borderId="3" xfId="0" applyFont="1" applyBorder="1" applyAlignment="1">
      <alignment horizontal="center" wrapText="1"/>
    </xf>
    <xf numFmtId="0" fontId="6" fillId="0" borderId="1" xfId="0" applyFont="1" applyBorder="1" applyAlignment="1">
      <alignment horizontal="center" wrapText="1"/>
    </xf>
    <xf numFmtId="0" fontId="6" fillId="0" borderId="17" xfId="0" applyFont="1" applyBorder="1" applyAlignment="1">
      <alignment horizontal="center" wrapText="1"/>
    </xf>
    <xf numFmtId="0" fontId="6" fillId="0" borderId="0" xfId="0" applyFont="1" applyAlignment="1">
      <alignment horizontal="center" wrapText="1"/>
    </xf>
    <xf numFmtId="0" fontId="6" fillId="0" borderId="27" xfId="0" applyFont="1" applyBorder="1" applyAlignment="1">
      <alignment horizontal="center" wrapText="1"/>
    </xf>
    <xf numFmtId="0" fontId="6" fillId="0" borderId="16" xfId="0" applyFont="1" applyBorder="1" applyAlignment="1">
      <alignment horizontal="center" wrapText="1"/>
    </xf>
    <xf numFmtId="0" fontId="6" fillId="0" borderId="7" xfId="0" applyFont="1" applyBorder="1" applyAlignment="1">
      <alignment horizontal="left" vertical="top"/>
    </xf>
    <xf numFmtId="0" fontId="10" fillId="0" borderId="7" xfId="0" applyFont="1" applyBorder="1" applyAlignment="1">
      <alignment horizontal="left" vertical="top"/>
    </xf>
    <xf numFmtId="0" fontId="10" fillId="0" borderId="116" xfId="0" applyFont="1" applyBorder="1" applyAlignment="1">
      <alignment horizontal="left" vertical="top"/>
    </xf>
    <xf numFmtId="0" fontId="6" fillId="0" borderId="23" xfId="0" applyFont="1" applyBorder="1" applyAlignment="1">
      <alignment horizontal="left" vertical="top"/>
    </xf>
    <xf numFmtId="0" fontId="6" fillId="0" borderId="119" xfId="0" applyFont="1" applyBorder="1" applyAlignment="1">
      <alignment horizontal="left" vertical="top"/>
    </xf>
    <xf numFmtId="0" fontId="6" fillId="0" borderId="3" xfId="0" applyFont="1" applyBorder="1" applyAlignment="1">
      <alignment horizontal="center" shrinkToFit="1"/>
    </xf>
    <xf numFmtId="0" fontId="6" fillId="0" borderId="4" xfId="0" applyFont="1" applyBorder="1" applyAlignment="1">
      <alignment horizontal="center" shrinkToFit="1"/>
    </xf>
    <xf numFmtId="0" fontId="6" fillId="0" borderId="1" xfId="0" applyFont="1" applyBorder="1" applyAlignment="1">
      <alignment horizontal="center" shrinkToFit="1"/>
    </xf>
    <xf numFmtId="0" fontId="6" fillId="0" borderId="16" xfId="0" applyFont="1" applyBorder="1" applyAlignment="1">
      <alignment horizontal="center"/>
    </xf>
    <xf numFmtId="0" fontId="6" fillId="0" borderId="5" xfId="0" applyFont="1" applyBorder="1" applyAlignment="1">
      <alignment horizontal="center"/>
    </xf>
    <xf numFmtId="0" fontId="6" fillId="0" borderId="15" xfId="0" applyFont="1" applyBorder="1" applyAlignment="1">
      <alignment horizontal="center"/>
    </xf>
    <xf numFmtId="0" fontId="6" fillId="0" borderId="16" xfId="0" applyFont="1" applyBorder="1" applyAlignment="1">
      <alignment horizontal="center" shrinkToFit="1"/>
    </xf>
    <xf numFmtId="0" fontId="6" fillId="0" borderId="5" xfId="0" applyFont="1" applyBorder="1" applyAlignment="1">
      <alignment horizontal="center" shrinkToFit="1"/>
    </xf>
    <xf numFmtId="0" fontId="6" fillId="0" borderId="15" xfId="0" applyFont="1" applyBorder="1" applyAlignment="1">
      <alignment horizontal="center" shrinkToFit="1"/>
    </xf>
    <xf numFmtId="0" fontId="6" fillId="0" borderId="116" xfId="0" applyFont="1" applyBorder="1" applyAlignment="1">
      <alignment horizontal="left" vertical="top"/>
    </xf>
    <xf numFmtId="0" fontId="6" fillId="0" borderId="4" xfId="0" applyFont="1" applyBorder="1" applyAlignment="1">
      <alignment horizontal="left" vertical="top"/>
    </xf>
    <xf numFmtId="0" fontId="10" fillId="0" borderId="4" xfId="0" applyFont="1" applyBorder="1" applyAlignment="1">
      <alignment horizontal="left" vertical="top"/>
    </xf>
    <xf numFmtId="0" fontId="10" fillId="0" borderId="117" xfId="0" applyFont="1" applyBorder="1" applyAlignment="1">
      <alignment horizontal="left" vertical="top"/>
    </xf>
    <xf numFmtId="0" fontId="6" fillId="0" borderId="20" xfId="0" applyFont="1" applyBorder="1" applyAlignment="1">
      <alignment horizontal="center" wrapText="1"/>
    </xf>
    <xf numFmtId="0" fontId="6" fillId="0" borderId="118" xfId="0" applyFont="1" applyBorder="1" applyAlignment="1">
      <alignment horizontal="center" wrapText="1"/>
    </xf>
    <xf numFmtId="0" fontId="6" fillId="0" borderId="3" xfId="0" applyFont="1" applyBorder="1" applyAlignment="1">
      <alignment horizontal="left"/>
    </xf>
    <xf numFmtId="0" fontId="6" fillId="0" borderId="4" xfId="0" applyFont="1" applyBorder="1" applyAlignment="1">
      <alignment horizontal="left"/>
    </xf>
    <xf numFmtId="0" fontId="6" fillId="0" borderId="1" xfId="0" applyFont="1" applyBorder="1" applyAlignment="1">
      <alignment horizontal="left"/>
    </xf>
    <xf numFmtId="0" fontId="6" fillId="0" borderId="3" xfId="0" applyFont="1" applyBorder="1" applyAlignment="1">
      <alignment horizontal="center"/>
    </xf>
    <xf numFmtId="0" fontId="6" fillId="0" borderId="4" xfId="0" applyFont="1" applyBorder="1" applyAlignment="1">
      <alignment horizontal="center"/>
    </xf>
    <xf numFmtId="0" fontId="6" fillId="0" borderId="1" xfId="0" applyFont="1" applyBorder="1" applyAlignment="1">
      <alignment horizontal="center"/>
    </xf>
    <xf numFmtId="0" fontId="6" fillId="0" borderId="2" xfId="0" applyFont="1" applyBorder="1" applyAlignment="1">
      <alignment horizontal="center" wrapText="1"/>
    </xf>
    <xf numFmtId="0" fontId="6" fillId="0" borderId="3" xfId="0" applyFont="1" applyBorder="1" applyAlignment="1">
      <alignment horizontal="justify" vertical="center" wrapText="1"/>
    </xf>
    <xf numFmtId="0" fontId="6" fillId="0" borderId="4" xfId="0" applyFont="1" applyBorder="1" applyAlignment="1">
      <alignment horizontal="justify" vertical="center" wrapText="1"/>
    </xf>
    <xf numFmtId="0" fontId="6" fillId="0" borderId="1" xfId="0" applyFont="1" applyBorder="1" applyAlignment="1">
      <alignment horizontal="justify" vertical="center" wrapText="1"/>
    </xf>
    <xf numFmtId="0" fontId="6" fillId="0" borderId="17" xfId="0" applyFont="1" applyBorder="1" applyAlignment="1">
      <alignment horizontal="justify" vertical="center" wrapText="1"/>
    </xf>
    <xf numFmtId="0" fontId="6" fillId="0" borderId="27" xfId="0" applyFont="1" applyBorder="1" applyAlignment="1">
      <alignment horizontal="justify" vertical="center" wrapText="1"/>
    </xf>
    <xf numFmtId="0" fontId="6" fillId="0" borderId="12" xfId="0" applyFont="1" applyBorder="1" applyAlignment="1">
      <alignment horizontal="justify" vertical="center" wrapText="1"/>
    </xf>
    <xf numFmtId="0" fontId="6" fillId="0" borderId="13" xfId="0" applyFont="1" applyBorder="1" applyAlignment="1">
      <alignment horizontal="justify" vertical="center" wrapText="1"/>
    </xf>
    <xf numFmtId="0" fontId="6" fillId="0" borderId="14" xfId="0" applyFont="1" applyBorder="1" applyAlignment="1">
      <alignment horizontal="justify" vertical="center" wrapText="1"/>
    </xf>
    <xf numFmtId="0" fontId="10" fillId="0" borderId="2" xfId="0" applyFont="1" applyBorder="1" applyAlignment="1">
      <alignment horizontal="left" vertical="center" wrapText="1"/>
    </xf>
    <xf numFmtId="0" fontId="10" fillId="0" borderId="25" xfId="0" applyFont="1" applyBorder="1" applyAlignment="1">
      <alignment horizontal="left" vertical="center" wrapText="1"/>
    </xf>
    <xf numFmtId="0" fontId="6" fillId="0" borderId="6" xfId="0" applyFont="1" applyBorder="1" applyAlignment="1">
      <alignment horizontal="left" shrinkToFit="1"/>
    </xf>
    <xf numFmtId="0" fontId="6" fillId="0" borderId="8" xfId="0" applyFont="1" applyBorder="1" applyAlignment="1">
      <alignment horizontal="left" shrinkToFit="1"/>
    </xf>
    <xf numFmtId="0" fontId="6" fillId="0" borderId="7" xfId="0" applyFont="1" applyBorder="1" applyAlignment="1">
      <alignment horizontal="justify" wrapText="1"/>
    </xf>
    <xf numFmtId="0" fontId="10" fillId="0" borderId="4" xfId="0" applyFont="1" applyBorder="1" applyAlignment="1">
      <alignment horizontal="left" vertical="center" wrapText="1"/>
    </xf>
    <xf numFmtId="0" fontId="10" fillId="0" borderId="2" xfId="0" applyFont="1" applyBorder="1" applyAlignment="1">
      <alignment horizontal="left" wrapText="1"/>
    </xf>
    <xf numFmtId="0" fontId="10" fillId="0" borderId="6" xfId="0" applyFont="1" applyBorder="1" applyAlignment="1">
      <alignment horizontal="left" wrapText="1"/>
    </xf>
    <xf numFmtId="0" fontId="132" fillId="0" borderId="0" xfId="0" applyFont="1" applyAlignment="1">
      <alignment horizontal="left" vertical="center"/>
    </xf>
    <xf numFmtId="0" fontId="84" fillId="0" borderId="0" xfId="0" applyFont="1"/>
    <xf numFmtId="0" fontId="84" fillId="0" borderId="0" xfId="0" applyFont="1" applyAlignment="1">
      <alignment horizontal="center"/>
    </xf>
    <xf numFmtId="0" fontId="75" fillId="0" borderId="13" xfId="0" applyFont="1" applyBorder="1" applyAlignment="1" applyProtection="1">
      <alignment horizontal="center" vertical="center"/>
      <protection locked="0"/>
    </xf>
    <xf numFmtId="0" fontId="75" fillId="0" borderId="12" xfId="0" applyFont="1" applyBorder="1" applyAlignment="1" applyProtection="1">
      <alignment horizontal="center" vertical="center"/>
      <protection locked="0"/>
    </xf>
    <xf numFmtId="0" fontId="75" fillId="0" borderId="15" xfId="0" applyFont="1" applyBorder="1" applyAlignment="1">
      <alignment vertical="center"/>
    </xf>
    <xf numFmtId="0" fontId="75" fillId="0" borderId="135" xfId="0" applyFont="1" applyBorder="1" applyAlignment="1" applyProtection="1">
      <alignment horizontal="center" vertical="center"/>
      <protection locked="0"/>
    </xf>
    <xf numFmtId="0" fontId="75" fillId="0" borderId="134" xfId="0" applyFont="1" applyBorder="1" applyAlignment="1" applyProtection="1">
      <alignment horizontal="center" vertical="center"/>
      <protection locked="0"/>
    </xf>
    <xf numFmtId="0" fontId="75" fillId="0" borderId="27" xfId="0" applyFont="1" applyBorder="1" applyAlignment="1">
      <alignment vertical="center"/>
    </xf>
    <xf numFmtId="0" fontId="75" fillId="0" borderId="139" xfId="0" applyFont="1" applyBorder="1" applyAlignment="1" applyProtection="1">
      <alignment horizontal="center" vertical="center"/>
      <protection locked="0"/>
    </xf>
    <xf numFmtId="0" fontId="75" fillId="0" borderId="138" xfId="0" applyFont="1" applyBorder="1" applyAlignment="1" applyProtection="1">
      <alignment horizontal="center" vertical="center"/>
      <protection locked="0"/>
    </xf>
    <xf numFmtId="0" fontId="133" fillId="0" borderId="140" xfId="0" applyFont="1" applyBorder="1" applyAlignment="1">
      <alignment horizontal="left" vertical="center"/>
    </xf>
    <xf numFmtId="0" fontId="133" fillId="0" borderId="139" xfId="0" applyFont="1" applyBorder="1" applyAlignment="1">
      <alignment horizontal="left" vertical="center"/>
    </xf>
    <xf numFmtId="0" fontId="75" fillId="0" borderId="17" xfId="0" applyFont="1" applyBorder="1" applyAlignment="1" applyProtection="1">
      <alignment horizontal="center" vertical="center"/>
      <protection locked="0"/>
    </xf>
    <xf numFmtId="0" fontId="75" fillId="0" borderId="135" xfId="0" applyFont="1" applyBorder="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84" fillId="0" borderId="140" xfId="0" applyFont="1" applyBorder="1" applyAlignment="1">
      <alignment vertical="top"/>
    </xf>
    <xf numFmtId="0" fontId="75" fillId="0" borderId="128" xfId="0" applyFont="1" applyBorder="1" applyAlignment="1" applyProtection="1">
      <alignment horizontal="center" vertical="center"/>
      <protection locked="0"/>
    </xf>
    <xf numFmtId="0" fontId="75" fillId="0" borderId="127" xfId="0" applyFont="1" applyBorder="1" applyAlignment="1" applyProtection="1">
      <alignment horizontal="center" vertical="center"/>
      <protection locked="0"/>
    </xf>
    <xf numFmtId="0" fontId="84" fillId="0" borderId="5" xfId="0" applyFont="1" applyBorder="1" applyAlignment="1">
      <alignment vertical="center"/>
    </xf>
    <xf numFmtId="0" fontId="75" fillId="0" borderId="5" xfId="0" applyFont="1" applyBorder="1" applyAlignment="1">
      <alignment vertical="center"/>
    </xf>
    <xf numFmtId="0" fontId="75" fillId="0" borderId="5"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4" fillId="0" borderId="28" xfId="0" applyFont="1" applyBorder="1" applyAlignment="1">
      <alignment horizontal="left" vertical="center" wrapText="1"/>
    </xf>
    <xf numFmtId="0" fontId="75" fillId="0" borderId="135" xfId="0" applyFont="1" applyBorder="1" applyAlignment="1" applyProtection="1">
      <alignment horizontal="center" vertical="center"/>
      <protection locked="0"/>
    </xf>
    <xf numFmtId="0" fontId="75" fillId="0" borderId="134" xfId="0" applyFont="1" applyBorder="1" applyAlignment="1" applyProtection="1">
      <alignment horizontal="center" vertical="center"/>
      <protection locked="0"/>
    </xf>
    <xf numFmtId="0" fontId="75" fillId="0" borderId="0" xfId="0" applyFont="1" applyAlignment="1" applyProtection="1">
      <alignment horizontal="center" vertical="center"/>
      <protection locked="0"/>
    </xf>
    <xf numFmtId="0" fontId="75" fillId="0" borderId="17" xfId="0" applyFont="1" applyBorder="1" applyAlignment="1" applyProtection="1">
      <alignment horizontal="center" vertical="center"/>
      <protection locked="0"/>
    </xf>
    <xf numFmtId="0" fontId="133" fillId="0" borderId="139" xfId="0" applyFont="1" applyBorder="1" applyAlignment="1">
      <alignment vertical="center"/>
    </xf>
    <xf numFmtId="0" fontId="134" fillId="0" borderId="139" xfId="0" applyFont="1" applyBorder="1" applyAlignment="1">
      <alignment horizontal="center" vertical="center"/>
    </xf>
    <xf numFmtId="0" fontId="75" fillId="0" borderId="120" xfId="0" applyFont="1" applyBorder="1" applyAlignment="1" applyProtection="1">
      <alignment horizontal="center" vertical="center" wrapText="1"/>
      <protection locked="0"/>
    </xf>
    <xf numFmtId="0" fontId="75" fillId="0" borderId="136" xfId="0" applyFont="1" applyBorder="1" applyAlignment="1">
      <alignment vertical="center"/>
    </xf>
    <xf numFmtId="0" fontId="89" fillId="10" borderId="140" xfId="0" applyFont="1" applyFill="1" applyBorder="1" applyAlignment="1">
      <alignment vertical="top"/>
    </xf>
    <xf numFmtId="0" fontId="135" fillId="10" borderId="139" xfId="0" applyFont="1" applyFill="1" applyBorder="1" applyAlignment="1">
      <alignment horizontal="left" vertical="center"/>
    </xf>
    <xf numFmtId="0" fontId="89" fillId="10" borderId="139" xfId="0" applyFont="1" applyFill="1" applyBorder="1" applyAlignment="1">
      <alignment vertical="top"/>
    </xf>
    <xf numFmtId="0" fontId="89" fillId="10" borderId="139" xfId="0" applyFont="1" applyFill="1" applyBorder="1" applyAlignment="1">
      <alignment vertical="center"/>
    </xf>
    <xf numFmtId="0" fontId="135" fillId="10" borderId="139" xfId="0" applyFont="1" applyFill="1" applyBorder="1" applyAlignment="1">
      <alignment horizontal="center" vertical="center"/>
    </xf>
    <xf numFmtId="0" fontId="135" fillId="0" borderId="139" xfId="0" applyFont="1" applyBorder="1" applyAlignment="1" applyProtection="1">
      <alignment horizontal="center" vertical="center"/>
      <protection locked="0"/>
    </xf>
    <xf numFmtId="0" fontId="89" fillId="10" borderId="139" xfId="0" applyFont="1" applyFill="1" applyBorder="1" applyAlignment="1">
      <alignment horizontal="left" vertical="center" wrapText="1"/>
    </xf>
    <xf numFmtId="0" fontId="135" fillId="10" borderId="139" xfId="0" applyFont="1" applyFill="1" applyBorder="1" applyAlignment="1">
      <alignment vertical="center"/>
    </xf>
    <xf numFmtId="0" fontId="135" fillId="0" borderId="138" xfId="0" applyFont="1" applyBorder="1" applyAlignment="1" applyProtection="1">
      <alignment horizontal="center" vertical="center"/>
      <protection locked="0"/>
    </xf>
    <xf numFmtId="0" fontId="89" fillId="10" borderId="138" xfId="0" applyFont="1" applyFill="1" applyBorder="1" applyAlignment="1">
      <alignment vertical="center"/>
    </xf>
    <xf numFmtId="0" fontId="84" fillId="0" borderId="129" xfId="0" applyFont="1" applyBorder="1" applyAlignment="1">
      <alignment vertical="center"/>
    </xf>
    <xf numFmtId="0" fontId="75" fillId="0" borderId="27" xfId="0" applyFont="1" applyBorder="1" applyAlignment="1">
      <alignment horizontal="left" vertical="center"/>
    </xf>
    <xf numFmtId="0" fontId="75" fillId="0" borderId="0" xfId="0" applyFont="1" applyAlignment="1">
      <alignment horizontal="left" vertical="center"/>
    </xf>
    <xf numFmtId="0" fontId="84" fillId="0" borderId="29" xfId="0" applyFont="1" applyBorder="1" applyAlignment="1">
      <alignment vertical="center" wrapText="1"/>
    </xf>
    <xf numFmtId="0" fontId="84" fillId="0" borderId="131" xfId="0" applyFont="1" applyBorder="1" applyAlignment="1">
      <alignment vertical="center" wrapText="1"/>
    </xf>
    <xf numFmtId="0" fontId="84" fillId="0" borderId="133" xfId="0" applyFont="1" applyBorder="1" applyAlignment="1">
      <alignment vertical="center" wrapText="1"/>
    </xf>
    <xf numFmtId="0" fontId="84" fillId="0" borderId="133" xfId="0" applyFont="1" applyBorder="1" applyAlignment="1">
      <alignment vertical="center" wrapText="1" shrinkToFit="1"/>
    </xf>
    <xf numFmtId="0" fontId="135" fillId="10" borderId="252" xfId="0" applyFont="1" applyFill="1" applyBorder="1" applyAlignment="1">
      <alignment horizontal="left" vertical="center"/>
    </xf>
    <xf numFmtId="0" fontId="135" fillId="10" borderId="135" xfId="0" applyFont="1" applyFill="1" applyBorder="1" applyAlignment="1">
      <alignment horizontal="left" vertical="center"/>
    </xf>
    <xf numFmtId="0" fontId="135" fillId="10" borderId="251" xfId="0" applyFont="1" applyFill="1" applyBorder="1" applyAlignment="1">
      <alignment horizontal="left" vertical="center"/>
    </xf>
    <xf numFmtId="0" fontId="75" fillId="0" borderId="15" xfId="0" applyFont="1" applyBorder="1" applyAlignment="1">
      <alignment horizontal="left" vertical="center"/>
    </xf>
    <xf numFmtId="0" fontId="75" fillId="0" borderId="5" xfId="0" applyFont="1" applyBorder="1" applyAlignment="1">
      <alignment horizontal="left" vertical="center"/>
    </xf>
    <xf numFmtId="0" fontId="84" fillId="0" borderId="135" xfId="0" applyFont="1" applyBorder="1" applyAlignment="1" applyProtection="1">
      <alignment horizontal="center" vertical="center" wrapText="1"/>
      <protection locked="0"/>
    </xf>
    <xf numFmtId="0" fontId="84" fillId="0" borderId="120" xfId="0" applyFont="1" applyBorder="1" applyAlignment="1" applyProtection="1">
      <alignment horizontal="center" vertical="center" wrapText="1"/>
      <protection locked="0"/>
    </xf>
    <xf numFmtId="0" fontId="84" fillId="0" borderId="137" xfId="0" applyFont="1" applyBorder="1" applyAlignment="1">
      <alignment vertical="center"/>
    </xf>
    <xf numFmtId="0" fontId="75" fillId="0" borderId="136" xfId="0" applyFont="1" applyBorder="1" applyAlignment="1">
      <alignment horizontal="center" vertical="center"/>
    </xf>
    <xf numFmtId="0" fontId="75" fillId="0" borderId="121" xfId="0" applyFont="1" applyBorder="1" applyAlignment="1">
      <alignment horizontal="center" vertical="center"/>
    </xf>
    <xf numFmtId="0" fontId="75" fillId="0" borderId="122" xfId="0" applyFont="1" applyBorder="1" applyAlignment="1" applyProtection="1">
      <alignment horizontal="center" vertical="center"/>
      <protection locked="0"/>
    </xf>
    <xf numFmtId="0" fontId="135" fillId="10" borderId="120" xfId="0" applyFont="1" applyFill="1" applyBorder="1" applyAlignment="1">
      <alignment horizontal="left" vertical="center"/>
    </xf>
    <xf numFmtId="0" fontId="75" fillId="0" borderId="1" xfId="0" applyFont="1" applyBorder="1" applyAlignment="1">
      <alignment horizontal="left" vertical="center"/>
    </xf>
    <xf numFmtId="0" fontId="75" fillId="0" borderId="4" xfId="0" applyFont="1" applyBorder="1" applyAlignment="1">
      <alignment horizontal="left" vertical="center"/>
    </xf>
    <xf numFmtId="0" fontId="75" fillId="0" borderId="3" xfId="0" applyFont="1" applyBorder="1" applyAlignment="1" applyProtection="1">
      <alignment horizontal="center" vertical="center"/>
      <protection locked="0"/>
    </xf>
    <xf numFmtId="0" fontId="84" fillId="0" borderId="25" xfId="0" applyFont="1" applyBorder="1" applyAlignment="1">
      <alignment vertical="center" wrapText="1"/>
    </xf>
    <xf numFmtId="0" fontId="84" fillId="0" borderId="5" xfId="0" applyFont="1" applyBorder="1" applyAlignment="1">
      <alignment vertical="center" wrapText="1"/>
    </xf>
    <xf numFmtId="0" fontId="75" fillId="0" borderId="0" xfId="0" applyFont="1" applyAlignment="1" applyProtection="1">
      <alignment horizontal="center" vertical="center"/>
      <protection locked="0"/>
    </xf>
    <xf numFmtId="0" fontId="84" fillId="0" borderId="28" xfId="0" applyFont="1" applyBorder="1" applyAlignment="1">
      <alignment horizontal="left" vertical="center"/>
    </xf>
    <xf numFmtId="0" fontId="84" fillId="0" borderId="16" xfId="0" applyFont="1" applyBorder="1" applyAlignment="1">
      <alignment horizontal="center" vertical="center"/>
    </xf>
    <xf numFmtId="0" fontId="84" fillId="0" borderId="15" xfId="0" applyFont="1" applyBorder="1" applyAlignment="1">
      <alignment horizontal="center" vertical="center"/>
    </xf>
    <xf numFmtId="0" fontId="84" fillId="0" borderId="5" xfId="0" applyFont="1" applyBorder="1" applyAlignment="1">
      <alignment horizontal="center" vertical="center"/>
    </xf>
    <xf numFmtId="0" fontId="84" fillId="0" borderId="16" xfId="0" applyFont="1" applyBorder="1" applyAlignment="1">
      <alignment horizontal="center" vertical="center"/>
    </xf>
    <xf numFmtId="0" fontId="75" fillId="10" borderId="14" xfId="0" applyFont="1" applyFill="1" applyBorder="1" applyAlignment="1">
      <alignment horizontal="left" vertical="center"/>
    </xf>
    <xf numFmtId="0" fontId="75" fillId="10" borderId="13" xfId="0" applyFont="1" applyFill="1" applyBorder="1" applyAlignment="1">
      <alignment horizontal="left" vertical="center"/>
    </xf>
    <xf numFmtId="0" fontId="84" fillId="10" borderId="13" xfId="0" applyFont="1" applyFill="1" applyBorder="1" applyAlignment="1">
      <alignment vertical="center"/>
    </xf>
    <xf numFmtId="0" fontId="129" fillId="10" borderId="13" xfId="0" applyFont="1" applyFill="1" applyBorder="1" applyAlignment="1">
      <alignment vertical="center"/>
    </xf>
    <xf numFmtId="0" fontId="84" fillId="10" borderId="5" xfId="0" applyFont="1" applyFill="1" applyBorder="1" applyAlignment="1">
      <alignment vertical="center"/>
    </xf>
    <xf numFmtId="0" fontId="133" fillId="10" borderId="13" xfId="0" applyFont="1" applyFill="1" applyBorder="1" applyAlignment="1">
      <alignment vertical="center"/>
    </xf>
    <xf numFmtId="0" fontId="84" fillId="10" borderId="141" xfId="0" applyFont="1" applyFill="1" applyBorder="1" applyAlignment="1">
      <alignment horizontal="left" vertical="center" wrapText="1"/>
    </xf>
    <xf numFmtId="0" fontId="75" fillId="0" borderId="120" xfId="0" applyFont="1" applyBorder="1" applyAlignment="1" applyProtection="1">
      <alignment horizontal="center" vertical="center"/>
      <protection locked="0"/>
    </xf>
    <xf numFmtId="0" fontId="75" fillId="0" borderId="120" xfId="0" applyFont="1" applyBorder="1" applyAlignment="1" applyProtection="1">
      <alignment horizontal="center" vertical="center"/>
      <protection locked="0"/>
    </xf>
    <xf numFmtId="0" fontId="75" fillId="0" borderId="122" xfId="0" applyFont="1" applyBorder="1" applyAlignment="1" applyProtection="1">
      <alignment horizontal="center" vertical="center"/>
      <protection locked="0"/>
    </xf>
    <xf numFmtId="0" fontId="75" fillId="0" borderId="4" xfId="0" applyFont="1" applyBorder="1" applyAlignment="1" applyProtection="1">
      <alignment horizontal="center" vertical="center"/>
      <protection locked="0"/>
    </xf>
    <xf numFmtId="0" fontId="75" fillId="0" borderId="4" xfId="0" applyFont="1" applyBorder="1" applyAlignment="1">
      <alignment vertical="center"/>
    </xf>
    <xf numFmtId="0" fontId="84" fillId="0" borderId="136" xfId="0" applyFont="1" applyBorder="1" applyAlignment="1">
      <alignment horizontal="left" vertical="center"/>
    </xf>
    <xf numFmtId="0" fontId="84" fillId="0" borderId="121" xfId="0" applyFont="1" applyBorder="1" applyAlignment="1">
      <alignment horizontal="left" vertical="center"/>
    </xf>
    <xf numFmtId="0" fontId="0" fillId="16" borderId="136" xfId="0" applyFill="1" applyBorder="1" applyAlignment="1">
      <alignment horizontal="left" vertical="center"/>
    </xf>
    <xf numFmtId="0" fontId="0" fillId="16" borderId="135" xfId="0" applyFill="1" applyBorder="1" applyAlignment="1">
      <alignment horizontal="left" vertical="center"/>
    </xf>
    <xf numFmtId="0" fontId="6" fillId="16" borderId="135" xfId="0" applyFont="1" applyFill="1" applyBorder="1" applyAlignment="1">
      <alignment vertical="center"/>
    </xf>
    <xf numFmtId="0" fontId="0" fillId="16" borderId="135" xfId="0" applyFill="1" applyBorder="1" applyAlignment="1">
      <alignment horizontal="center" vertical="center"/>
    </xf>
    <xf numFmtId="0" fontId="6" fillId="16" borderId="135" xfId="0" applyFont="1" applyFill="1" applyBorder="1" applyAlignment="1">
      <alignment horizontal="left" vertical="center" wrapText="1"/>
    </xf>
    <xf numFmtId="0" fontId="0" fillId="16" borderId="135" xfId="0" applyFill="1" applyBorder="1" applyAlignment="1">
      <alignment vertical="center"/>
    </xf>
    <xf numFmtId="0" fontId="6" fillId="16" borderId="138" xfId="0" applyFont="1" applyFill="1" applyBorder="1" applyAlignment="1">
      <alignment vertical="center"/>
    </xf>
    <xf numFmtId="0" fontId="75" fillId="10" borderId="121" xfId="0" applyFont="1" applyFill="1" applyBorder="1" applyAlignment="1">
      <alignment horizontal="left" vertical="center"/>
    </xf>
    <xf numFmtId="0" fontId="75" fillId="10" borderId="120" xfId="0" applyFont="1" applyFill="1" applyBorder="1" applyAlignment="1">
      <alignment horizontal="left" vertical="center"/>
    </xf>
    <xf numFmtId="0" fontId="84" fillId="10" borderId="120" xfId="0" applyFont="1" applyFill="1" applyBorder="1" applyAlignment="1">
      <alignment vertical="center"/>
    </xf>
    <xf numFmtId="0" fontId="129" fillId="10" borderId="120" xfId="0" applyFont="1" applyFill="1" applyBorder="1" applyAlignment="1">
      <alignment vertical="center"/>
    </xf>
    <xf numFmtId="0" fontId="84" fillId="10" borderId="0" xfId="0" applyFont="1" applyFill="1" applyAlignment="1">
      <alignment vertical="center"/>
    </xf>
    <xf numFmtId="0" fontId="133" fillId="10" borderId="120" xfId="0" applyFont="1" applyFill="1" applyBorder="1" applyAlignment="1">
      <alignment vertical="center"/>
    </xf>
    <xf numFmtId="0" fontId="84" fillId="10" borderId="131" xfId="0" applyFont="1" applyFill="1" applyBorder="1" applyAlignment="1">
      <alignment horizontal="left" vertical="center" wrapText="1"/>
    </xf>
    <xf numFmtId="0" fontId="75" fillId="0" borderId="14" xfId="0" applyFont="1" applyBorder="1" applyAlignment="1">
      <alignment vertical="center"/>
    </xf>
    <xf numFmtId="0" fontId="84" fillId="0" borderId="16" xfId="0" applyFont="1" applyBorder="1" applyAlignment="1">
      <alignment horizontal="center" vertical="center" wrapText="1"/>
    </xf>
    <xf numFmtId="0" fontId="84" fillId="0" borderId="17" xfId="0" applyFont="1" applyBorder="1" applyAlignment="1">
      <alignment horizontal="center" vertical="center" wrapText="1"/>
    </xf>
    <xf numFmtId="0" fontId="84" fillId="0" borderId="5" xfId="0" applyFont="1" applyBorder="1" applyAlignment="1">
      <alignment horizontal="left" vertical="center"/>
    </xf>
    <xf numFmtId="0" fontId="75" fillId="0" borderId="139" xfId="0" applyFont="1" applyBorder="1" applyAlignment="1" applyProtection="1">
      <alignment horizontal="center" vertical="center" wrapText="1"/>
      <protection locked="0"/>
    </xf>
    <xf numFmtId="0" fontId="84" fillId="0" borderId="139" xfId="0" applyFont="1" applyBorder="1" applyAlignment="1">
      <alignment horizontal="left" vertical="center"/>
    </xf>
    <xf numFmtId="0" fontId="75" fillId="0" borderId="138" xfId="0" applyFont="1" applyBorder="1" applyAlignment="1" applyProtection="1">
      <alignment horizontal="center" vertical="center" wrapText="1"/>
      <protection locked="0"/>
    </xf>
    <xf numFmtId="0" fontId="75" fillId="0" borderId="0" xfId="0" applyFont="1" applyAlignment="1">
      <alignment vertical="center"/>
    </xf>
    <xf numFmtId="0" fontId="75" fillId="0" borderId="1" xfId="0" applyFont="1" applyBorder="1" applyAlignment="1">
      <alignment vertical="center"/>
    </xf>
    <xf numFmtId="0" fontId="84" fillId="0" borderId="4" xfId="0" applyFont="1" applyBorder="1" applyAlignment="1">
      <alignment horizontal="left" vertical="center"/>
    </xf>
    <xf numFmtId="0" fontId="75" fillId="0" borderId="4" xfId="0" applyFont="1" applyBorder="1" applyAlignment="1" applyProtection="1">
      <alignment horizontal="center" vertical="center"/>
      <protection locked="0"/>
    </xf>
    <xf numFmtId="0" fontId="75" fillId="0" borderId="3" xfId="0" applyFont="1" applyBorder="1" applyAlignment="1" applyProtection="1">
      <alignment horizontal="center" vertical="center"/>
      <protection locked="0"/>
    </xf>
    <xf numFmtId="0" fontId="84" fillId="0" borderId="25" xfId="0" applyFont="1" applyBorder="1" applyAlignment="1">
      <alignment horizontal="left" vertical="center" wrapText="1"/>
    </xf>
    <xf numFmtId="0" fontId="84" fillId="0" borderId="3" xfId="0" applyFont="1" applyBorder="1" applyAlignment="1">
      <alignment horizontal="center" vertical="center" wrapText="1"/>
    </xf>
    <xf numFmtId="0" fontId="0" fillId="0" borderId="81" xfId="0" applyBorder="1"/>
    <xf numFmtId="0" fontId="0" fillId="0" borderId="80" xfId="0" applyBorder="1"/>
    <xf numFmtId="0" fontId="0" fillId="0" borderId="79" xfId="0" applyBorder="1"/>
    <xf numFmtId="0" fontId="75" fillId="0" borderId="5"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84" fillId="0" borderId="28" xfId="0" applyFont="1" applyBorder="1" applyAlignment="1">
      <alignment horizontal="left" vertical="center" wrapText="1"/>
    </xf>
    <xf numFmtId="0" fontId="0" fillId="0" borderId="125" xfId="0" applyBorder="1"/>
    <xf numFmtId="0" fontId="0" fillId="0" borderId="124" xfId="0" applyBorder="1"/>
    <xf numFmtId="0" fontId="0" fillId="0" borderId="123" xfId="0" applyBorder="1"/>
    <xf numFmtId="0" fontId="75" fillId="0" borderId="122" xfId="0" applyFont="1" applyBorder="1" applyAlignment="1" applyProtection="1">
      <alignment horizontal="center" vertical="center" wrapText="1"/>
      <protection locked="0"/>
    </xf>
    <xf numFmtId="0" fontId="84" fillId="0" borderId="123" xfId="0" applyFont="1" applyBorder="1" applyAlignment="1">
      <alignment vertical="top"/>
    </xf>
    <xf numFmtId="0" fontId="75" fillId="10" borderId="136" xfId="0" applyFont="1" applyFill="1" applyBorder="1" applyAlignment="1">
      <alignment horizontal="left" vertical="center"/>
    </xf>
    <xf numFmtId="0" fontId="75" fillId="10" borderId="135" xfId="0" applyFont="1" applyFill="1" applyBorder="1" applyAlignment="1">
      <alignment horizontal="left" vertical="center"/>
    </xf>
    <xf numFmtId="0" fontId="84" fillId="10" borderId="135" xfId="0" applyFont="1" applyFill="1" applyBorder="1" applyAlignment="1">
      <alignment vertical="center"/>
    </xf>
    <xf numFmtId="0" fontId="75" fillId="10" borderId="135" xfId="0" applyFont="1" applyFill="1" applyBorder="1" applyAlignment="1">
      <alignment horizontal="center" vertical="center"/>
    </xf>
    <xf numFmtId="0" fontId="89" fillId="10" borderId="135" xfId="0" applyFont="1" applyFill="1" applyBorder="1" applyAlignment="1">
      <alignment vertical="center"/>
    </xf>
    <xf numFmtId="0" fontId="135" fillId="0" borderId="135" xfId="0" applyFont="1" applyBorder="1" applyAlignment="1" applyProtection="1">
      <alignment horizontal="center" vertical="center"/>
      <protection locked="0"/>
    </xf>
    <xf numFmtId="0" fontId="89" fillId="10" borderId="135" xfId="0" applyFont="1" applyFill="1" applyBorder="1" applyAlignment="1">
      <alignment horizontal="left" vertical="center" wrapText="1"/>
    </xf>
    <xf numFmtId="0" fontId="135" fillId="10" borderId="135" xfId="0" applyFont="1" applyFill="1" applyBorder="1" applyAlignment="1">
      <alignment vertical="center"/>
    </xf>
    <xf numFmtId="0" fontId="135" fillId="0" borderId="134" xfId="0" applyFont="1" applyBorder="1" applyAlignment="1" applyProtection="1">
      <alignment horizontal="center" vertical="center"/>
      <protection locked="0"/>
    </xf>
    <xf numFmtId="0" fontId="89" fillId="10" borderId="134" xfId="0" applyFont="1" applyFill="1" applyBorder="1" applyAlignment="1">
      <alignment vertical="center"/>
    </xf>
    <xf numFmtId="0" fontId="75" fillId="10" borderId="140" xfId="0" applyFont="1" applyFill="1" applyBorder="1" applyAlignment="1">
      <alignment vertical="center"/>
    </xf>
    <xf numFmtId="0" fontId="75" fillId="10" borderId="139" xfId="0" applyFont="1" applyFill="1" applyBorder="1" applyAlignment="1">
      <alignment vertical="center"/>
    </xf>
    <xf numFmtId="0" fontId="89" fillId="10" borderId="137" xfId="0" applyFont="1" applyFill="1" applyBorder="1" applyAlignment="1">
      <alignment horizontal="left" vertical="center"/>
    </xf>
    <xf numFmtId="0" fontId="84" fillId="0" borderId="27" xfId="0" applyFont="1" applyBorder="1" applyAlignment="1">
      <alignment horizontal="center" vertical="center" wrapText="1"/>
    </xf>
    <xf numFmtId="0" fontId="84" fillId="0" borderId="17" xfId="0" applyFont="1" applyBorder="1" applyAlignment="1">
      <alignment vertical="center" wrapText="1"/>
    </xf>
    <xf numFmtId="0" fontId="84" fillId="0" borderId="1" xfId="0" applyFont="1" applyBorder="1" applyAlignment="1">
      <alignment horizontal="center" vertical="center" wrapText="1"/>
    </xf>
    <xf numFmtId="0" fontId="84" fillId="0" borderId="3" xfId="0" applyFont="1" applyBorder="1" applyAlignment="1">
      <alignment vertical="center" wrapText="1"/>
    </xf>
    <xf numFmtId="0" fontId="0" fillId="0" borderId="81" xfId="0" applyBorder="1" applyAlignment="1">
      <alignment horizontal="center" vertical="center"/>
    </xf>
    <xf numFmtId="0" fontId="0" fillId="0" borderId="80" xfId="0" applyBorder="1" applyAlignment="1">
      <alignment horizontal="center" vertical="center"/>
    </xf>
    <xf numFmtId="0" fontId="0" fillId="0" borderId="79" xfId="0" applyBorder="1" applyAlignment="1">
      <alignment horizontal="center" vertical="center"/>
    </xf>
    <xf numFmtId="0" fontId="0" fillId="0" borderId="125" xfId="0" applyBorder="1" applyAlignment="1">
      <alignment horizontal="center" vertical="center"/>
    </xf>
    <xf numFmtId="0" fontId="0" fillId="0" borderId="124" xfId="0" applyBorder="1" applyAlignment="1">
      <alignment horizontal="center" vertical="center"/>
    </xf>
    <xf numFmtId="0" fontId="0" fillId="0" borderId="123" xfId="0" applyBorder="1" applyAlignment="1">
      <alignment horizontal="center" vertical="center"/>
    </xf>
    <xf numFmtId="0" fontId="0" fillId="0" borderId="78" xfId="0" applyBorder="1" applyAlignment="1">
      <alignment horizontal="center" vertical="center"/>
    </xf>
    <xf numFmtId="0" fontId="0" fillId="0" borderId="77" xfId="0" applyBorder="1" applyAlignment="1">
      <alignment horizontal="center" vertical="center"/>
    </xf>
    <xf numFmtId="0" fontId="84" fillId="0" borderId="4" xfId="0" applyFont="1" applyBorder="1" applyAlignment="1">
      <alignment vertical="top"/>
    </xf>
    <xf numFmtId="0" fontId="75" fillId="10" borderId="129" xfId="0" applyFont="1" applyFill="1" applyBorder="1" applyAlignment="1">
      <alignment vertical="center"/>
    </xf>
    <xf numFmtId="0" fontId="75" fillId="10" borderId="128" xfId="0" applyFont="1" applyFill="1" applyBorder="1" applyAlignment="1">
      <alignment vertical="center"/>
    </xf>
    <xf numFmtId="0" fontId="135" fillId="10" borderId="128" xfId="0" applyFont="1" applyFill="1" applyBorder="1" applyAlignment="1">
      <alignment vertical="center"/>
    </xf>
    <xf numFmtId="0" fontId="89" fillId="10" borderId="128" xfId="0" applyFont="1" applyFill="1" applyBorder="1" applyAlignment="1">
      <alignment vertical="center"/>
    </xf>
    <xf numFmtId="0" fontId="135" fillId="0" borderId="128" xfId="0" applyFont="1" applyBorder="1" applyAlignment="1" applyProtection="1">
      <alignment horizontal="center" vertical="center"/>
      <protection locked="0"/>
    </xf>
    <xf numFmtId="0" fontId="89" fillId="10" borderId="128" xfId="0" applyFont="1" applyFill="1" applyBorder="1" applyAlignment="1">
      <alignment horizontal="left" vertical="center" wrapText="1"/>
    </xf>
    <xf numFmtId="0" fontId="135" fillId="0" borderId="127" xfId="0" applyFont="1" applyBorder="1" applyAlignment="1" applyProtection="1">
      <alignment horizontal="center" vertical="center"/>
      <protection locked="0"/>
    </xf>
    <xf numFmtId="0" fontId="89" fillId="10" borderId="126" xfId="0" applyFont="1" applyFill="1" applyBorder="1" applyAlignment="1">
      <alignment horizontal="left" vertical="center"/>
    </xf>
    <xf numFmtId="0" fontId="84" fillId="0" borderId="129" xfId="0" applyFont="1" applyBorder="1" applyAlignment="1">
      <alignment horizontal="left" vertical="center"/>
    </xf>
    <xf numFmtId="0" fontId="75" fillId="0" borderId="146" xfId="0" applyFont="1" applyBorder="1" applyAlignment="1" applyProtection="1">
      <alignment horizontal="center" vertical="center"/>
      <protection locked="0"/>
    </xf>
    <xf numFmtId="0" fontId="75" fillId="0" borderId="145" xfId="0" applyFont="1" applyBorder="1" applyAlignment="1" applyProtection="1">
      <alignment horizontal="center" vertical="center"/>
      <protection locked="0"/>
    </xf>
    <xf numFmtId="0" fontId="84" fillId="0" borderId="126" xfId="0" applyFont="1" applyBorder="1" applyAlignment="1">
      <alignment horizontal="left" vertical="center" wrapText="1"/>
    </xf>
    <xf numFmtId="0" fontId="84" fillId="0" borderId="28" xfId="0" applyFont="1" applyBorder="1" applyAlignment="1">
      <alignment horizontal="left" vertical="center"/>
    </xf>
    <xf numFmtId="0" fontId="75" fillId="0" borderId="134" xfId="0" applyFont="1" applyBorder="1" applyAlignment="1" applyProtection="1">
      <alignment horizontal="center" vertical="center" wrapText="1"/>
      <protection locked="0"/>
    </xf>
    <xf numFmtId="0" fontId="75" fillId="10" borderId="140" xfId="0" applyFont="1" applyFill="1" applyBorder="1" applyAlignment="1">
      <alignment horizontal="left" vertical="center"/>
    </xf>
    <xf numFmtId="0" fontId="75" fillId="10" borderId="139" xfId="0" applyFont="1" applyFill="1" applyBorder="1" applyAlignment="1">
      <alignment horizontal="left" vertical="center"/>
    </xf>
    <xf numFmtId="0" fontId="84" fillId="10" borderId="139" xfId="0" applyFont="1" applyFill="1" applyBorder="1" applyAlignment="1">
      <alignment vertical="center"/>
    </xf>
    <xf numFmtId="0" fontId="75" fillId="10" borderId="139" xfId="0" applyFont="1" applyFill="1" applyBorder="1" applyAlignment="1">
      <alignment horizontal="center" vertical="center"/>
    </xf>
    <xf numFmtId="0" fontId="137" fillId="0" borderId="5" xfId="0" applyFont="1" applyBorder="1" applyAlignment="1">
      <alignment horizontal="left" vertical="center"/>
    </xf>
    <xf numFmtId="0" fontId="0" fillId="0" borderId="17" xfId="0" applyBorder="1"/>
    <xf numFmtId="0" fontId="84" fillId="0" borderId="8" xfId="0" applyFont="1" applyBorder="1" applyAlignment="1" applyProtection="1">
      <alignment horizontal="center" vertical="center"/>
      <protection locked="0"/>
    </xf>
    <xf numFmtId="0" fontId="84" fillId="0" borderId="9" xfId="0" applyFont="1" applyBorder="1" applyAlignment="1" applyProtection="1">
      <alignment horizontal="center" vertical="center"/>
      <protection locked="0"/>
    </xf>
    <xf numFmtId="0" fontId="84" fillId="0" borderId="116" xfId="0" applyFont="1" applyBorder="1" applyAlignment="1" applyProtection="1">
      <alignment horizontal="center" vertical="center"/>
      <protection locked="0"/>
    </xf>
    <xf numFmtId="0" fontId="84" fillId="0" borderId="28" xfId="0" applyFont="1" applyBorder="1" applyAlignment="1">
      <alignment vertical="center" wrapText="1"/>
    </xf>
    <xf numFmtId="0" fontId="84" fillId="0" borderId="133" xfId="0" applyFont="1" applyBorder="1" applyAlignment="1">
      <alignment vertical="center" wrapText="1"/>
    </xf>
    <xf numFmtId="0" fontId="84" fillId="10" borderId="129" xfId="0" applyFont="1" applyFill="1" applyBorder="1" applyAlignment="1">
      <alignment horizontal="left" vertical="center" wrapText="1"/>
    </xf>
    <xf numFmtId="0" fontId="84" fillId="10" borderId="128" xfId="0" applyFont="1" applyFill="1" applyBorder="1" applyAlignment="1">
      <alignment horizontal="left" vertical="center" wrapText="1"/>
    </xf>
    <xf numFmtId="0" fontId="84" fillId="10" borderId="128" xfId="0" applyFont="1" applyFill="1" applyBorder="1" applyAlignment="1">
      <alignment vertical="top"/>
    </xf>
    <xf numFmtId="0" fontId="84" fillId="10" borderId="128" xfId="0" applyFont="1" applyFill="1" applyBorder="1" applyAlignment="1">
      <alignment vertical="center"/>
    </xf>
    <xf numFmtId="0" fontId="75" fillId="10" borderId="128" xfId="0" applyFont="1" applyFill="1" applyBorder="1" applyAlignment="1">
      <alignment horizontal="left" vertical="center"/>
    </xf>
    <xf numFmtId="0" fontId="75" fillId="10" borderId="128" xfId="0" applyFont="1" applyFill="1" applyBorder="1" applyAlignment="1">
      <alignment horizontal="center" vertical="center"/>
    </xf>
    <xf numFmtId="0" fontId="89" fillId="10" borderId="127" xfId="0" applyFont="1" applyFill="1" applyBorder="1" applyAlignment="1">
      <alignment vertical="center"/>
    </xf>
    <xf numFmtId="0" fontId="84" fillId="0" borderId="16" xfId="0" applyFont="1" applyBorder="1" applyAlignment="1">
      <alignment vertical="center" wrapText="1"/>
    </xf>
    <xf numFmtId="0" fontId="138" fillId="0" borderId="17" xfId="0" applyFont="1" applyBorder="1" applyAlignment="1" applyProtection="1">
      <alignment horizontal="center" vertical="center"/>
      <protection locked="0"/>
    </xf>
    <xf numFmtId="0" fontId="84" fillId="0" borderId="253" xfId="0" applyFont="1" applyBorder="1" applyAlignment="1">
      <alignment vertical="center" wrapText="1" shrinkToFit="1"/>
    </xf>
    <xf numFmtId="0" fontId="84" fillId="0" borderId="15" xfId="0" applyFont="1" applyBorder="1" applyAlignment="1">
      <alignment horizontal="left" vertical="center" wrapText="1"/>
    </xf>
    <xf numFmtId="0" fontId="84" fillId="0" borderId="13" xfId="0" applyFont="1" applyBorder="1" applyAlignment="1">
      <alignment horizontal="left" vertical="center"/>
    </xf>
    <xf numFmtId="0" fontId="75" fillId="0" borderId="13" xfId="0" applyFont="1" applyBorder="1" applyAlignment="1" applyProtection="1">
      <alignment horizontal="center" vertical="center" wrapText="1"/>
      <protection locked="0"/>
    </xf>
    <xf numFmtId="0" fontId="75" fillId="0" borderId="12" xfId="0" applyFont="1" applyBorder="1" applyAlignment="1" applyProtection="1">
      <alignment horizontal="center" vertical="center" wrapText="1"/>
      <protection locked="0"/>
    </xf>
    <xf numFmtId="0" fontId="0" fillId="0" borderId="15" xfId="0" applyBorder="1" applyAlignment="1">
      <alignment vertical="center"/>
    </xf>
    <xf numFmtId="0" fontId="0" fillId="0" borderId="5" xfId="0" applyBorder="1" applyAlignment="1">
      <alignment vertical="center"/>
    </xf>
    <xf numFmtId="0" fontId="0" fillId="0" borderId="16" xfId="0" applyBorder="1" applyAlignment="1">
      <alignment vertical="center"/>
    </xf>
    <xf numFmtId="0" fontId="133" fillId="0" borderId="28" xfId="0" applyFont="1" applyBorder="1" applyAlignment="1">
      <alignment horizontal="left" vertical="center"/>
    </xf>
    <xf numFmtId="0" fontId="139" fillId="0" borderId="15" xfId="0" applyFont="1" applyBorder="1" applyAlignment="1">
      <alignment vertical="center"/>
    </xf>
    <xf numFmtId="0" fontId="139" fillId="0" borderId="16" xfId="0" applyFont="1" applyBorder="1" applyAlignment="1">
      <alignment horizontal="center" vertical="center" wrapText="1"/>
    </xf>
    <xf numFmtId="0" fontId="139" fillId="0" borderId="15" xfId="0" applyFont="1" applyBorder="1" applyAlignment="1">
      <alignment vertical="center" wrapText="1"/>
    </xf>
    <xf numFmtId="0" fontId="139" fillId="0" borderId="16" xfId="0" applyFont="1" applyBorder="1" applyAlignment="1">
      <alignment horizontal="left" vertical="center"/>
    </xf>
    <xf numFmtId="0" fontId="139" fillId="0" borderId="28" xfId="0" applyFont="1" applyBorder="1" applyAlignment="1">
      <alignment vertical="center"/>
    </xf>
    <xf numFmtId="0" fontId="139" fillId="0" borderId="15" xfId="0" applyFont="1" applyBorder="1" applyAlignment="1">
      <alignment horizontal="center" vertical="center"/>
    </xf>
    <xf numFmtId="0" fontId="139" fillId="0" borderId="16" xfId="0" applyFont="1" applyBorder="1" applyAlignment="1">
      <alignment vertical="center"/>
    </xf>
    <xf numFmtId="0" fontId="139" fillId="0" borderId="27" xfId="0" applyFont="1" applyBorder="1" applyAlignment="1">
      <alignment vertical="top"/>
    </xf>
    <xf numFmtId="0" fontId="139" fillId="0" borderId="0" xfId="0" applyFont="1" applyAlignment="1">
      <alignment vertical="top"/>
    </xf>
    <xf numFmtId="0" fontId="0" fillId="0" borderId="27" xfId="0" applyBorder="1" applyAlignment="1">
      <alignment vertical="center"/>
    </xf>
    <xf numFmtId="0" fontId="0" fillId="0" borderId="0" xfId="0" applyAlignment="1">
      <alignment vertical="center"/>
    </xf>
    <xf numFmtId="0" fontId="0" fillId="0" borderId="17" xfId="0" applyBorder="1" applyAlignment="1">
      <alignment vertical="center"/>
    </xf>
    <xf numFmtId="0" fontId="133" fillId="0" borderId="29" xfId="0" applyFont="1" applyBorder="1" applyAlignment="1">
      <alignment horizontal="left" vertical="center"/>
    </xf>
    <xf numFmtId="0" fontId="139" fillId="0" borderId="27" xfId="0" applyFont="1" applyBorder="1" applyAlignment="1">
      <alignment vertical="center"/>
    </xf>
    <xf numFmtId="0" fontId="139" fillId="0" borderId="17" xfId="0" applyFont="1" applyBorder="1" applyAlignment="1">
      <alignment horizontal="left" vertical="center" wrapText="1"/>
    </xf>
    <xf numFmtId="0" fontId="139" fillId="0" borderId="1" xfId="0" applyFont="1" applyBorder="1" applyAlignment="1">
      <alignment vertical="top"/>
    </xf>
    <xf numFmtId="0" fontId="139" fillId="0" borderId="4" xfId="0" applyFont="1" applyBorder="1" applyAlignment="1">
      <alignment vertical="top"/>
    </xf>
    <xf numFmtId="0" fontId="0" fillId="0" borderId="1" xfId="0" applyBorder="1" applyAlignment="1">
      <alignment vertical="center"/>
    </xf>
    <xf numFmtId="0" fontId="0" fillId="0" borderId="4" xfId="0" applyBorder="1" applyAlignment="1">
      <alignment vertical="center"/>
    </xf>
    <xf numFmtId="0" fontId="140" fillId="0" borderId="3" xfId="0" applyFont="1" applyBorder="1" applyAlignment="1">
      <alignment horizontal="left" vertical="center"/>
    </xf>
    <xf numFmtId="0" fontId="133" fillId="0" borderId="25" xfId="0" applyFont="1" applyBorder="1" applyAlignment="1">
      <alignment horizontal="left" vertical="center"/>
    </xf>
    <xf numFmtId="0" fontId="139" fillId="0" borderId="1" xfId="0" applyFont="1" applyBorder="1" applyAlignment="1">
      <alignment vertical="center"/>
    </xf>
    <xf numFmtId="0" fontId="139" fillId="0" borderId="3" xfId="0" applyFont="1" applyBorder="1" applyAlignment="1">
      <alignment horizontal="left" vertical="center" wrapText="1"/>
    </xf>
    <xf numFmtId="0" fontId="84" fillId="0" borderId="133" xfId="0" applyFont="1" applyBorder="1" applyAlignment="1">
      <alignment vertical="center"/>
    </xf>
    <xf numFmtId="0" fontId="0" fillId="0" borderId="78" xfId="0" applyBorder="1"/>
    <xf numFmtId="0" fontId="0" fillId="0" borderId="77" xfId="0" applyBorder="1"/>
    <xf numFmtId="0" fontId="84" fillId="0" borderId="76" xfId="0" applyFont="1" applyBorder="1" applyAlignment="1">
      <alignment vertical="top"/>
    </xf>
    <xf numFmtId="0" fontId="75" fillId="10" borderId="129" xfId="0" applyFont="1" applyFill="1" applyBorder="1" applyAlignment="1">
      <alignment horizontal="left" vertical="center"/>
    </xf>
    <xf numFmtId="0" fontId="75" fillId="16" borderId="139" xfId="0" applyFont="1" applyFill="1" applyBorder="1" applyAlignment="1" applyProtection="1">
      <alignment horizontal="center" vertical="center"/>
      <protection locked="0"/>
    </xf>
    <xf numFmtId="0" fontId="75" fillId="16" borderId="138" xfId="0" applyFont="1" applyFill="1" applyBorder="1" applyAlignment="1" applyProtection="1">
      <alignment horizontal="center" vertical="center"/>
      <protection locked="0"/>
    </xf>
    <xf numFmtId="0" fontId="84" fillId="0" borderId="135" xfId="0" applyFont="1" applyBorder="1" applyAlignment="1" applyProtection="1">
      <alignment horizontal="left" vertical="center"/>
      <protection locked="0"/>
    </xf>
    <xf numFmtId="0" fontId="0" fillId="0" borderId="76" xfId="0" applyBorder="1" applyAlignment="1">
      <alignment horizontal="center" vertical="center"/>
    </xf>
    <xf numFmtId="0" fontId="0" fillId="0" borderId="81" xfId="0" applyBorder="1" applyAlignment="1">
      <alignment vertical="top"/>
    </xf>
    <xf numFmtId="0" fontId="0" fillId="0" borderId="80" xfId="0" applyBorder="1" applyAlignment="1">
      <alignment vertical="top"/>
    </xf>
    <xf numFmtId="0" fontId="0" fillId="0" borderId="79" xfId="0" applyBorder="1" applyAlignment="1">
      <alignment vertical="top"/>
    </xf>
    <xf numFmtId="0" fontId="0" fillId="0" borderId="125" xfId="0" applyBorder="1" applyAlignment="1">
      <alignment vertical="top"/>
    </xf>
    <xf numFmtId="0" fontId="0" fillId="0" borderId="124" xfId="0" applyBorder="1" applyAlignment="1">
      <alignment vertical="top"/>
    </xf>
    <xf numFmtId="0" fontId="0" fillId="0" borderId="123" xfId="0" applyBorder="1" applyAlignment="1">
      <alignment vertical="top"/>
    </xf>
    <xf numFmtId="0" fontId="0" fillId="0" borderId="78" xfId="0" applyBorder="1" applyAlignment="1">
      <alignment vertical="top"/>
    </xf>
    <xf numFmtId="0" fontId="0" fillId="0" borderId="77" xfId="0" applyBorder="1" applyAlignment="1">
      <alignment vertical="top"/>
    </xf>
    <xf numFmtId="0" fontId="75" fillId="0" borderId="254" xfId="0" applyFont="1" applyBorder="1" applyAlignment="1" applyProtection="1">
      <alignment horizontal="center" vertical="center"/>
      <protection locked="0"/>
    </xf>
    <xf numFmtId="0" fontId="84" fillId="0" borderId="11" xfId="0" applyFont="1" applyBorder="1" applyAlignment="1" applyProtection="1">
      <alignment horizontal="center" vertical="center"/>
      <protection locked="0"/>
    </xf>
    <xf numFmtId="0" fontId="128" fillId="0" borderId="0" xfId="0" applyFont="1" applyAlignment="1">
      <alignment horizontal="left" vertical="center"/>
    </xf>
  </cellXfs>
  <cellStyles count="27">
    <cellStyle name="_☆(サンプル)方式・構成設計書" xfId="1" xr:uid="{00000000-0005-0000-0000-000000000000}"/>
    <cellStyle name="スタイル 1" xfId="2" xr:uid="{00000000-0005-0000-0000-000001000000}"/>
    <cellStyle name="パーセント" xfId="3" builtinId="5"/>
    <cellStyle name="パーセント 2" xfId="4" xr:uid="{00000000-0005-0000-0000-000003000000}"/>
    <cellStyle name="パーセント 2 2" xfId="5" xr:uid="{00000000-0005-0000-0000-000004000000}"/>
    <cellStyle name="パーセント 2 2 2" xfId="24" xr:uid="{52D7043E-2222-4C94-BF8A-CB3D793DF78E}"/>
    <cellStyle name="ハイパーリンク" xfId="26" builtinId="8"/>
    <cellStyle name="ハイパーリンク 2" xfId="6" xr:uid="{00000000-0005-0000-0000-000005000000}"/>
    <cellStyle name="桁区切り" xfId="7" builtinId="6"/>
    <cellStyle name="桁区切り 2" xfId="8" xr:uid="{00000000-0005-0000-0000-000007000000}"/>
    <cellStyle name="桁区切り 2 2" xfId="22" xr:uid="{411EC59B-CD4F-4263-BA46-8E2A41F65900}"/>
    <cellStyle name="桁区切り 3" xfId="9" xr:uid="{00000000-0005-0000-0000-000008000000}"/>
    <cellStyle name="桁区切り 4" xfId="21" xr:uid="{8D2DD62C-CF98-4618-A257-AE9A09F02B3F}"/>
    <cellStyle name="標準" xfId="0" builtinId="0"/>
    <cellStyle name="標準 2" xfId="10" xr:uid="{00000000-0005-0000-0000-00000A000000}"/>
    <cellStyle name="標準 2 2" xfId="11" xr:uid="{00000000-0005-0000-0000-00000B000000}"/>
    <cellStyle name="標準 2 3" xfId="18" xr:uid="{5D15594B-B7DB-4446-89A0-2C79B4B06518}"/>
    <cellStyle name="標準 2 3 2" xfId="19" xr:uid="{E036009B-4227-4F12-8E90-D8E748490482}"/>
    <cellStyle name="標準 3" xfId="12" xr:uid="{00000000-0005-0000-0000-00000C000000}"/>
    <cellStyle name="標準 3 2" xfId="13" xr:uid="{00000000-0005-0000-0000-00000D000000}"/>
    <cellStyle name="標準 3 2 2" xfId="23" xr:uid="{BBE7A322-85CE-41DA-9A78-4DE075EF847B}"/>
    <cellStyle name="標準 4" xfId="14" xr:uid="{00000000-0005-0000-0000-00000E000000}"/>
    <cellStyle name="標準 4 2" xfId="25" xr:uid="{B95E2DF5-E8AE-425A-8FDB-86955C58B2FD}"/>
    <cellStyle name="標準 5" xfId="15" xr:uid="{00000000-0005-0000-0000-00000F000000}"/>
    <cellStyle name="標準_~9263894" xfId="16" xr:uid="{00000000-0005-0000-0000-000010000000}"/>
    <cellStyle name="標準_付表　訪問介護　修正版_第一号様式 2" xfId="20" xr:uid="{5F1156C9-E3A1-4AC4-98BF-B110E4E91AB3}"/>
    <cellStyle name="未定義" xfId="17" xr:uid="{00000000-0005-0000-0000-000011000000}"/>
  </cellStyles>
  <dxfs count="5">
    <dxf>
      <fill>
        <patternFill>
          <bgColor theme="0" tint="-0.499984740745262"/>
        </patternFill>
      </fill>
    </dxf>
    <dxf>
      <fill>
        <patternFill>
          <bgColor theme="0"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9" defaultPivotStyle="PivotStyleLight16"/>
  <colors>
    <mruColors>
      <color rgb="FF0000FF"/>
      <color rgb="FFFFFF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5</xdr:col>
      <xdr:colOff>50856</xdr:colOff>
      <xdr:row>5</xdr:row>
      <xdr:rowOff>1814</xdr:rowOff>
    </xdr:from>
    <xdr:to>
      <xdr:col>24</xdr:col>
      <xdr:colOff>139622</xdr:colOff>
      <xdr:row>6</xdr:row>
      <xdr:rowOff>18752</xdr:rowOff>
    </xdr:to>
    <xdr:sp macro="" textlink="" fLocksText="0">
      <xdr:nvSpPr>
        <xdr:cNvPr id="2" name="大かっこ 1">
          <a:extLst>
            <a:ext uri="{FF2B5EF4-FFF2-40B4-BE49-F238E27FC236}">
              <a16:creationId xmlns:a16="http://schemas.microsoft.com/office/drawing/2014/main" id="{00000000-0008-0000-0B00-000002000000}"/>
            </a:ext>
          </a:extLst>
        </xdr:cNvPr>
        <xdr:cNvSpPr/>
      </xdr:nvSpPr>
      <xdr:spPr>
        <a:xfrm>
          <a:off x="988116" y="840014"/>
          <a:ext cx="4142606" cy="375078"/>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79459</xdr:colOff>
      <xdr:row>5</xdr:row>
      <xdr:rowOff>0</xdr:rowOff>
    </xdr:from>
    <xdr:to>
      <xdr:col>29</xdr:col>
      <xdr:colOff>152332</xdr:colOff>
      <xdr:row>6</xdr:row>
      <xdr:rowOff>18752</xdr:rowOff>
    </xdr:to>
    <xdr:sp macro="" textlink="" fLocksText="0">
      <xdr:nvSpPr>
        <xdr:cNvPr id="2" name="大かっこ 1">
          <a:extLst>
            <a:ext uri="{FF2B5EF4-FFF2-40B4-BE49-F238E27FC236}">
              <a16:creationId xmlns:a16="http://schemas.microsoft.com/office/drawing/2014/main" id="{00000000-0008-0000-0C00-000002000000}"/>
            </a:ext>
          </a:extLst>
        </xdr:cNvPr>
        <xdr:cNvSpPr/>
      </xdr:nvSpPr>
      <xdr:spPr>
        <a:xfrm>
          <a:off x="376639" y="838200"/>
          <a:ext cx="5833593" cy="3464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30480</xdr:colOff>
          <xdr:row>32</xdr:row>
          <xdr:rowOff>0</xdr:rowOff>
        </xdr:from>
        <xdr:to>
          <xdr:col>22</xdr:col>
          <xdr:colOff>114300</xdr:colOff>
          <xdr:row>32</xdr:row>
          <xdr:rowOff>251460</xdr:rowOff>
        </xdr:to>
        <xdr:sp macro="" textlink="">
          <xdr:nvSpPr>
            <xdr:cNvPr id="635905" name="Check Box 1" hidden="1">
              <a:extLst>
                <a:ext uri="{63B3BB69-23CF-44E3-9099-C40C66FF867C}">
                  <a14:compatExt spid="_x0000_s635905"/>
                </a:ext>
                <a:ext uri="{FF2B5EF4-FFF2-40B4-BE49-F238E27FC236}">
                  <a16:creationId xmlns:a16="http://schemas.microsoft.com/office/drawing/2014/main" id="{00000000-0008-0000-1200-000001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22</xdr:row>
          <xdr:rowOff>0</xdr:rowOff>
        </xdr:from>
        <xdr:to>
          <xdr:col>22</xdr:col>
          <xdr:colOff>114300</xdr:colOff>
          <xdr:row>22</xdr:row>
          <xdr:rowOff>251460</xdr:rowOff>
        </xdr:to>
        <xdr:sp macro="" textlink="">
          <xdr:nvSpPr>
            <xdr:cNvPr id="635906" name="Check Box 2" hidden="1">
              <a:extLst>
                <a:ext uri="{63B3BB69-23CF-44E3-9099-C40C66FF867C}">
                  <a14:compatExt spid="_x0000_s635906"/>
                </a:ext>
                <a:ext uri="{FF2B5EF4-FFF2-40B4-BE49-F238E27FC236}">
                  <a16:creationId xmlns:a16="http://schemas.microsoft.com/office/drawing/2014/main" id="{00000000-0008-0000-1200-000002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45</xdr:row>
          <xdr:rowOff>0</xdr:rowOff>
        </xdr:from>
        <xdr:to>
          <xdr:col>22</xdr:col>
          <xdr:colOff>114300</xdr:colOff>
          <xdr:row>46</xdr:row>
          <xdr:rowOff>30480</xdr:rowOff>
        </xdr:to>
        <xdr:sp macro="" textlink="">
          <xdr:nvSpPr>
            <xdr:cNvPr id="635907" name="Check Box 3" hidden="1">
              <a:extLst>
                <a:ext uri="{63B3BB69-23CF-44E3-9099-C40C66FF867C}">
                  <a14:compatExt spid="_x0000_s635907"/>
                </a:ext>
                <a:ext uri="{FF2B5EF4-FFF2-40B4-BE49-F238E27FC236}">
                  <a16:creationId xmlns:a16="http://schemas.microsoft.com/office/drawing/2014/main" id="{00000000-0008-0000-1200-000003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51</xdr:row>
          <xdr:rowOff>0</xdr:rowOff>
        </xdr:from>
        <xdr:to>
          <xdr:col>22</xdr:col>
          <xdr:colOff>114300</xdr:colOff>
          <xdr:row>52</xdr:row>
          <xdr:rowOff>30480</xdr:rowOff>
        </xdr:to>
        <xdr:sp macro="" textlink="">
          <xdr:nvSpPr>
            <xdr:cNvPr id="635908" name="Check Box 4" hidden="1">
              <a:extLst>
                <a:ext uri="{63B3BB69-23CF-44E3-9099-C40C66FF867C}">
                  <a14:compatExt spid="_x0000_s635908"/>
                </a:ext>
                <a:ext uri="{FF2B5EF4-FFF2-40B4-BE49-F238E27FC236}">
                  <a16:creationId xmlns:a16="http://schemas.microsoft.com/office/drawing/2014/main" id="{00000000-0008-0000-1200-000004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34</xdr:row>
          <xdr:rowOff>0</xdr:rowOff>
        </xdr:from>
        <xdr:to>
          <xdr:col>22</xdr:col>
          <xdr:colOff>114300</xdr:colOff>
          <xdr:row>34</xdr:row>
          <xdr:rowOff>251460</xdr:rowOff>
        </xdr:to>
        <xdr:sp macro="" textlink="">
          <xdr:nvSpPr>
            <xdr:cNvPr id="635909" name="Check Box 5" hidden="1">
              <a:extLst>
                <a:ext uri="{63B3BB69-23CF-44E3-9099-C40C66FF867C}">
                  <a14:compatExt spid="_x0000_s635909"/>
                </a:ext>
                <a:ext uri="{FF2B5EF4-FFF2-40B4-BE49-F238E27FC236}">
                  <a16:creationId xmlns:a16="http://schemas.microsoft.com/office/drawing/2014/main" id="{00000000-0008-0000-1200-000005B4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7</xdr:col>
      <xdr:colOff>112060</xdr:colOff>
      <xdr:row>17</xdr:row>
      <xdr:rowOff>100852</xdr:rowOff>
    </xdr:from>
    <xdr:to>
      <xdr:col>36</xdr:col>
      <xdr:colOff>145677</xdr:colOff>
      <xdr:row>37</xdr:row>
      <xdr:rowOff>11206</xdr:rowOff>
    </xdr:to>
    <xdr:sp macro="" textlink="">
      <xdr:nvSpPr>
        <xdr:cNvPr id="2" name="正方形/長方形 1">
          <a:extLst>
            <a:ext uri="{FF2B5EF4-FFF2-40B4-BE49-F238E27FC236}">
              <a16:creationId xmlns:a16="http://schemas.microsoft.com/office/drawing/2014/main" id="{00000000-0008-0000-1D00-000002000000}"/>
            </a:ext>
          </a:extLst>
        </xdr:cNvPr>
        <xdr:cNvSpPr/>
      </xdr:nvSpPr>
      <xdr:spPr>
        <a:xfrm>
          <a:off x="2939080" y="3286012"/>
          <a:ext cx="7546937" cy="3872754"/>
        </a:xfrm>
        <a:prstGeom prst="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r>
            <a:rPr kumimoji="1" lang="ja-JP" altLang="en-US" sz="1100"/>
            <a:t>勤務表の作成について・・・</a:t>
          </a:r>
          <a:endParaRPr kumimoji="1" lang="en-US" altLang="ja-JP" sz="1100"/>
        </a:p>
        <a:p>
          <a:pPr algn="l"/>
          <a:r>
            <a:rPr kumimoji="1" lang="ja-JP" altLang="en-US" sz="1100"/>
            <a:t>　基準（勤務体制の確保等）では、「施設（事業所）ごとに、原則として月ごとに勤務表を作成し、従業者の日々の勤務時間、常勤・非常勤の別、介護・介護職員等の配置兼務関係等を明確にすること」を定めています。</a:t>
          </a:r>
          <a:endParaRPr kumimoji="1" lang="en-US" altLang="ja-JP" sz="1100"/>
        </a:p>
        <a:p>
          <a:pPr algn="l"/>
          <a:endParaRPr kumimoji="1" lang="en-US" altLang="ja-JP" sz="1100"/>
        </a:p>
        <a:p>
          <a:pPr algn="l"/>
          <a:r>
            <a:rPr kumimoji="1" lang="ja-JP" altLang="en-US" sz="1100"/>
            <a:t>　この勤務表は、人員基準や夜勤職員（加算含む）などの計算ができるように参考に作成したものです。</a:t>
          </a:r>
          <a:endParaRPr kumimoji="1" lang="en-US" altLang="ja-JP" sz="1100"/>
        </a:p>
        <a:p>
          <a:pPr algn="l"/>
          <a:r>
            <a:rPr kumimoji="1" lang="ja-JP" altLang="en-US" sz="1100"/>
            <a:t>　普段の勤務予定表として作成し、最終的に実績表として再作成するなどしてご活用ください。（活用にあっては任意です。）</a:t>
          </a:r>
          <a:endParaRPr kumimoji="1" lang="en-US" altLang="ja-JP" sz="1100"/>
        </a:p>
        <a:p>
          <a:pPr algn="l"/>
          <a:endParaRPr kumimoji="1" lang="en-US" altLang="ja-JP" sz="1100"/>
        </a:p>
        <a:p>
          <a:pPr algn="l"/>
          <a:r>
            <a:rPr kumimoji="1" lang="ja-JP" altLang="en-US" sz="1100"/>
            <a:t>　作成にあっては、事業所単位で作成する。または事業所に勤務する職種単位で作成し事業所ごとに管理する等して、事業所ごとに月ごとの勤務時間がわかるよう、把握しやすいよう工夫してください。</a:t>
          </a:r>
          <a:endParaRPr kumimoji="1" lang="en-US" altLang="ja-JP" sz="1100"/>
        </a:p>
        <a:p>
          <a:pPr algn="l"/>
          <a:r>
            <a:rPr kumimoji="1" lang="ja-JP" altLang="en-US" sz="1100"/>
            <a:t>　</a:t>
          </a:r>
          <a:endParaRPr kumimoji="1" lang="en-US" altLang="ja-JP" sz="1100"/>
        </a:p>
        <a:p>
          <a:pPr algn="l"/>
          <a:r>
            <a:rPr kumimoji="1" lang="ja-JP" altLang="en-US" sz="1100"/>
            <a:t>　この勤務表では、日数単位、４週単位での常勤換算を計算、夜勤時間帯を通じて、必要な人員数が満たされているか確認もできるようにしています。（全職員の実労働時間数も把握できますので、指標等にも活用できます。）</a:t>
          </a:r>
          <a:endParaRPr kumimoji="1" lang="en-US" altLang="ja-JP" sz="1100"/>
        </a:p>
        <a:p>
          <a:pPr algn="l"/>
          <a:endParaRPr kumimoji="1" lang="en-US" altLang="ja-JP" sz="1100"/>
        </a:p>
        <a:p>
          <a:pPr algn="l"/>
          <a:r>
            <a:rPr kumimoji="1" lang="ja-JP" altLang="en-US" sz="1100"/>
            <a:t>　</a:t>
          </a:r>
          <a:r>
            <a:rPr kumimoji="1" lang="en-US" altLang="ja-JP" sz="1100"/>
            <a:t>※</a:t>
          </a:r>
          <a:r>
            <a:rPr kumimoji="1" lang="ja-JP" altLang="en-US" sz="1100"/>
            <a:t>施設（事業所）によっては、常勤が勤務すべき時間数、勤務形態、勤務時間、夜勤時間帯など異なりますので、この勤務表を活用される場合は、あらかじめ基本設定する必要があります。</a:t>
          </a:r>
          <a:endParaRPr kumimoji="1" lang="en-US" altLang="ja-JP" sz="1100"/>
        </a:p>
        <a:p>
          <a:pPr algn="l"/>
          <a:endParaRPr kumimoji="1" lang="en-US" altLang="ja-JP" sz="1100"/>
        </a:p>
        <a:p>
          <a:pPr algn="l"/>
          <a:r>
            <a:rPr kumimoji="1" lang="ja-JP" altLang="en-US" sz="1100"/>
            <a:t>　①オレンジ色のセルは、基本設定した内容を「選択入力」してください。</a:t>
          </a:r>
          <a:endParaRPr kumimoji="1" lang="en-US" altLang="ja-JP" sz="1100"/>
        </a:p>
        <a:p>
          <a:pPr algn="l"/>
          <a:r>
            <a:rPr kumimoji="1" lang="ja-JP" altLang="en-US" sz="1100"/>
            <a:t>　②薄い青色のセルは、計算式が入力されています。</a:t>
          </a:r>
          <a:endParaRPr kumimoji="1" lang="en-US" altLang="ja-JP" sz="1100"/>
        </a:p>
        <a:p>
          <a:pPr algn="l"/>
          <a:r>
            <a:rPr kumimoji="1" lang="ja-JP" altLang="en-US" sz="1100"/>
            <a:t>　③薄い黄色のセルは、「入力」してください。</a:t>
          </a:r>
          <a:endParaRPr kumimoji="1" lang="en-US" altLang="ja-JP" sz="1100"/>
        </a:p>
        <a:p>
          <a:pPr algn="l"/>
          <a:r>
            <a:rPr kumimoji="1" lang="ja-JP" altLang="en-US" sz="1100"/>
            <a:t>　</a:t>
          </a:r>
          <a:r>
            <a:rPr kumimoji="1" lang="en-US" altLang="ja-JP" sz="1100"/>
            <a:t>※</a:t>
          </a:r>
          <a:r>
            <a:rPr kumimoji="1" lang="ja-JP" altLang="en-US" sz="1100"/>
            <a:t>便宜上、カラーで設定していますが、印刷する際は、「ページ設定」⇒「白黒印刷」に変更して印刷する等してください。</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60960</xdr:colOff>
          <xdr:row>17</xdr:row>
          <xdr:rowOff>213360</xdr:rowOff>
        </xdr:from>
        <xdr:to>
          <xdr:col>13</xdr:col>
          <xdr:colOff>0</xdr:colOff>
          <xdr:row>19</xdr:row>
          <xdr:rowOff>99060</xdr:rowOff>
        </xdr:to>
        <xdr:sp macro="" textlink="">
          <xdr:nvSpPr>
            <xdr:cNvPr id="599041" name="Check Box 1" hidden="1">
              <a:extLst>
                <a:ext uri="{63B3BB69-23CF-44E3-9099-C40C66FF867C}">
                  <a14:compatExt spid="_x0000_s599041"/>
                </a:ext>
                <a:ext uri="{FF2B5EF4-FFF2-40B4-BE49-F238E27FC236}">
                  <a16:creationId xmlns:a16="http://schemas.microsoft.com/office/drawing/2014/main" id="{00000000-0008-0000-1E00-0000012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17</xdr:row>
          <xdr:rowOff>213360</xdr:rowOff>
        </xdr:from>
        <xdr:to>
          <xdr:col>21</xdr:col>
          <xdr:colOff>22860</xdr:colOff>
          <xdr:row>19</xdr:row>
          <xdr:rowOff>99060</xdr:rowOff>
        </xdr:to>
        <xdr:sp macro="" textlink="">
          <xdr:nvSpPr>
            <xdr:cNvPr id="599042" name="Check Box 2" hidden="1">
              <a:extLst>
                <a:ext uri="{63B3BB69-23CF-44E3-9099-C40C66FF867C}">
                  <a14:compatExt spid="_x0000_s599042"/>
                </a:ext>
                <a:ext uri="{FF2B5EF4-FFF2-40B4-BE49-F238E27FC236}">
                  <a16:creationId xmlns:a16="http://schemas.microsoft.com/office/drawing/2014/main" id="{00000000-0008-0000-1E00-0000022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30</xdr:row>
          <xdr:rowOff>0</xdr:rowOff>
        </xdr:from>
        <xdr:to>
          <xdr:col>13</xdr:col>
          <xdr:colOff>0</xdr:colOff>
          <xdr:row>31</xdr:row>
          <xdr:rowOff>60960</xdr:rowOff>
        </xdr:to>
        <xdr:sp macro="" textlink="">
          <xdr:nvSpPr>
            <xdr:cNvPr id="599043" name="Check Box 3" hidden="1">
              <a:extLst>
                <a:ext uri="{63B3BB69-23CF-44E3-9099-C40C66FF867C}">
                  <a14:compatExt spid="_x0000_s599043"/>
                </a:ext>
                <a:ext uri="{FF2B5EF4-FFF2-40B4-BE49-F238E27FC236}">
                  <a16:creationId xmlns:a16="http://schemas.microsoft.com/office/drawing/2014/main" id="{00000000-0008-0000-1E00-0000032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30</xdr:row>
          <xdr:rowOff>0</xdr:rowOff>
        </xdr:from>
        <xdr:to>
          <xdr:col>21</xdr:col>
          <xdr:colOff>22860</xdr:colOff>
          <xdr:row>31</xdr:row>
          <xdr:rowOff>60960</xdr:rowOff>
        </xdr:to>
        <xdr:sp macro="" textlink="">
          <xdr:nvSpPr>
            <xdr:cNvPr id="599044" name="Check Box 4" hidden="1">
              <a:extLst>
                <a:ext uri="{63B3BB69-23CF-44E3-9099-C40C66FF867C}">
                  <a14:compatExt spid="_x0000_s599044"/>
                </a:ext>
                <a:ext uri="{FF2B5EF4-FFF2-40B4-BE49-F238E27FC236}">
                  <a16:creationId xmlns:a16="http://schemas.microsoft.com/office/drawing/2014/main" id="{00000000-0008-0000-1E00-00000424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xdr:col>
      <xdr:colOff>82550</xdr:colOff>
      <xdr:row>10</xdr:row>
      <xdr:rowOff>0</xdr:rowOff>
    </xdr:from>
    <xdr:to>
      <xdr:col>13</xdr:col>
      <xdr:colOff>152400</xdr:colOff>
      <xdr:row>10</xdr:row>
      <xdr:rowOff>0</xdr:rowOff>
    </xdr:to>
    <xdr:sp macro="" textlink="">
      <xdr:nvSpPr>
        <xdr:cNvPr id="575573" name="AutoShape 3">
          <a:extLst>
            <a:ext uri="{FF2B5EF4-FFF2-40B4-BE49-F238E27FC236}">
              <a16:creationId xmlns:a16="http://schemas.microsoft.com/office/drawing/2014/main" id="{00000000-0008-0000-2400-000055C80800}"/>
            </a:ext>
          </a:extLst>
        </xdr:cNvPr>
        <xdr:cNvSpPr>
          <a:spLocks noChangeArrowheads="1"/>
        </xdr:cNvSpPr>
      </xdr:nvSpPr>
      <xdr:spPr bwMode="auto">
        <a:xfrm>
          <a:off x="787400" y="1981200"/>
          <a:ext cx="1574800" cy="0"/>
        </a:xfrm>
        <a:prstGeom prst="bracketPair">
          <a:avLst>
            <a:gd name="adj" fmla="val 12120"/>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pref.osaka.lg.jp/documents/63688/tuchi.pdf" TargetMode="External"/><Relationship Id="rId7" Type="http://schemas.openxmlformats.org/officeDocument/2006/relationships/printerSettings" Target="../printerSettings/printerSettings2.bin"/><Relationship Id="rId2" Type="http://schemas.openxmlformats.org/officeDocument/2006/relationships/hyperlink" Target="https://www.kaigokensaku.mhlw.go.jp/shinsei/report/" TargetMode="External"/><Relationship Id="rId1" Type="http://schemas.openxmlformats.org/officeDocument/2006/relationships/hyperlink" Target="https://www.pref.osaka.lg.jp/documents/63688/tuchi.pdf" TargetMode="External"/><Relationship Id="rId6" Type="http://schemas.openxmlformats.org/officeDocument/2006/relationships/hyperlink" Target="https://www.kaigokensaku.mhlw.go.jp/shinsei/report/" TargetMode="External"/><Relationship Id="rId5" Type="http://schemas.openxmlformats.org/officeDocument/2006/relationships/hyperlink" Target="https://www.pref.osaka.lg.jp/documents/63688/tuchi.pdf" TargetMode="External"/><Relationship Id="rId4" Type="http://schemas.openxmlformats.org/officeDocument/2006/relationships/hyperlink" Target="https://www.kaigokensaku.mhlw.go.jp/shinsei/report/" TargetMode="Externa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20.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1.bin"/><Relationship Id="rId4" Type="http://schemas.openxmlformats.org/officeDocument/2006/relationships/comments" Target="../comments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32.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E81D8-B7E5-407A-9C48-A2EFBA1F06A7}">
  <sheetPr>
    <tabColor rgb="FFFF0000"/>
    <pageSetUpPr fitToPage="1"/>
  </sheetPr>
  <dimension ref="B1:H76"/>
  <sheetViews>
    <sheetView view="pageBreakPreview" zoomScale="70" zoomScaleNormal="100" zoomScaleSheetLayoutView="70" workbookViewId="0"/>
  </sheetViews>
  <sheetFormatPr defaultColWidth="9" defaultRowHeight="13.2"/>
  <cols>
    <col min="1" max="1" width="2" style="199" customWidth="1"/>
    <col min="2" max="3" width="3.33203125" style="199" customWidth="1"/>
    <col min="4" max="4" width="27.109375" style="199" customWidth="1"/>
    <col min="5" max="5" width="23.44140625" style="199" customWidth="1"/>
    <col min="6" max="6" width="22.77734375" style="199" customWidth="1"/>
    <col min="7" max="7" width="39.21875" style="199" customWidth="1"/>
    <col min="8" max="8" width="1.44140625" style="199" customWidth="1"/>
    <col min="9" max="16384" width="9" style="199"/>
  </cols>
  <sheetData>
    <row r="1" spans="2:7">
      <c r="G1" s="852" t="s">
        <v>2231</v>
      </c>
    </row>
    <row r="2" spans="2:7" ht="16.2">
      <c r="B2" s="1445" t="s">
        <v>524</v>
      </c>
      <c r="C2" s="1445"/>
      <c r="D2" s="1445"/>
      <c r="E2" s="1445"/>
      <c r="F2" s="1445"/>
      <c r="G2" s="1445"/>
    </row>
    <row r="4" spans="2:7" ht="16.2">
      <c r="B4" s="200" t="s">
        <v>473</v>
      </c>
      <c r="C4" s="200"/>
    </row>
    <row r="5" spans="2:7">
      <c r="B5" s="1422" t="s">
        <v>1012</v>
      </c>
      <c r="C5" s="1422"/>
      <c r="D5" s="1422"/>
      <c r="E5" s="1422"/>
      <c r="F5" s="1422"/>
      <c r="G5" s="1422"/>
    </row>
    <row r="6" spans="2:7">
      <c r="B6" s="1422"/>
      <c r="C6" s="1422"/>
      <c r="D6" s="1422"/>
      <c r="E6" s="1422"/>
      <c r="F6" s="1422"/>
      <c r="G6" s="1422"/>
    </row>
    <row r="7" spans="2:7">
      <c r="B7" s="1422"/>
      <c r="C7" s="1422"/>
      <c r="D7" s="1422"/>
      <c r="E7" s="1422"/>
      <c r="F7" s="1422"/>
      <c r="G7" s="1422"/>
    </row>
    <row r="9" spans="2:7">
      <c r="B9" s="201" t="s">
        <v>474</v>
      </c>
      <c r="C9" s="201"/>
    </row>
    <row r="10" spans="2:7">
      <c r="B10" s="1422" t="s">
        <v>475</v>
      </c>
      <c r="C10" s="1422"/>
      <c r="D10" s="1422"/>
      <c r="E10" s="1422"/>
      <c r="F10" s="1422"/>
      <c r="G10" s="1422"/>
    </row>
    <row r="11" spans="2:7">
      <c r="B11" s="1422"/>
      <c r="C11" s="1422"/>
      <c r="D11" s="1422"/>
      <c r="E11" s="1422"/>
      <c r="F11" s="1422"/>
      <c r="G11" s="1422"/>
    </row>
    <row r="12" spans="2:7">
      <c r="B12" s="1422"/>
      <c r="C12" s="1422"/>
      <c r="D12" s="1422"/>
      <c r="E12" s="1422"/>
      <c r="F12" s="1422"/>
      <c r="G12" s="1422"/>
    </row>
    <row r="13" spans="2:7">
      <c r="B13" s="1422"/>
      <c r="C13" s="1422"/>
      <c r="D13" s="1422"/>
      <c r="E13" s="1422"/>
      <c r="F13" s="1422"/>
      <c r="G13" s="1422"/>
    </row>
    <row r="14" spans="2:7">
      <c r="B14" s="1422"/>
      <c r="C14" s="1422"/>
      <c r="D14" s="1422"/>
      <c r="E14" s="1422"/>
      <c r="F14" s="1422"/>
      <c r="G14" s="1422"/>
    </row>
    <row r="16" spans="2:7" ht="16.2">
      <c r="B16" s="200" t="s">
        <v>476</v>
      </c>
      <c r="C16" s="200"/>
    </row>
    <row r="17" spans="2:8">
      <c r="B17" s="1422" t="s">
        <v>477</v>
      </c>
      <c r="C17" s="1422"/>
      <c r="D17" s="1422"/>
      <c r="E17" s="1422"/>
      <c r="F17" s="1422"/>
      <c r="G17" s="1422"/>
    </row>
    <row r="18" spans="2:8">
      <c r="B18" s="1422"/>
      <c r="C18" s="1422"/>
      <c r="D18" s="1422"/>
      <c r="E18" s="1422"/>
      <c r="F18" s="1422"/>
      <c r="G18" s="1422"/>
    </row>
    <row r="19" spans="2:8">
      <c r="B19" s="1422"/>
      <c r="C19" s="1422"/>
      <c r="D19" s="1422"/>
      <c r="E19" s="1422"/>
      <c r="F19" s="1422"/>
      <c r="G19" s="1422"/>
    </row>
    <row r="21" spans="2:8" ht="16.2">
      <c r="C21" s="200" t="s">
        <v>478</v>
      </c>
    </row>
    <row r="22" spans="2:8" ht="16.2">
      <c r="C22" s="200"/>
      <c r="D22" s="202" t="s">
        <v>1013</v>
      </c>
    </row>
    <row r="23" spans="2:8" ht="26.25" customHeight="1">
      <c r="D23" s="1446" t="s">
        <v>479</v>
      </c>
      <c r="E23" s="1447"/>
      <c r="F23" s="203" t="s">
        <v>480</v>
      </c>
      <c r="G23" s="204" t="s">
        <v>481</v>
      </c>
    </row>
    <row r="24" spans="2:8" ht="13.2" customHeight="1">
      <c r="D24" s="205" t="s">
        <v>2</v>
      </c>
      <c r="E24" s="198"/>
      <c r="F24" s="1435" t="s">
        <v>1740</v>
      </c>
      <c r="G24" s="1423" t="s">
        <v>2232</v>
      </c>
    </row>
    <row r="25" spans="2:8">
      <c r="D25" s="207"/>
      <c r="E25" s="208"/>
      <c r="F25" s="1436"/>
      <c r="G25" s="1424"/>
    </row>
    <row r="26" spans="2:8">
      <c r="D26" s="205" t="s">
        <v>482</v>
      </c>
      <c r="E26" s="198"/>
      <c r="F26" s="1436"/>
      <c r="G26" s="1424"/>
    </row>
    <row r="27" spans="2:8">
      <c r="D27" s="207" t="s">
        <v>483</v>
      </c>
      <c r="E27" s="208"/>
      <c r="F27" s="1436"/>
      <c r="G27" s="1424"/>
    </row>
    <row r="28" spans="2:8" ht="13.2" customHeight="1">
      <c r="D28" s="1374" t="s">
        <v>484</v>
      </c>
      <c r="E28" s="1449" t="s">
        <v>485</v>
      </c>
      <c r="F28" s="1436"/>
      <c r="G28" s="1424"/>
    </row>
    <row r="29" spans="2:8">
      <c r="D29" s="1374" t="s">
        <v>486</v>
      </c>
      <c r="E29" s="1450"/>
      <c r="F29" s="1436"/>
      <c r="G29" s="1424"/>
      <c r="H29" s="864"/>
    </row>
    <row r="30" spans="2:8">
      <c r="D30" s="215" t="s">
        <v>489</v>
      </c>
      <c r="E30" s="206" t="s">
        <v>1741</v>
      </c>
      <c r="F30" s="1436"/>
      <c r="G30" s="1424"/>
      <c r="H30" s="864"/>
    </row>
    <row r="31" spans="2:8">
      <c r="D31" s="216" t="s">
        <v>1742</v>
      </c>
      <c r="E31" s="210"/>
      <c r="F31" s="1436"/>
      <c r="G31" s="1448"/>
      <c r="H31" s="864"/>
    </row>
    <row r="32" spans="2:8" ht="13.2" customHeight="1">
      <c r="D32" s="216"/>
      <c r="E32" s="1451" t="s">
        <v>1743</v>
      </c>
      <c r="F32" s="1378" t="s">
        <v>487</v>
      </c>
      <c r="G32" s="1379" t="s">
        <v>488</v>
      </c>
    </row>
    <row r="33" spans="4:7">
      <c r="D33" s="216"/>
      <c r="E33" s="1452"/>
      <c r="F33" s="862" t="s">
        <v>499</v>
      </c>
      <c r="G33" s="214" t="s">
        <v>490</v>
      </c>
    </row>
    <row r="34" spans="4:7">
      <c r="D34" s="218"/>
      <c r="E34" s="1453"/>
      <c r="F34" s="863" t="s">
        <v>500</v>
      </c>
      <c r="G34" s="219" t="s">
        <v>492</v>
      </c>
    </row>
    <row r="35" spans="4:7" ht="13.2" customHeight="1">
      <c r="D35" s="1374" t="s">
        <v>4</v>
      </c>
      <c r="E35" s="1375"/>
      <c r="F35" s="1436" t="s">
        <v>1744</v>
      </c>
      <c r="G35" s="1423" t="s">
        <v>2232</v>
      </c>
    </row>
    <row r="36" spans="4:7">
      <c r="D36" s="207"/>
      <c r="E36" s="208"/>
      <c r="F36" s="1436"/>
      <c r="G36" s="1424"/>
    </row>
    <row r="37" spans="4:7">
      <c r="D37" s="205" t="s">
        <v>493</v>
      </c>
      <c r="E37" s="198"/>
      <c r="F37" s="1436"/>
      <c r="G37" s="1424"/>
    </row>
    <row r="38" spans="4:7">
      <c r="D38" s="207" t="s">
        <v>494</v>
      </c>
      <c r="E38" s="208"/>
      <c r="F38" s="1436"/>
      <c r="G38" s="1425"/>
    </row>
    <row r="39" spans="4:7" ht="13.2" customHeight="1">
      <c r="D39" s="1374" t="s">
        <v>484</v>
      </c>
      <c r="E39" s="1449" t="s">
        <v>495</v>
      </c>
      <c r="F39" s="1436"/>
      <c r="G39" s="1434" t="s">
        <v>496</v>
      </c>
    </row>
    <row r="40" spans="4:7">
      <c r="D40" s="1374" t="s">
        <v>486</v>
      </c>
      <c r="E40" s="1450"/>
      <c r="F40" s="1436"/>
      <c r="G40" s="1425"/>
    </row>
    <row r="41" spans="4:7">
      <c r="D41" s="213" t="s">
        <v>497</v>
      </c>
      <c r="E41" s="206" t="s">
        <v>1741</v>
      </c>
      <c r="F41" s="1436"/>
      <c r="G41" s="213"/>
    </row>
    <row r="42" spans="4:7">
      <c r="D42" s="214" t="s">
        <v>498</v>
      </c>
      <c r="E42" s="211"/>
      <c r="F42" s="1436"/>
      <c r="G42" s="214" t="s">
        <v>488</v>
      </c>
    </row>
    <row r="43" spans="4:7" ht="13.2" customHeight="1">
      <c r="D43" s="214"/>
      <c r="E43" s="1440" t="s">
        <v>1743</v>
      </c>
      <c r="F43" s="1396" t="s">
        <v>487</v>
      </c>
      <c r="G43" s="214" t="s">
        <v>490</v>
      </c>
    </row>
    <row r="44" spans="4:7">
      <c r="D44" s="214"/>
      <c r="E44" s="1441"/>
      <c r="F44" s="209" t="s">
        <v>499</v>
      </c>
      <c r="G44" s="214" t="s">
        <v>492</v>
      </c>
    </row>
    <row r="45" spans="4:7">
      <c r="D45" s="214"/>
      <c r="E45" s="1442"/>
      <c r="F45" s="212" t="s">
        <v>500</v>
      </c>
      <c r="G45" s="214"/>
    </row>
    <row r="46" spans="4:7" ht="18" customHeight="1">
      <c r="D46" s="205" t="s">
        <v>501</v>
      </c>
      <c r="E46" s="198"/>
      <c r="F46" s="1435" t="s">
        <v>2233</v>
      </c>
      <c r="G46" s="858"/>
    </row>
    <row r="47" spans="4:7" ht="18" customHeight="1">
      <c r="D47" s="1443" t="s">
        <v>502</v>
      </c>
      <c r="E47" s="1444"/>
      <c r="F47" s="1436"/>
      <c r="G47" s="859"/>
    </row>
    <row r="48" spans="4:7" ht="18" customHeight="1">
      <c r="D48" s="207"/>
      <c r="E48" s="208"/>
      <c r="F48" s="1436"/>
      <c r="G48" s="859"/>
    </row>
    <row r="49" spans="3:7" ht="18" customHeight="1">
      <c r="D49" s="210" t="s">
        <v>6</v>
      </c>
      <c r="E49" s="205" t="s">
        <v>503</v>
      </c>
      <c r="F49" s="1436"/>
      <c r="G49" s="859"/>
    </row>
    <row r="50" spans="3:7" ht="18" customHeight="1">
      <c r="D50" s="210" t="s">
        <v>504</v>
      </c>
      <c r="E50" s="860" t="s">
        <v>505</v>
      </c>
      <c r="F50" s="1436"/>
      <c r="G50" s="859"/>
    </row>
    <row r="51" spans="3:7" ht="18" customHeight="1">
      <c r="D51" s="210"/>
      <c r="E51" s="1438" t="s">
        <v>506</v>
      </c>
      <c r="F51" s="1436"/>
      <c r="G51" s="859"/>
    </row>
    <row r="52" spans="3:7" ht="18" customHeight="1">
      <c r="D52" s="210"/>
      <c r="E52" s="1439"/>
      <c r="F52" s="1437"/>
      <c r="G52" s="859" t="s">
        <v>507</v>
      </c>
    </row>
    <row r="53" spans="3:7" ht="18" customHeight="1">
      <c r="D53" s="213" t="s">
        <v>508</v>
      </c>
      <c r="E53" s="1426" t="s">
        <v>1897</v>
      </c>
      <c r="F53" s="222" t="s">
        <v>487</v>
      </c>
      <c r="G53" s="1429" t="s">
        <v>509</v>
      </c>
    </row>
    <row r="54" spans="3:7" ht="18" customHeight="1">
      <c r="D54" s="214" t="s">
        <v>510</v>
      </c>
      <c r="E54" s="1427"/>
      <c r="F54" s="221" t="s">
        <v>499</v>
      </c>
      <c r="G54" s="1429"/>
    </row>
    <row r="55" spans="3:7" ht="18" customHeight="1">
      <c r="D55" s="214"/>
      <c r="E55" s="1428"/>
      <c r="F55" s="1389" t="s">
        <v>500</v>
      </c>
      <c r="G55" s="859"/>
    </row>
    <row r="56" spans="3:7" ht="18" customHeight="1">
      <c r="D56" s="210"/>
      <c r="E56" s="1375" t="s">
        <v>511</v>
      </c>
      <c r="F56" s="209" t="s">
        <v>1033</v>
      </c>
      <c r="G56" s="859"/>
    </row>
    <row r="57" spans="3:7" ht="18" customHeight="1">
      <c r="D57" s="210"/>
      <c r="E57" s="1375"/>
      <c r="F57" s="209" t="s">
        <v>1034</v>
      </c>
      <c r="G57" s="859"/>
    </row>
    <row r="58" spans="3:7" ht="18" customHeight="1">
      <c r="D58" s="181"/>
      <c r="E58" s="1375"/>
      <c r="F58" s="212" t="s">
        <v>491</v>
      </c>
      <c r="G58" s="859"/>
    </row>
    <row r="59" spans="3:7" ht="18" customHeight="1">
      <c r="D59" s="215" t="s">
        <v>512</v>
      </c>
      <c r="E59" s="1430" t="s">
        <v>513</v>
      </c>
      <c r="F59" s="217"/>
      <c r="G59" s="214"/>
    </row>
    <row r="60" spans="3:7" ht="18" customHeight="1">
      <c r="D60" s="216"/>
      <c r="E60" s="1431"/>
      <c r="F60" s="217" t="s">
        <v>487</v>
      </c>
      <c r="G60" s="214"/>
    </row>
    <row r="61" spans="3:7" ht="18" customHeight="1">
      <c r="D61" s="216"/>
      <c r="E61" s="214" t="s">
        <v>514</v>
      </c>
      <c r="F61" s="217" t="s">
        <v>499</v>
      </c>
      <c r="G61" s="1432"/>
    </row>
    <row r="62" spans="3:7" ht="18" customHeight="1">
      <c r="D62" s="218"/>
      <c r="E62" s="219" t="s">
        <v>1745</v>
      </c>
      <c r="F62" s="861" t="s">
        <v>500</v>
      </c>
      <c r="G62" s="1433"/>
    </row>
    <row r="64" spans="3:7" ht="16.2">
      <c r="C64" s="200" t="s">
        <v>516</v>
      </c>
    </row>
    <row r="65" spans="2:7" ht="14.4">
      <c r="D65" s="220" t="s">
        <v>517</v>
      </c>
    </row>
    <row r="67" spans="2:7" ht="16.2">
      <c r="B67" s="200" t="s">
        <v>518</v>
      </c>
    </row>
    <row r="68" spans="2:7">
      <c r="B68" s="1422" t="s">
        <v>519</v>
      </c>
      <c r="C68" s="1422"/>
      <c r="D68" s="1422"/>
      <c r="E68" s="1422"/>
      <c r="F68" s="1422"/>
      <c r="G68" s="1422"/>
    </row>
    <row r="69" spans="2:7">
      <c r="B69" s="1422"/>
      <c r="C69" s="1422"/>
      <c r="D69" s="1422"/>
      <c r="E69" s="1422"/>
      <c r="F69" s="1422"/>
      <c r="G69" s="1422"/>
    </row>
    <row r="70" spans="2:7">
      <c r="B70" s="1422"/>
      <c r="C70" s="1422"/>
      <c r="D70" s="1422"/>
      <c r="E70" s="1422"/>
      <c r="F70" s="1422"/>
      <c r="G70" s="1422"/>
    </row>
    <row r="71" spans="2:7">
      <c r="D71" s="199" t="s">
        <v>520</v>
      </c>
    </row>
    <row r="72" spans="2:7">
      <c r="D72" s="199" t="s">
        <v>521</v>
      </c>
    </row>
    <row r="73" spans="2:7">
      <c r="D73" s="199" t="s">
        <v>1014</v>
      </c>
    </row>
    <row r="75" spans="2:7">
      <c r="C75" s="201" t="s">
        <v>522</v>
      </c>
    </row>
    <row r="76" spans="2:7">
      <c r="C76" s="201" t="s">
        <v>523</v>
      </c>
    </row>
  </sheetData>
  <mergeCells count="22">
    <mergeCell ref="G24:G31"/>
    <mergeCell ref="F24:F31"/>
    <mergeCell ref="E28:E29"/>
    <mergeCell ref="E32:E34"/>
    <mergeCell ref="F35:F42"/>
    <mergeCell ref="E39:E40"/>
    <mergeCell ref="B2:G2"/>
    <mergeCell ref="B5:G7"/>
    <mergeCell ref="B10:G14"/>
    <mergeCell ref="B17:G19"/>
    <mergeCell ref="D23:E23"/>
    <mergeCell ref="B68:G70"/>
    <mergeCell ref="G35:G38"/>
    <mergeCell ref="E53:E55"/>
    <mergeCell ref="G53:G54"/>
    <mergeCell ref="E59:E60"/>
    <mergeCell ref="G61:G62"/>
    <mergeCell ref="G39:G40"/>
    <mergeCell ref="F46:F52"/>
    <mergeCell ref="E51:E52"/>
    <mergeCell ref="E43:E45"/>
    <mergeCell ref="D47:E47"/>
  </mergeCells>
  <phoneticPr fontId="3"/>
  <printOptions horizontalCentered="1"/>
  <pageMargins left="0.59055118110236227" right="0.19685039370078741" top="0.19685039370078741" bottom="0.19685039370078741" header="0.31496062992125984" footer="0.31496062992125984"/>
  <pageSetup paperSize="9" scale="7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F1464-EBA5-449B-8DEF-A8C1E90210D6}">
  <sheetPr>
    <tabColor rgb="FFFFFF00"/>
  </sheetPr>
  <dimension ref="B2:Y62"/>
  <sheetViews>
    <sheetView view="pageBreakPreview" topLeftCell="A13" zoomScaleNormal="100" zoomScaleSheetLayoutView="100" workbookViewId="0"/>
  </sheetViews>
  <sheetFormatPr defaultColWidth="3.44140625" defaultRowHeight="13.2"/>
  <cols>
    <col min="1" max="1" width="2.33203125" style="3" customWidth="1"/>
    <col min="2" max="2" width="3" style="616" customWidth="1"/>
    <col min="3" max="7" width="3.44140625" style="3"/>
    <col min="8" max="25" width="4.44140625" style="3" customWidth="1"/>
    <col min="26" max="16384" width="3.44140625" style="3"/>
  </cols>
  <sheetData>
    <row r="2" spans="2:25">
      <c r="B2" s="3" t="s">
        <v>1717</v>
      </c>
    </row>
    <row r="3" spans="2:25">
      <c r="Q3" s="1"/>
      <c r="R3" s="45" t="s">
        <v>544</v>
      </c>
      <c r="S3" s="1575"/>
      <c r="T3" s="1575"/>
      <c r="U3" s="45" t="s">
        <v>34</v>
      </c>
      <c r="V3" s="12"/>
      <c r="W3" s="45" t="s">
        <v>1108</v>
      </c>
      <c r="X3" s="12"/>
      <c r="Y3" s="45" t="s">
        <v>241</v>
      </c>
    </row>
    <row r="4" spans="2:25">
      <c r="B4" s="1788" t="s">
        <v>1718</v>
      </c>
      <c r="C4" s="1788"/>
      <c r="D4" s="1788"/>
      <c r="E4" s="1788"/>
      <c r="F4" s="1788"/>
      <c r="G4" s="1788"/>
      <c r="H4" s="1788"/>
      <c r="I4" s="1788"/>
      <c r="J4" s="1788"/>
      <c r="K4" s="1788"/>
      <c r="L4" s="1788"/>
      <c r="M4" s="1788"/>
      <c r="N4" s="1788"/>
      <c r="O4" s="1788"/>
      <c r="P4" s="1788"/>
      <c r="Q4" s="1788"/>
      <c r="R4" s="1788"/>
      <c r="S4" s="1788"/>
      <c r="T4" s="1788"/>
      <c r="U4" s="1788"/>
      <c r="V4" s="1788"/>
      <c r="W4" s="1788"/>
      <c r="X4" s="1788"/>
      <c r="Y4" s="1788"/>
    </row>
    <row r="6" spans="2:25" ht="30" customHeight="1">
      <c r="B6" s="663">
        <v>1</v>
      </c>
      <c r="C6" s="639" t="s">
        <v>92</v>
      </c>
      <c r="D6" s="16"/>
      <c r="E6" s="16"/>
      <c r="F6" s="16"/>
      <c r="G6" s="17"/>
      <c r="H6" s="1789"/>
      <c r="I6" s="1790"/>
      <c r="J6" s="1790"/>
      <c r="K6" s="1790"/>
      <c r="L6" s="1790"/>
      <c r="M6" s="1790"/>
      <c r="N6" s="1790"/>
      <c r="O6" s="1790"/>
      <c r="P6" s="1790"/>
      <c r="Q6" s="1790"/>
      <c r="R6" s="1790"/>
      <c r="S6" s="1790"/>
      <c r="T6" s="1790"/>
      <c r="U6" s="1790"/>
      <c r="V6" s="1790"/>
      <c r="W6" s="1790"/>
      <c r="X6" s="1790"/>
      <c r="Y6" s="1791"/>
    </row>
    <row r="7" spans="2:25" ht="30" customHeight="1">
      <c r="B7" s="663">
        <v>2</v>
      </c>
      <c r="C7" s="639" t="s">
        <v>62</v>
      </c>
      <c r="D7" s="639"/>
      <c r="E7" s="639"/>
      <c r="F7" s="639"/>
      <c r="G7" s="643"/>
      <c r="H7" s="719" t="s">
        <v>121</v>
      </c>
      <c r="I7" s="639" t="s">
        <v>1173</v>
      </c>
      <c r="J7" s="639"/>
      <c r="K7" s="639"/>
      <c r="L7" s="639"/>
      <c r="M7" s="640" t="s">
        <v>121</v>
      </c>
      <c r="N7" s="639" t="s">
        <v>1174</v>
      </c>
      <c r="O7" s="639"/>
      <c r="P7" s="639"/>
      <c r="Q7" s="639"/>
      <c r="R7" s="640" t="s">
        <v>121</v>
      </c>
      <c r="S7" s="639" t="s">
        <v>1175</v>
      </c>
      <c r="T7" s="639"/>
      <c r="U7" s="639"/>
      <c r="V7" s="639"/>
      <c r="W7" s="639"/>
      <c r="X7" s="639"/>
      <c r="Y7" s="643"/>
    </row>
    <row r="8" spans="2:25" ht="30" customHeight="1">
      <c r="B8" s="602">
        <v>3</v>
      </c>
      <c r="C8" s="2" t="s">
        <v>63</v>
      </c>
      <c r="D8" s="2"/>
      <c r="E8" s="2"/>
      <c r="F8" s="2"/>
      <c r="G8" s="617"/>
      <c r="H8" s="641" t="s">
        <v>121</v>
      </c>
      <c r="I8" s="1" t="s">
        <v>1719</v>
      </c>
      <c r="J8" s="2"/>
      <c r="K8" s="2"/>
      <c r="L8" s="2"/>
      <c r="M8" s="2"/>
      <c r="N8" s="2"/>
      <c r="O8" s="2"/>
      <c r="P8" s="641"/>
      <c r="Q8" s="1"/>
      <c r="R8" s="2"/>
      <c r="S8" s="2"/>
      <c r="T8" s="2"/>
      <c r="U8" s="2"/>
      <c r="V8" s="2"/>
      <c r="W8" s="2"/>
      <c r="X8" s="2"/>
      <c r="Y8" s="617"/>
    </row>
    <row r="9" spans="2:25" ht="30" customHeight="1">
      <c r="B9" s="602"/>
      <c r="C9" s="2"/>
      <c r="D9" s="2"/>
      <c r="E9" s="2"/>
      <c r="F9" s="2"/>
      <c r="G9" s="617"/>
      <c r="H9" s="641" t="s">
        <v>121</v>
      </c>
      <c r="I9" s="1" t="s">
        <v>1720</v>
      </c>
      <c r="J9" s="2"/>
      <c r="K9" s="2"/>
      <c r="L9" s="2"/>
      <c r="M9" s="2"/>
      <c r="N9" s="2"/>
      <c r="O9" s="2"/>
      <c r="P9" s="641"/>
      <c r="Q9" s="1"/>
      <c r="R9" s="2"/>
      <c r="S9" s="2"/>
      <c r="T9" s="2"/>
      <c r="U9" s="2"/>
      <c r="V9" s="2"/>
      <c r="W9" s="2"/>
      <c r="X9" s="2"/>
      <c r="Y9" s="617"/>
    </row>
    <row r="10" spans="2:25" ht="30" customHeight="1">
      <c r="B10" s="602"/>
      <c r="C10" s="2"/>
      <c r="D10" s="2"/>
      <c r="E10" s="2"/>
      <c r="F10" s="2"/>
      <c r="G10" s="617"/>
      <c r="H10" s="641" t="s">
        <v>121</v>
      </c>
      <c r="I10" s="1" t="s">
        <v>1721</v>
      </c>
      <c r="J10" s="2"/>
      <c r="K10" s="2"/>
      <c r="L10" s="2"/>
      <c r="M10" s="2"/>
      <c r="N10" s="2"/>
      <c r="O10" s="2"/>
      <c r="P10" s="641"/>
      <c r="Q10" s="1"/>
      <c r="R10" s="2"/>
      <c r="S10" s="2"/>
      <c r="T10" s="2"/>
      <c r="U10" s="2"/>
      <c r="V10" s="2"/>
      <c r="W10" s="2"/>
      <c r="X10" s="2"/>
      <c r="Y10" s="617"/>
    </row>
    <row r="11" spans="2:25" ht="30" customHeight="1">
      <c r="B11" s="602"/>
      <c r="C11" s="2"/>
      <c r="D11" s="2"/>
      <c r="E11" s="2"/>
      <c r="F11" s="2"/>
      <c r="G11" s="617"/>
      <c r="H11" s="641" t="s">
        <v>122</v>
      </c>
      <c r="I11" s="1" t="s">
        <v>1722</v>
      </c>
      <c r="J11" s="2"/>
      <c r="K11" s="2"/>
      <c r="L11" s="2"/>
      <c r="M11" s="2"/>
      <c r="N11" s="2"/>
      <c r="O11" s="2"/>
      <c r="P11" s="641"/>
      <c r="Q11" s="1"/>
      <c r="R11" s="2"/>
      <c r="S11" s="2"/>
      <c r="T11" s="2"/>
      <c r="U11" s="2"/>
      <c r="V11" s="2"/>
      <c r="W11" s="2"/>
      <c r="X11" s="2"/>
      <c r="Y11" s="617"/>
    </row>
    <row r="12" spans="2:25" ht="30" customHeight="1">
      <c r="B12" s="602"/>
      <c r="C12" s="2"/>
      <c r="D12" s="2"/>
      <c r="E12" s="2"/>
      <c r="F12" s="2"/>
      <c r="G12" s="617"/>
      <c r="H12" s="641" t="s">
        <v>122</v>
      </c>
      <c r="I12" s="1" t="s">
        <v>1723</v>
      </c>
      <c r="J12" s="2"/>
      <c r="K12" s="2"/>
      <c r="L12" s="2"/>
      <c r="M12" s="2"/>
      <c r="N12" s="2"/>
      <c r="O12" s="2"/>
      <c r="P12" s="641"/>
      <c r="Q12" s="1"/>
      <c r="R12" s="2"/>
      <c r="S12" s="2"/>
      <c r="T12" s="2"/>
      <c r="U12" s="2"/>
      <c r="V12" s="2"/>
      <c r="W12" s="2"/>
      <c r="X12" s="2"/>
      <c r="Y12" s="617"/>
    </row>
    <row r="13" spans="2:25" ht="30" customHeight="1">
      <c r="B13" s="602"/>
      <c r="C13" s="2"/>
      <c r="D13" s="2"/>
      <c r="E13" s="2"/>
      <c r="F13" s="2"/>
      <c r="G13" s="617"/>
      <c r="H13" s="641" t="s">
        <v>121</v>
      </c>
      <c r="I13" s="1" t="s">
        <v>1724</v>
      </c>
      <c r="J13" s="2"/>
      <c r="K13" s="2"/>
      <c r="L13" s="2"/>
      <c r="M13" s="2"/>
      <c r="N13" s="2"/>
      <c r="O13" s="2"/>
      <c r="P13" s="2"/>
      <c r="Q13" s="1"/>
      <c r="R13" s="2"/>
      <c r="S13" s="2"/>
      <c r="T13" s="2"/>
      <c r="U13" s="2"/>
      <c r="V13" s="2"/>
      <c r="W13" s="2"/>
      <c r="X13" s="2"/>
      <c r="Y13" s="617"/>
    </row>
    <row r="14" spans="2:25">
      <c r="B14" s="68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721">
        <v>4</v>
      </c>
      <c r="C15" s="1792" t="s">
        <v>1725</v>
      </c>
      <c r="D15" s="1792"/>
      <c r="E15" s="1792"/>
      <c r="F15" s="1792"/>
      <c r="G15" s="1793"/>
      <c r="H15" s="625" t="s">
        <v>1726</v>
      </c>
      <c r="I15" s="2"/>
      <c r="Y15" s="430"/>
    </row>
    <row r="16" spans="2:25" ht="12" customHeight="1">
      <c r="B16" s="429"/>
      <c r="G16" s="430"/>
      <c r="H16" s="433"/>
      <c r="I16" s="1794" t="s">
        <v>1727</v>
      </c>
      <c r="J16" s="1794"/>
      <c r="K16" s="1794"/>
      <c r="L16" s="1794"/>
      <c r="M16" s="1794"/>
      <c r="N16" s="1794"/>
      <c r="O16" s="1794"/>
      <c r="P16" s="1794"/>
      <c r="Q16" s="1795"/>
      <c r="R16" s="1796"/>
      <c r="S16" s="1796"/>
      <c r="T16" s="1796"/>
      <c r="U16" s="1796"/>
      <c r="V16" s="1796"/>
      <c r="W16" s="1797"/>
      <c r="Y16" s="430"/>
    </row>
    <row r="17" spans="2:25" ht="12" customHeight="1">
      <c r="B17" s="429"/>
      <c r="G17" s="430"/>
      <c r="H17" s="433"/>
      <c r="I17" s="1794"/>
      <c r="J17" s="1794"/>
      <c r="K17" s="1794"/>
      <c r="L17" s="1794"/>
      <c r="M17" s="1794"/>
      <c r="N17" s="1794"/>
      <c r="O17" s="1794"/>
      <c r="P17" s="1794"/>
      <c r="Q17" s="1798"/>
      <c r="R17" s="1799"/>
      <c r="S17" s="1799"/>
      <c r="T17" s="1799"/>
      <c r="U17" s="1799"/>
      <c r="V17" s="1799"/>
      <c r="W17" s="1800"/>
      <c r="Y17" s="430"/>
    </row>
    <row r="18" spans="2:25" ht="12" customHeight="1">
      <c r="B18" s="429"/>
      <c r="G18" s="430"/>
      <c r="H18" s="433"/>
      <c r="I18" s="1795" t="s">
        <v>1728</v>
      </c>
      <c r="J18" s="1796"/>
      <c r="K18" s="1796"/>
      <c r="L18" s="1796"/>
      <c r="M18" s="1796"/>
      <c r="N18" s="1796"/>
      <c r="O18" s="1796"/>
      <c r="P18" s="1797"/>
      <c r="Q18" s="1795"/>
      <c r="R18" s="1796"/>
      <c r="S18" s="1796"/>
      <c r="T18" s="1796"/>
      <c r="U18" s="1796"/>
      <c r="V18" s="1796"/>
      <c r="W18" s="1797"/>
      <c r="Y18" s="430"/>
    </row>
    <row r="19" spans="2:25" ht="12" customHeight="1">
      <c r="B19" s="429"/>
      <c r="G19" s="430"/>
      <c r="H19" s="433"/>
      <c r="I19" s="1801"/>
      <c r="J19" s="1575"/>
      <c r="K19" s="1575"/>
      <c r="L19" s="1575"/>
      <c r="M19" s="1575"/>
      <c r="N19" s="1575"/>
      <c r="O19" s="1575"/>
      <c r="P19" s="1802"/>
      <c r="Q19" s="1801"/>
      <c r="R19" s="1575"/>
      <c r="S19" s="1575"/>
      <c r="T19" s="1575"/>
      <c r="U19" s="1575"/>
      <c r="V19" s="1575"/>
      <c r="W19" s="1802"/>
      <c r="Y19" s="430"/>
    </row>
    <row r="20" spans="2:25" ht="12" customHeight="1">
      <c r="B20" s="429"/>
      <c r="G20" s="430"/>
      <c r="H20" s="433"/>
      <c r="I20" s="1801"/>
      <c r="J20" s="1575"/>
      <c r="K20" s="1575"/>
      <c r="L20" s="1575"/>
      <c r="M20" s="1575"/>
      <c r="N20" s="1575"/>
      <c r="O20" s="1575"/>
      <c r="P20" s="1802"/>
      <c r="Q20" s="1801"/>
      <c r="R20" s="1575"/>
      <c r="S20" s="1575"/>
      <c r="T20" s="1575"/>
      <c r="U20" s="1575"/>
      <c r="V20" s="1575"/>
      <c r="W20" s="1802"/>
      <c r="Y20" s="430"/>
    </row>
    <row r="21" spans="2:25" ht="12" customHeight="1">
      <c r="B21" s="429"/>
      <c r="G21" s="430"/>
      <c r="H21" s="433"/>
      <c r="I21" s="1798"/>
      <c r="J21" s="1799"/>
      <c r="K21" s="1799"/>
      <c r="L21" s="1799"/>
      <c r="M21" s="1799"/>
      <c r="N21" s="1799"/>
      <c r="O21" s="1799"/>
      <c r="P21" s="1800"/>
      <c r="Q21" s="1798"/>
      <c r="R21" s="1799"/>
      <c r="S21" s="1799"/>
      <c r="T21" s="1799"/>
      <c r="U21" s="1799"/>
      <c r="V21" s="1799"/>
      <c r="W21" s="1800"/>
      <c r="Y21" s="430"/>
    </row>
    <row r="22" spans="2:25" ht="12" customHeight="1">
      <c r="B22" s="429"/>
      <c r="G22" s="430"/>
      <c r="H22" s="433"/>
      <c r="I22" s="1794" t="s">
        <v>1729</v>
      </c>
      <c r="J22" s="1794"/>
      <c r="K22" s="1794"/>
      <c r="L22" s="1794"/>
      <c r="M22" s="1794"/>
      <c r="N22" s="1794"/>
      <c r="O22" s="1794"/>
      <c r="P22" s="1794"/>
      <c r="Q22" s="1803"/>
      <c r="R22" s="1804"/>
      <c r="S22" s="1804"/>
      <c r="T22" s="1804"/>
      <c r="U22" s="1804"/>
      <c r="V22" s="1804"/>
      <c r="W22" s="1805"/>
      <c r="Y22" s="430"/>
    </row>
    <row r="23" spans="2:25" ht="12" customHeight="1">
      <c r="B23" s="429"/>
      <c r="G23" s="430"/>
      <c r="H23" s="433"/>
      <c r="I23" s="1794"/>
      <c r="J23" s="1794"/>
      <c r="K23" s="1794"/>
      <c r="L23" s="1794"/>
      <c r="M23" s="1794"/>
      <c r="N23" s="1794"/>
      <c r="O23" s="1794"/>
      <c r="P23" s="1794"/>
      <c r="Q23" s="1806"/>
      <c r="R23" s="1807"/>
      <c r="S23" s="1807"/>
      <c r="T23" s="1807"/>
      <c r="U23" s="1807"/>
      <c r="V23" s="1807"/>
      <c r="W23" s="1808"/>
      <c r="Y23" s="430"/>
    </row>
    <row r="24" spans="2:25" ht="12" customHeight="1">
      <c r="B24" s="429"/>
      <c r="G24" s="430"/>
      <c r="H24" s="433"/>
      <c r="I24" s="1794" t="s">
        <v>1730</v>
      </c>
      <c r="J24" s="1794"/>
      <c r="K24" s="1794"/>
      <c r="L24" s="1794"/>
      <c r="M24" s="1794"/>
      <c r="N24" s="1794"/>
      <c r="O24" s="1794"/>
      <c r="P24" s="1794"/>
      <c r="Q24" s="1803" t="s">
        <v>1731</v>
      </c>
      <c r="R24" s="1804"/>
      <c r="S24" s="1804"/>
      <c r="T24" s="1804"/>
      <c r="U24" s="1804"/>
      <c r="V24" s="1804"/>
      <c r="W24" s="1805"/>
      <c r="Y24" s="430"/>
    </row>
    <row r="25" spans="2:25" ht="12" customHeight="1">
      <c r="B25" s="429"/>
      <c r="G25" s="430"/>
      <c r="H25" s="433"/>
      <c r="I25" s="1794"/>
      <c r="J25" s="1794"/>
      <c r="K25" s="1794"/>
      <c r="L25" s="1794"/>
      <c r="M25" s="1794"/>
      <c r="N25" s="1794"/>
      <c r="O25" s="1794"/>
      <c r="P25" s="1794"/>
      <c r="Q25" s="1806"/>
      <c r="R25" s="1807"/>
      <c r="S25" s="1807"/>
      <c r="T25" s="1807"/>
      <c r="U25" s="1807"/>
      <c r="V25" s="1807"/>
      <c r="W25" s="1808"/>
      <c r="Y25" s="430"/>
    </row>
    <row r="26" spans="2:25" ht="12" customHeight="1">
      <c r="B26" s="429"/>
      <c r="G26" s="430"/>
      <c r="H26" s="433"/>
      <c r="I26" s="1794" t="s">
        <v>1732</v>
      </c>
      <c r="J26" s="1794"/>
      <c r="K26" s="1794"/>
      <c r="L26" s="1794"/>
      <c r="M26" s="1794"/>
      <c r="N26" s="1794"/>
      <c r="O26" s="1794"/>
      <c r="P26" s="1794"/>
      <c r="Q26" s="1803"/>
      <c r="R26" s="1804"/>
      <c r="S26" s="1804"/>
      <c r="T26" s="1804"/>
      <c r="U26" s="1804"/>
      <c r="V26" s="1804"/>
      <c r="W26" s="1805"/>
      <c r="Y26" s="430"/>
    </row>
    <row r="27" spans="2:25" ht="12" customHeight="1">
      <c r="B27" s="429"/>
      <c r="G27" s="430"/>
      <c r="H27" s="433"/>
      <c r="I27" s="1794"/>
      <c r="J27" s="1794"/>
      <c r="K27" s="1794"/>
      <c r="L27" s="1794"/>
      <c r="M27" s="1794"/>
      <c r="N27" s="1794"/>
      <c r="O27" s="1794"/>
      <c r="P27" s="1794"/>
      <c r="Q27" s="1806"/>
      <c r="R27" s="1807"/>
      <c r="S27" s="1807"/>
      <c r="T27" s="1807"/>
      <c r="U27" s="1807"/>
      <c r="V27" s="1807"/>
      <c r="W27" s="1808"/>
      <c r="Y27" s="430"/>
    </row>
    <row r="28" spans="2:25" ht="15" customHeight="1">
      <c r="B28" s="429"/>
      <c r="G28" s="430"/>
      <c r="H28" s="433"/>
      <c r="I28" s="2"/>
      <c r="J28" s="2"/>
      <c r="K28" s="2"/>
      <c r="L28" s="2"/>
      <c r="M28" s="2"/>
      <c r="N28" s="2"/>
      <c r="O28" s="2"/>
      <c r="P28" s="2"/>
      <c r="Q28" s="2"/>
      <c r="R28" s="2"/>
      <c r="S28" s="2"/>
      <c r="T28" s="2"/>
      <c r="U28" s="2"/>
      <c r="Y28" s="407"/>
    </row>
    <row r="29" spans="2:25" ht="29.25" customHeight="1">
      <c r="B29" s="721"/>
      <c r="C29" s="724"/>
      <c r="D29" s="724"/>
      <c r="E29" s="724"/>
      <c r="F29" s="724"/>
      <c r="G29" s="857"/>
      <c r="H29" s="625" t="s">
        <v>1733</v>
      </c>
      <c r="I29" s="2"/>
      <c r="Y29" s="430"/>
    </row>
    <row r="30" spans="2:25" ht="12" customHeight="1">
      <c r="B30" s="429"/>
      <c r="G30" s="430"/>
      <c r="H30" s="433"/>
      <c r="I30" s="1794" t="s">
        <v>1727</v>
      </c>
      <c r="J30" s="1794"/>
      <c r="K30" s="1794"/>
      <c r="L30" s="1794"/>
      <c r="M30" s="1794"/>
      <c r="N30" s="1794"/>
      <c r="O30" s="1794"/>
      <c r="P30" s="1794"/>
      <c r="Q30" s="1795"/>
      <c r="R30" s="1796"/>
      <c r="S30" s="1796"/>
      <c r="T30" s="1796"/>
      <c r="U30" s="1796"/>
      <c r="V30" s="1796"/>
      <c r="W30" s="1797"/>
      <c r="Y30" s="430"/>
    </row>
    <row r="31" spans="2:25" ht="12" customHeight="1">
      <c r="B31" s="429"/>
      <c r="G31" s="430"/>
      <c r="H31" s="433"/>
      <c r="I31" s="1794"/>
      <c r="J31" s="1794"/>
      <c r="K31" s="1794"/>
      <c r="L31" s="1794"/>
      <c r="M31" s="1794"/>
      <c r="N31" s="1794"/>
      <c r="O31" s="1794"/>
      <c r="P31" s="1794"/>
      <c r="Q31" s="1798"/>
      <c r="R31" s="1799"/>
      <c r="S31" s="1799"/>
      <c r="T31" s="1799"/>
      <c r="U31" s="1799"/>
      <c r="V31" s="1799"/>
      <c r="W31" s="1800"/>
      <c r="Y31" s="430"/>
    </row>
    <row r="32" spans="2:25" ht="12" customHeight="1">
      <c r="B32" s="429"/>
      <c r="G32" s="430"/>
      <c r="H32" s="433"/>
      <c r="I32" s="1795" t="s">
        <v>1728</v>
      </c>
      <c r="J32" s="1796"/>
      <c r="K32" s="1796"/>
      <c r="L32" s="1796"/>
      <c r="M32" s="1796"/>
      <c r="N32" s="1796"/>
      <c r="O32" s="1796"/>
      <c r="P32" s="1797"/>
      <c r="Q32" s="1795"/>
      <c r="R32" s="1796"/>
      <c r="S32" s="1796"/>
      <c r="T32" s="1796"/>
      <c r="U32" s="1796"/>
      <c r="V32" s="1796"/>
      <c r="W32" s="1797"/>
      <c r="Y32" s="430"/>
    </row>
    <row r="33" spans="2:25" ht="12" customHeight="1">
      <c r="B33" s="429"/>
      <c r="G33" s="430"/>
      <c r="H33" s="433"/>
      <c r="I33" s="1801"/>
      <c r="J33" s="1575"/>
      <c r="K33" s="1575"/>
      <c r="L33" s="1575"/>
      <c r="M33" s="1575"/>
      <c r="N33" s="1575"/>
      <c r="O33" s="1575"/>
      <c r="P33" s="1802"/>
      <c r="Q33" s="1801"/>
      <c r="R33" s="1575"/>
      <c r="S33" s="1575"/>
      <c r="T33" s="1575"/>
      <c r="U33" s="1575"/>
      <c r="V33" s="1575"/>
      <c r="W33" s="1802"/>
      <c r="Y33" s="430"/>
    </row>
    <row r="34" spans="2:25" ht="12" customHeight="1">
      <c r="B34" s="429"/>
      <c r="G34" s="430"/>
      <c r="H34" s="433"/>
      <c r="I34" s="1801"/>
      <c r="J34" s="1575"/>
      <c r="K34" s="1575"/>
      <c r="L34" s="1575"/>
      <c r="M34" s="1575"/>
      <c r="N34" s="1575"/>
      <c r="O34" s="1575"/>
      <c r="P34" s="1802"/>
      <c r="Q34" s="1801"/>
      <c r="R34" s="1575"/>
      <c r="S34" s="1575"/>
      <c r="T34" s="1575"/>
      <c r="U34" s="1575"/>
      <c r="V34" s="1575"/>
      <c r="W34" s="1802"/>
      <c r="Y34" s="430"/>
    </row>
    <row r="35" spans="2:25" ht="12" customHeight="1">
      <c r="B35" s="429"/>
      <c r="G35" s="430"/>
      <c r="H35" s="433"/>
      <c r="I35" s="1798"/>
      <c r="J35" s="1799"/>
      <c r="K35" s="1799"/>
      <c r="L35" s="1799"/>
      <c r="M35" s="1799"/>
      <c r="N35" s="1799"/>
      <c r="O35" s="1799"/>
      <c r="P35" s="1800"/>
      <c r="Q35" s="1798"/>
      <c r="R35" s="1799"/>
      <c r="S35" s="1799"/>
      <c r="T35" s="1799"/>
      <c r="U35" s="1799"/>
      <c r="V35" s="1799"/>
      <c r="W35" s="1800"/>
      <c r="Y35" s="430"/>
    </row>
    <row r="36" spans="2:25" ht="12" customHeight="1">
      <c r="B36" s="429"/>
      <c r="G36" s="430"/>
      <c r="H36" s="433"/>
      <c r="I36" s="1794" t="s">
        <v>1729</v>
      </c>
      <c r="J36" s="1794"/>
      <c r="K36" s="1794"/>
      <c r="L36" s="1794"/>
      <c r="M36" s="1794"/>
      <c r="N36" s="1794"/>
      <c r="O36" s="1794"/>
      <c r="P36" s="1794"/>
      <c r="Q36" s="1803"/>
      <c r="R36" s="1804"/>
      <c r="S36" s="1804"/>
      <c r="T36" s="1804"/>
      <c r="U36" s="1804"/>
      <c r="V36" s="1804"/>
      <c r="W36" s="1805"/>
      <c r="Y36" s="430"/>
    </row>
    <row r="37" spans="2:25" ht="12" customHeight="1">
      <c r="B37" s="429"/>
      <c r="G37" s="430"/>
      <c r="H37" s="433"/>
      <c r="I37" s="1794"/>
      <c r="J37" s="1794"/>
      <c r="K37" s="1794"/>
      <c r="L37" s="1794"/>
      <c r="M37" s="1794"/>
      <c r="N37" s="1794"/>
      <c r="O37" s="1794"/>
      <c r="P37" s="1794"/>
      <c r="Q37" s="1806"/>
      <c r="R37" s="1807"/>
      <c r="S37" s="1807"/>
      <c r="T37" s="1807"/>
      <c r="U37" s="1807"/>
      <c r="V37" s="1807"/>
      <c r="W37" s="1808"/>
      <c r="Y37" s="430"/>
    </row>
    <row r="38" spans="2:25" ht="12" customHeight="1">
      <c r="B38" s="429"/>
      <c r="G38" s="430"/>
      <c r="H38" s="723"/>
      <c r="I38" s="1582" t="s">
        <v>1730</v>
      </c>
      <c r="J38" s="1794"/>
      <c r="K38" s="1794"/>
      <c r="L38" s="1794"/>
      <c r="M38" s="1794"/>
      <c r="N38" s="1794"/>
      <c r="O38" s="1794"/>
      <c r="P38" s="1794"/>
      <c r="Q38" s="1789" t="s">
        <v>1731</v>
      </c>
      <c r="R38" s="1790"/>
      <c r="S38" s="1790"/>
      <c r="T38" s="1790"/>
      <c r="U38" s="1790"/>
      <c r="V38" s="1790"/>
      <c r="W38" s="1790"/>
      <c r="X38" s="433"/>
      <c r="Y38" s="430"/>
    </row>
    <row r="39" spans="2:25" ht="12" customHeight="1">
      <c r="B39" s="429"/>
      <c r="G39" s="430"/>
      <c r="H39" s="433"/>
      <c r="I39" s="1809"/>
      <c r="J39" s="1809"/>
      <c r="K39" s="1809"/>
      <c r="L39" s="1809"/>
      <c r="M39" s="1809"/>
      <c r="N39" s="1809"/>
      <c r="O39" s="1809"/>
      <c r="P39" s="1809"/>
      <c r="Q39" s="1806"/>
      <c r="R39" s="1807"/>
      <c r="S39" s="1807"/>
      <c r="T39" s="1807"/>
      <c r="U39" s="1807"/>
      <c r="V39" s="1807"/>
      <c r="W39" s="1808"/>
      <c r="Y39" s="430"/>
    </row>
    <row r="40" spans="2:25" ht="12" customHeight="1">
      <c r="B40" s="429"/>
      <c r="G40" s="430"/>
      <c r="H40" s="433"/>
      <c r="I40" s="1794" t="s">
        <v>1732</v>
      </c>
      <c r="J40" s="1794"/>
      <c r="K40" s="1794"/>
      <c r="L40" s="1794"/>
      <c r="M40" s="1794"/>
      <c r="N40" s="1794"/>
      <c r="O40" s="1794"/>
      <c r="P40" s="1794"/>
      <c r="Q40" s="1803"/>
      <c r="R40" s="1804"/>
      <c r="S40" s="1804"/>
      <c r="T40" s="1804"/>
      <c r="U40" s="1804"/>
      <c r="V40" s="1804"/>
      <c r="W40" s="1805"/>
      <c r="Y40" s="430"/>
    </row>
    <row r="41" spans="2:25" ht="12" customHeight="1">
      <c r="B41" s="429"/>
      <c r="G41" s="430"/>
      <c r="H41" s="433"/>
      <c r="I41" s="1794"/>
      <c r="J41" s="1794"/>
      <c r="K41" s="1794"/>
      <c r="L41" s="1794"/>
      <c r="M41" s="1794"/>
      <c r="N41" s="1794"/>
      <c r="O41" s="1794"/>
      <c r="P41" s="1794"/>
      <c r="Q41" s="1806"/>
      <c r="R41" s="1807"/>
      <c r="S41" s="1807"/>
      <c r="T41" s="1807"/>
      <c r="U41" s="1807"/>
      <c r="V41" s="1807"/>
      <c r="W41" s="1808"/>
      <c r="Y41" s="430"/>
    </row>
    <row r="42" spans="2:25" ht="15" customHeight="1">
      <c r="B42" s="429"/>
      <c r="G42" s="430"/>
      <c r="H42" s="433"/>
      <c r="I42" s="2"/>
      <c r="J42" s="2"/>
      <c r="K42" s="2"/>
      <c r="L42" s="2"/>
      <c r="M42" s="2"/>
      <c r="N42" s="2"/>
      <c r="O42" s="2"/>
      <c r="P42" s="2"/>
      <c r="Q42" s="2"/>
      <c r="R42" s="2"/>
      <c r="S42" s="2"/>
      <c r="T42" s="2"/>
      <c r="U42" s="2"/>
      <c r="Y42" s="407"/>
    </row>
    <row r="43" spans="2:25" ht="29.25" customHeight="1">
      <c r="B43" s="721"/>
      <c r="C43" s="724"/>
      <c r="D43" s="724"/>
      <c r="E43" s="724"/>
      <c r="F43" s="724"/>
      <c r="G43" s="857"/>
      <c r="H43" s="625" t="s">
        <v>1734</v>
      </c>
      <c r="I43" s="2"/>
      <c r="Y43" s="430"/>
    </row>
    <row r="44" spans="2:25" ht="12" customHeight="1">
      <c r="B44" s="429"/>
      <c r="G44" s="430"/>
      <c r="H44" s="433"/>
      <c r="I44" s="1794" t="s">
        <v>1727</v>
      </c>
      <c r="J44" s="1794"/>
      <c r="K44" s="1794"/>
      <c r="L44" s="1794"/>
      <c r="M44" s="1794"/>
      <c r="N44" s="1794"/>
      <c r="O44" s="1794"/>
      <c r="P44" s="1794"/>
      <c r="Q44" s="1795"/>
      <c r="R44" s="1796"/>
      <c r="S44" s="1796"/>
      <c r="T44" s="1796"/>
      <c r="U44" s="1796"/>
      <c r="V44" s="1796"/>
      <c r="W44" s="1797"/>
      <c r="Y44" s="430"/>
    </row>
    <row r="45" spans="2:25" ht="12" customHeight="1">
      <c r="B45" s="429"/>
      <c r="G45" s="430"/>
      <c r="H45" s="433"/>
      <c r="I45" s="1794"/>
      <c r="J45" s="1794"/>
      <c r="K45" s="1794"/>
      <c r="L45" s="1794"/>
      <c r="M45" s="1794"/>
      <c r="N45" s="1794"/>
      <c r="O45" s="1794"/>
      <c r="P45" s="1794"/>
      <c r="Q45" s="1798"/>
      <c r="R45" s="1799"/>
      <c r="S45" s="1799"/>
      <c r="T45" s="1799"/>
      <c r="U45" s="1799"/>
      <c r="V45" s="1799"/>
      <c r="W45" s="1800"/>
      <c r="Y45" s="430"/>
    </row>
    <row r="46" spans="2:25" ht="12" customHeight="1">
      <c r="B46" s="429"/>
      <c r="G46" s="430"/>
      <c r="H46" s="433"/>
      <c r="I46" s="1795" t="s">
        <v>1728</v>
      </c>
      <c r="J46" s="1796"/>
      <c r="K46" s="1796"/>
      <c r="L46" s="1796"/>
      <c r="M46" s="1796"/>
      <c r="N46" s="1796"/>
      <c r="O46" s="1796"/>
      <c r="P46" s="1797"/>
      <c r="Q46" s="1795"/>
      <c r="R46" s="1796"/>
      <c r="S46" s="1796"/>
      <c r="T46" s="1796"/>
      <c r="U46" s="1796"/>
      <c r="V46" s="1796"/>
      <c r="W46" s="1797"/>
      <c r="Y46" s="430"/>
    </row>
    <row r="47" spans="2:25" ht="12" customHeight="1">
      <c r="B47" s="429"/>
      <c r="G47" s="430"/>
      <c r="H47" s="433"/>
      <c r="I47" s="1801"/>
      <c r="J47" s="1575"/>
      <c r="K47" s="1575"/>
      <c r="L47" s="1575"/>
      <c r="M47" s="1575"/>
      <c r="N47" s="1575"/>
      <c r="O47" s="1575"/>
      <c r="P47" s="1802"/>
      <c r="Q47" s="1801"/>
      <c r="R47" s="1575"/>
      <c r="S47" s="1575"/>
      <c r="T47" s="1575"/>
      <c r="U47" s="1575"/>
      <c r="V47" s="1575"/>
      <c r="W47" s="1802"/>
      <c r="Y47" s="430"/>
    </row>
    <row r="48" spans="2:25" ht="12" customHeight="1">
      <c r="B48" s="429"/>
      <c r="G48" s="430"/>
      <c r="H48" s="433"/>
      <c r="I48" s="1801"/>
      <c r="J48" s="1575"/>
      <c r="K48" s="1575"/>
      <c r="L48" s="1575"/>
      <c r="M48" s="1575"/>
      <c r="N48" s="1575"/>
      <c r="O48" s="1575"/>
      <c r="P48" s="1802"/>
      <c r="Q48" s="1801"/>
      <c r="R48" s="1575"/>
      <c r="S48" s="1575"/>
      <c r="T48" s="1575"/>
      <c r="U48" s="1575"/>
      <c r="V48" s="1575"/>
      <c r="W48" s="1802"/>
      <c r="Y48" s="430"/>
    </row>
    <row r="49" spans="2:25" ht="12" customHeight="1">
      <c r="B49" s="429"/>
      <c r="G49" s="430"/>
      <c r="H49" s="433"/>
      <c r="I49" s="1798"/>
      <c r="J49" s="1799"/>
      <c r="K49" s="1799"/>
      <c r="L49" s="1799"/>
      <c r="M49" s="1799"/>
      <c r="N49" s="1799"/>
      <c r="O49" s="1799"/>
      <c r="P49" s="1800"/>
      <c r="Q49" s="1798"/>
      <c r="R49" s="1799"/>
      <c r="S49" s="1799"/>
      <c r="T49" s="1799"/>
      <c r="U49" s="1799"/>
      <c r="V49" s="1799"/>
      <c r="W49" s="1800"/>
      <c r="Y49" s="430"/>
    </row>
    <row r="50" spans="2:25" ht="12" customHeight="1">
      <c r="B50" s="429"/>
      <c r="G50" s="430"/>
      <c r="H50" s="433"/>
      <c r="I50" s="1794" t="s">
        <v>1729</v>
      </c>
      <c r="J50" s="1794"/>
      <c r="K50" s="1794"/>
      <c r="L50" s="1794"/>
      <c r="M50" s="1794"/>
      <c r="N50" s="1794"/>
      <c r="O50" s="1794"/>
      <c r="P50" s="1794"/>
      <c r="Q50" s="1803"/>
      <c r="R50" s="1804"/>
      <c r="S50" s="1804"/>
      <c r="T50" s="1804"/>
      <c r="U50" s="1804"/>
      <c r="V50" s="1804"/>
      <c r="W50" s="1805"/>
      <c r="Y50" s="430"/>
    </row>
    <row r="51" spans="2:25" ht="12" customHeight="1">
      <c r="B51" s="429"/>
      <c r="G51" s="430"/>
      <c r="H51" s="433"/>
      <c r="I51" s="1794"/>
      <c r="J51" s="1794"/>
      <c r="K51" s="1794"/>
      <c r="L51" s="1794"/>
      <c r="M51" s="1794"/>
      <c r="N51" s="1794"/>
      <c r="O51" s="1794"/>
      <c r="P51" s="1794"/>
      <c r="Q51" s="1806"/>
      <c r="R51" s="1807"/>
      <c r="S51" s="1807"/>
      <c r="T51" s="1807"/>
      <c r="U51" s="1807"/>
      <c r="V51" s="1807"/>
      <c r="W51" s="1808"/>
      <c r="Y51" s="430"/>
    </row>
    <row r="52" spans="2:25" ht="12" customHeight="1">
      <c r="B52" s="429"/>
      <c r="G52" s="430"/>
      <c r="H52" s="433"/>
      <c r="I52" s="1794" t="s">
        <v>1730</v>
      </c>
      <c r="J52" s="1794"/>
      <c r="K52" s="1794"/>
      <c r="L52" s="1794"/>
      <c r="M52" s="1794"/>
      <c r="N52" s="1794"/>
      <c r="O52" s="1794"/>
      <c r="P52" s="1794"/>
      <c r="Q52" s="1803" t="s">
        <v>1731</v>
      </c>
      <c r="R52" s="1804"/>
      <c r="S52" s="1804"/>
      <c r="T52" s="1804"/>
      <c r="U52" s="1804"/>
      <c r="V52" s="1804"/>
      <c r="W52" s="1805"/>
      <c r="Y52" s="430"/>
    </row>
    <row r="53" spans="2:25" ht="12" customHeight="1">
      <c r="B53" s="429"/>
      <c r="G53" s="430"/>
      <c r="H53" s="433"/>
      <c r="I53" s="1794"/>
      <c r="J53" s="1794"/>
      <c r="K53" s="1794"/>
      <c r="L53" s="1794"/>
      <c r="M53" s="1794"/>
      <c r="N53" s="1794"/>
      <c r="O53" s="1794"/>
      <c r="P53" s="1794"/>
      <c r="Q53" s="1806"/>
      <c r="R53" s="1807"/>
      <c r="S53" s="1807"/>
      <c r="T53" s="1807"/>
      <c r="U53" s="1807"/>
      <c r="V53" s="1807"/>
      <c r="W53" s="1808"/>
      <c r="Y53" s="430"/>
    </row>
    <row r="54" spans="2:25" ht="12" customHeight="1">
      <c r="B54" s="429"/>
      <c r="G54" s="430"/>
      <c r="H54" s="433"/>
      <c r="I54" s="1794" t="s">
        <v>1732</v>
      </c>
      <c r="J54" s="1794"/>
      <c r="K54" s="1794"/>
      <c r="L54" s="1794"/>
      <c r="M54" s="1794"/>
      <c r="N54" s="1794"/>
      <c r="O54" s="1794"/>
      <c r="P54" s="1794"/>
      <c r="Q54" s="1803"/>
      <c r="R54" s="1804"/>
      <c r="S54" s="1804"/>
      <c r="T54" s="1804"/>
      <c r="U54" s="1804"/>
      <c r="V54" s="1804"/>
      <c r="W54" s="1805"/>
      <c r="Y54" s="430"/>
    </row>
    <row r="55" spans="2:25" ht="12" customHeight="1">
      <c r="B55" s="429"/>
      <c r="G55" s="430"/>
      <c r="H55" s="433"/>
      <c r="I55" s="1794"/>
      <c r="J55" s="1794"/>
      <c r="K55" s="1794"/>
      <c r="L55" s="1794"/>
      <c r="M55" s="1794"/>
      <c r="N55" s="1794"/>
      <c r="O55" s="1794"/>
      <c r="P55" s="1794"/>
      <c r="Q55" s="1806"/>
      <c r="R55" s="1807"/>
      <c r="S55" s="1807"/>
      <c r="T55" s="1807"/>
      <c r="U55" s="1807"/>
      <c r="V55" s="1807"/>
      <c r="W55" s="1808"/>
      <c r="Y55" s="430"/>
    </row>
    <row r="56" spans="2:25" ht="15" customHeight="1">
      <c r="B56" s="679"/>
      <c r="C56" s="59"/>
      <c r="D56" s="59"/>
      <c r="E56" s="59"/>
      <c r="F56" s="59"/>
      <c r="G56" s="60"/>
      <c r="H56" s="432"/>
      <c r="I56" s="59"/>
      <c r="J56" s="59"/>
      <c r="K56" s="59"/>
      <c r="L56" s="59"/>
      <c r="M56" s="59"/>
      <c r="N56" s="59"/>
      <c r="O56" s="59"/>
      <c r="P56" s="59"/>
      <c r="Q56" s="59"/>
      <c r="R56" s="59"/>
      <c r="S56" s="59"/>
      <c r="T56" s="59"/>
      <c r="U56" s="59"/>
      <c r="V56" s="59"/>
      <c r="W56" s="1811"/>
      <c r="X56" s="1811"/>
      <c r="Y56" s="1812"/>
    </row>
    <row r="57" spans="2:25" ht="15" customHeight="1">
      <c r="Y57" s="406"/>
    </row>
    <row r="58" spans="2:25" ht="38.700000000000003" customHeight="1">
      <c r="B58" s="1810" t="s">
        <v>1735</v>
      </c>
      <c r="C58" s="1810"/>
      <c r="D58" s="1810"/>
      <c r="E58" s="1810"/>
      <c r="F58" s="1810"/>
      <c r="G58" s="1810"/>
      <c r="H58" s="1810"/>
      <c r="I58" s="1810"/>
      <c r="J58" s="1810"/>
      <c r="K58" s="1810"/>
      <c r="L58" s="1810"/>
      <c r="M58" s="1810"/>
      <c r="N58" s="1810"/>
      <c r="O58" s="1810"/>
      <c r="P58" s="1810"/>
      <c r="Q58" s="1810"/>
      <c r="R58" s="1810"/>
      <c r="S58" s="1810"/>
      <c r="T58" s="1810"/>
      <c r="U58" s="1810"/>
      <c r="V58" s="1810"/>
      <c r="W58" s="1810"/>
      <c r="X58" s="1810"/>
      <c r="Y58" s="1810"/>
    </row>
    <row r="59" spans="2:25" ht="24" customHeight="1">
      <c r="B59" s="1810" t="s">
        <v>1736</v>
      </c>
      <c r="C59" s="1810"/>
      <c r="D59" s="1810"/>
      <c r="E59" s="1810"/>
      <c r="F59" s="1810"/>
      <c r="G59" s="1810"/>
      <c r="H59" s="1810"/>
      <c r="I59" s="1810"/>
      <c r="J59" s="1810"/>
      <c r="K59" s="1810"/>
      <c r="L59" s="1810"/>
      <c r="M59" s="1810"/>
      <c r="N59" s="1810"/>
      <c r="O59" s="1810"/>
      <c r="P59" s="1810"/>
      <c r="Q59" s="1810"/>
      <c r="R59" s="1810"/>
      <c r="S59" s="1810"/>
      <c r="T59" s="1810"/>
      <c r="U59" s="1810"/>
      <c r="V59" s="1810"/>
      <c r="W59" s="1810"/>
      <c r="X59" s="1810"/>
      <c r="Y59" s="1810"/>
    </row>
    <row r="60" spans="2:25" ht="24" customHeight="1">
      <c r="B60" s="1810" t="s">
        <v>1737</v>
      </c>
      <c r="C60" s="1810"/>
      <c r="D60" s="1810"/>
      <c r="E60" s="1810"/>
      <c r="F60" s="1810"/>
      <c r="G60" s="1810"/>
      <c r="H60" s="1810"/>
      <c r="I60" s="1810"/>
      <c r="J60" s="1810"/>
      <c r="K60" s="1810"/>
      <c r="L60" s="1810"/>
      <c r="M60" s="1810"/>
      <c r="N60" s="1810"/>
      <c r="O60" s="1810"/>
      <c r="P60" s="1810"/>
      <c r="Q60" s="1810"/>
      <c r="R60" s="1810"/>
      <c r="S60" s="1810"/>
      <c r="T60" s="1810"/>
      <c r="U60" s="1810"/>
      <c r="V60" s="1810"/>
      <c r="W60" s="1810"/>
      <c r="X60" s="1810"/>
      <c r="Y60" s="1810"/>
    </row>
    <row r="61" spans="2:25">
      <c r="B61" s="428" t="s">
        <v>807</v>
      </c>
      <c r="D61" s="724"/>
      <c r="E61" s="724"/>
      <c r="F61" s="724"/>
      <c r="G61" s="724"/>
      <c r="H61" s="724"/>
      <c r="I61" s="724"/>
      <c r="J61" s="724"/>
      <c r="K61" s="724"/>
      <c r="L61" s="724"/>
      <c r="M61" s="724"/>
      <c r="N61" s="724"/>
      <c r="O61" s="724"/>
      <c r="P61" s="724"/>
      <c r="Q61" s="724"/>
      <c r="R61" s="724"/>
      <c r="S61" s="724"/>
      <c r="T61" s="724"/>
      <c r="U61" s="724"/>
      <c r="V61" s="724"/>
      <c r="W61" s="724"/>
      <c r="X61" s="724"/>
      <c r="Y61" s="724"/>
    </row>
    <row r="62" spans="2:25">
      <c r="B62" s="428"/>
      <c r="D62" s="668"/>
      <c r="E62" s="668"/>
      <c r="F62" s="668"/>
      <c r="G62" s="668"/>
      <c r="H62" s="668"/>
      <c r="I62" s="668"/>
      <c r="J62" s="668"/>
      <c r="K62" s="668"/>
      <c r="L62" s="668"/>
      <c r="M62" s="668"/>
      <c r="N62" s="668"/>
      <c r="O62" s="668"/>
      <c r="P62" s="668"/>
      <c r="Q62" s="668"/>
      <c r="R62" s="668"/>
      <c r="S62" s="668"/>
      <c r="T62" s="668"/>
      <c r="U62" s="668"/>
      <c r="V62" s="668"/>
      <c r="W62" s="668"/>
      <c r="X62" s="668"/>
      <c r="Y62" s="668"/>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3"/>
  <dataValidations count="1">
    <dataValidation type="list" allowBlank="1" showInputMessage="1" showErrorMessage="1" sqref="R7 M7 H7:H13 P8:P12" xr:uid="{26C1A2F5-EAD5-4075-AB41-A169B5E88CEF}">
      <formula1>"□,■"</formula1>
    </dataValidation>
  </dataValidations>
  <pageMargins left="0.7" right="0.7" top="0.75" bottom="0.75" header="0.3" footer="0.3"/>
  <pageSetup paperSize="9" scale="79" fitToWidth="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37C-3710-4A6E-81A2-0C65E0A6AD50}">
  <sheetPr>
    <tabColor rgb="FFFFFF00"/>
    <pageSetUpPr fitToPage="1"/>
  </sheetPr>
  <dimension ref="B2:AJ123"/>
  <sheetViews>
    <sheetView view="pageBreakPreview" zoomScaleNormal="100" zoomScaleSheetLayoutView="100" zoomScalePageLayoutView="85" workbookViewId="0"/>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256" width="4" style="1"/>
    <col min="257" max="257" width="2.88671875" style="1" customWidth="1"/>
    <col min="258" max="258" width="2.33203125" style="1" customWidth="1"/>
    <col min="259" max="259" width="3.44140625" style="1" customWidth="1"/>
    <col min="260" max="271" width="3.6640625" style="1" customWidth="1"/>
    <col min="272" max="272" width="1.44140625" style="1" customWidth="1"/>
    <col min="273" max="274" width="3.6640625" style="1" customWidth="1"/>
    <col min="275" max="275" width="2.77734375" style="1" customWidth="1"/>
    <col min="276" max="287" width="3.6640625" style="1" customWidth="1"/>
    <col min="288" max="512" width="4" style="1"/>
    <col min="513" max="513" width="2.88671875" style="1" customWidth="1"/>
    <col min="514" max="514" width="2.33203125" style="1" customWidth="1"/>
    <col min="515" max="515" width="3.44140625" style="1" customWidth="1"/>
    <col min="516" max="527" width="3.6640625" style="1" customWidth="1"/>
    <col min="528" max="528" width="1.44140625" style="1" customWidth="1"/>
    <col min="529" max="530" width="3.6640625" style="1" customWidth="1"/>
    <col min="531" max="531" width="2.77734375" style="1" customWidth="1"/>
    <col min="532" max="543" width="3.6640625" style="1" customWidth="1"/>
    <col min="544" max="768" width="4" style="1"/>
    <col min="769" max="769" width="2.88671875" style="1" customWidth="1"/>
    <col min="770" max="770" width="2.33203125" style="1" customWidth="1"/>
    <col min="771" max="771" width="3.44140625" style="1" customWidth="1"/>
    <col min="772" max="783" width="3.6640625" style="1" customWidth="1"/>
    <col min="784" max="784" width="1.44140625" style="1" customWidth="1"/>
    <col min="785" max="786" width="3.6640625" style="1" customWidth="1"/>
    <col min="787" max="787" width="2.77734375" style="1" customWidth="1"/>
    <col min="788" max="799" width="3.6640625" style="1" customWidth="1"/>
    <col min="800" max="1024" width="4" style="1"/>
    <col min="1025" max="1025" width="2.88671875" style="1" customWidth="1"/>
    <col min="1026" max="1026" width="2.33203125" style="1" customWidth="1"/>
    <col min="1027" max="1027" width="3.44140625" style="1" customWidth="1"/>
    <col min="1028" max="1039" width="3.6640625" style="1" customWidth="1"/>
    <col min="1040" max="1040" width="1.44140625" style="1" customWidth="1"/>
    <col min="1041" max="1042" width="3.6640625" style="1" customWidth="1"/>
    <col min="1043" max="1043" width="2.77734375" style="1" customWidth="1"/>
    <col min="1044" max="1055" width="3.6640625" style="1" customWidth="1"/>
    <col min="1056" max="1280" width="4" style="1"/>
    <col min="1281" max="1281" width="2.88671875" style="1" customWidth="1"/>
    <col min="1282" max="1282" width="2.33203125" style="1" customWidth="1"/>
    <col min="1283" max="1283" width="3.44140625" style="1" customWidth="1"/>
    <col min="1284" max="1295" width="3.6640625" style="1" customWidth="1"/>
    <col min="1296" max="1296" width="1.44140625" style="1" customWidth="1"/>
    <col min="1297" max="1298" width="3.6640625" style="1" customWidth="1"/>
    <col min="1299" max="1299" width="2.77734375" style="1" customWidth="1"/>
    <col min="1300" max="1311" width="3.6640625" style="1" customWidth="1"/>
    <col min="1312" max="1536" width="4" style="1"/>
    <col min="1537" max="1537" width="2.88671875" style="1" customWidth="1"/>
    <col min="1538" max="1538" width="2.33203125" style="1" customWidth="1"/>
    <col min="1539" max="1539" width="3.44140625" style="1" customWidth="1"/>
    <col min="1540" max="1551" width="3.6640625" style="1" customWidth="1"/>
    <col min="1552" max="1552" width="1.44140625" style="1" customWidth="1"/>
    <col min="1553" max="1554" width="3.6640625" style="1" customWidth="1"/>
    <col min="1555" max="1555" width="2.77734375" style="1" customWidth="1"/>
    <col min="1556" max="1567" width="3.6640625" style="1" customWidth="1"/>
    <col min="1568" max="1792" width="4" style="1"/>
    <col min="1793" max="1793" width="2.88671875" style="1" customWidth="1"/>
    <col min="1794" max="1794" width="2.33203125" style="1" customWidth="1"/>
    <col min="1795" max="1795" width="3.44140625" style="1" customWidth="1"/>
    <col min="1796" max="1807" width="3.6640625" style="1" customWidth="1"/>
    <col min="1808" max="1808" width="1.44140625" style="1" customWidth="1"/>
    <col min="1809" max="1810" width="3.6640625" style="1" customWidth="1"/>
    <col min="1811" max="1811" width="2.77734375" style="1" customWidth="1"/>
    <col min="1812" max="1823" width="3.6640625" style="1" customWidth="1"/>
    <col min="1824" max="2048" width="4" style="1"/>
    <col min="2049" max="2049" width="2.88671875" style="1" customWidth="1"/>
    <col min="2050" max="2050" width="2.33203125" style="1" customWidth="1"/>
    <col min="2051" max="2051" width="3.44140625" style="1" customWidth="1"/>
    <col min="2052" max="2063" width="3.6640625" style="1" customWidth="1"/>
    <col min="2064" max="2064" width="1.44140625" style="1" customWidth="1"/>
    <col min="2065" max="2066" width="3.6640625" style="1" customWidth="1"/>
    <col min="2067" max="2067" width="2.77734375" style="1" customWidth="1"/>
    <col min="2068" max="2079" width="3.6640625" style="1" customWidth="1"/>
    <col min="2080" max="2304" width="4" style="1"/>
    <col min="2305" max="2305" width="2.88671875" style="1" customWidth="1"/>
    <col min="2306" max="2306" width="2.33203125" style="1" customWidth="1"/>
    <col min="2307" max="2307" width="3.44140625" style="1" customWidth="1"/>
    <col min="2308" max="2319" width="3.6640625" style="1" customWidth="1"/>
    <col min="2320" max="2320" width="1.44140625" style="1" customWidth="1"/>
    <col min="2321" max="2322" width="3.6640625" style="1" customWidth="1"/>
    <col min="2323" max="2323" width="2.77734375" style="1" customWidth="1"/>
    <col min="2324" max="2335" width="3.6640625" style="1" customWidth="1"/>
    <col min="2336" max="2560" width="4" style="1"/>
    <col min="2561" max="2561" width="2.88671875" style="1" customWidth="1"/>
    <col min="2562" max="2562" width="2.33203125" style="1" customWidth="1"/>
    <col min="2563" max="2563" width="3.44140625" style="1" customWidth="1"/>
    <col min="2564" max="2575" width="3.6640625" style="1" customWidth="1"/>
    <col min="2576" max="2576" width="1.44140625" style="1" customWidth="1"/>
    <col min="2577" max="2578" width="3.6640625" style="1" customWidth="1"/>
    <col min="2579" max="2579" width="2.77734375" style="1" customWidth="1"/>
    <col min="2580" max="2591" width="3.6640625" style="1" customWidth="1"/>
    <col min="2592" max="2816" width="4" style="1"/>
    <col min="2817" max="2817" width="2.88671875" style="1" customWidth="1"/>
    <col min="2818" max="2818" width="2.33203125" style="1" customWidth="1"/>
    <col min="2819" max="2819" width="3.44140625" style="1" customWidth="1"/>
    <col min="2820" max="2831" width="3.6640625" style="1" customWidth="1"/>
    <col min="2832" max="2832" width="1.44140625" style="1" customWidth="1"/>
    <col min="2833" max="2834" width="3.6640625" style="1" customWidth="1"/>
    <col min="2835" max="2835" width="2.77734375" style="1" customWidth="1"/>
    <col min="2836" max="2847" width="3.6640625" style="1" customWidth="1"/>
    <col min="2848" max="3072" width="4" style="1"/>
    <col min="3073" max="3073" width="2.88671875" style="1" customWidth="1"/>
    <col min="3074" max="3074" width="2.33203125" style="1" customWidth="1"/>
    <col min="3075" max="3075" width="3.44140625" style="1" customWidth="1"/>
    <col min="3076" max="3087" width="3.6640625" style="1" customWidth="1"/>
    <col min="3088" max="3088" width="1.44140625" style="1" customWidth="1"/>
    <col min="3089" max="3090" width="3.6640625" style="1" customWidth="1"/>
    <col min="3091" max="3091" width="2.77734375" style="1" customWidth="1"/>
    <col min="3092" max="3103" width="3.6640625" style="1" customWidth="1"/>
    <col min="3104" max="3328" width="4" style="1"/>
    <col min="3329" max="3329" width="2.88671875" style="1" customWidth="1"/>
    <col min="3330" max="3330" width="2.33203125" style="1" customWidth="1"/>
    <col min="3331" max="3331" width="3.44140625" style="1" customWidth="1"/>
    <col min="3332" max="3343" width="3.6640625" style="1" customWidth="1"/>
    <col min="3344" max="3344" width="1.44140625" style="1" customWidth="1"/>
    <col min="3345" max="3346" width="3.6640625" style="1" customWidth="1"/>
    <col min="3347" max="3347" width="2.77734375" style="1" customWidth="1"/>
    <col min="3348" max="3359" width="3.6640625" style="1" customWidth="1"/>
    <col min="3360" max="3584" width="4" style="1"/>
    <col min="3585" max="3585" width="2.88671875" style="1" customWidth="1"/>
    <col min="3586" max="3586" width="2.33203125" style="1" customWidth="1"/>
    <col min="3587" max="3587" width="3.44140625" style="1" customWidth="1"/>
    <col min="3588" max="3599" width="3.6640625" style="1" customWidth="1"/>
    <col min="3600" max="3600" width="1.44140625" style="1" customWidth="1"/>
    <col min="3601" max="3602" width="3.6640625" style="1" customWidth="1"/>
    <col min="3603" max="3603" width="2.77734375" style="1" customWidth="1"/>
    <col min="3604" max="3615" width="3.6640625" style="1" customWidth="1"/>
    <col min="3616" max="3840" width="4" style="1"/>
    <col min="3841" max="3841" width="2.88671875" style="1" customWidth="1"/>
    <col min="3842" max="3842" width="2.33203125" style="1" customWidth="1"/>
    <col min="3843" max="3843" width="3.44140625" style="1" customWidth="1"/>
    <col min="3844" max="3855" width="3.6640625" style="1" customWidth="1"/>
    <col min="3856" max="3856" width="1.44140625" style="1" customWidth="1"/>
    <col min="3857" max="3858" width="3.6640625" style="1" customWidth="1"/>
    <col min="3859" max="3859" width="2.77734375" style="1" customWidth="1"/>
    <col min="3860" max="3871" width="3.6640625" style="1" customWidth="1"/>
    <col min="3872" max="4096" width="4" style="1"/>
    <col min="4097" max="4097" width="2.88671875" style="1" customWidth="1"/>
    <col min="4098" max="4098" width="2.33203125" style="1" customWidth="1"/>
    <col min="4099" max="4099" width="3.44140625" style="1" customWidth="1"/>
    <col min="4100" max="4111" width="3.6640625" style="1" customWidth="1"/>
    <col min="4112" max="4112" width="1.44140625" style="1" customWidth="1"/>
    <col min="4113" max="4114" width="3.6640625" style="1" customWidth="1"/>
    <col min="4115" max="4115" width="2.77734375" style="1" customWidth="1"/>
    <col min="4116" max="4127" width="3.6640625" style="1" customWidth="1"/>
    <col min="4128" max="4352" width="4" style="1"/>
    <col min="4353" max="4353" width="2.88671875" style="1" customWidth="1"/>
    <col min="4354" max="4354" width="2.33203125" style="1" customWidth="1"/>
    <col min="4355" max="4355" width="3.44140625" style="1" customWidth="1"/>
    <col min="4356" max="4367" width="3.6640625" style="1" customWidth="1"/>
    <col min="4368" max="4368" width="1.44140625" style="1" customWidth="1"/>
    <col min="4369" max="4370" width="3.6640625" style="1" customWidth="1"/>
    <col min="4371" max="4371" width="2.77734375" style="1" customWidth="1"/>
    <col min="4372" max="4383" width="3.6640625" style="1" customWidth="1"/>
    <col min="4384" max="4608" width="4" style="1"/>
    <col min="4609" max="4609" width="2.88671875" style="1" customWidth="1"/>
    <col min="4610" max="4610" width="2.33203125" style="1" customWidth="1"/>
    <col min="4611" max="4611" width="3.44140625" style="1" customWidth="1"/>
    <col min="4612" max="4623" width="3.6640625" style="1" customWidth="1"/>
    <col min="4624" max="4624" width="1.44140625" style="1" customWidth="1"/>
    <col min="4625" max="4626" width="3.6640625" style="1" customWidth="1"/>
    <col min="4627" max="4627" width="2.77734375" style="1" customWidth="1"/>
    <col min="4628" max="4639" width="3.6640625" style="1" customWidth="1"/>
    <col min="4640" max="4864" width="4" style="1"/>
    <col min="4865" max="4865" width="2.88671875" style="1" customWidth="1"/>
    <col min="4866" max="4866" width="2.33203125" style="1" customWidth="1"/>
    <col min="4867" max="4867" width="3.44140625" style="1" customWidth="1"/>
    <col min="4868" max="4879" width="3.6640625" style="1" customWidth="1"/>
    <col min="4880" max="4880" width="1.44140625" style="1" customWidth="1"/>
    <col min="4881" max="4882" width="3.6640625" style="1" customWidth="1"/>
    <col min="4883" max="4883" width="2.77734375" style="1" customWidth="1"/>
    <col min="4884" max="4895" width="3.6640625" style="1" customWidth="1"/>
    <col min="4896" max="5120" width="4" style="1"/>
    <col min="5121" max="5121" width="2.88671875" style="1" customWidth="1"/>
    <col min="5122" max="5122" width="2.33203125" style="1" customWidth="1"/>
    <col min="5123" max="5123" width="3.44140625" style="1" customWidth="1"/>
    <col min="5124" max="5135" width="3.6640625" style="1" customWidth="1"/>
    <col min="5136" max="5136" width="1.44140625" style="1" customWidth="1"/>
    <col min="5137" max="5138" width="3.6640625" style="1" customWidth="1"/>
    <col min="5139" max="5139" width="2.77734375" style="1" customWidth="1"/>
    <col min="5140" max="5151" width="3.6640625" style="1" customWidth="1"/>
    <col min="5152" max="5376" width="4" style="1"/>
    <col min="5377" max="5377" width="2.88671875" style="1" customWidth="1"/>
    <col min="5378" max="5378" width="2.33203125" style="1" customWidth="1"/>
    <col min="5379" max="5379" width="3.44140625" style="1" customWidth="1"/>
    <col min="5380" max="5391" width="3.6640625" style="1" customWidth="1"/>
    <col min="5392" max="5392" width="1.44140625" style="1" customWidth="1"/>
    <col min="5393" max="5394" width="3.6640625" style="1" customWidth="1"/>
    <col min="5395" max="5395" width="2.77734375" style="1" customWidth="1"/>
    <col min="5396" max="5407" width="3.6640625" style="1" customWidth="1"/>
    <col min="5408" max="5632" width="4" style="1"/>
    <col min="5633" max="5633" width="2.88671875" style="1" customWidth="1"/>
    <col min="5634" max="5634" width="2.33203125" style="1" customWidth="1"/>
    <col min="5635" max="5635" width="3.44140625" style="1" customWidth="1"/>
    <col min="5636" max="5647" width="3.6640625" style="1" customWidth="1"/>
    <col min="5648" max="5648" width="1.44140625" style="1" customWidth="1"/>
    <col min="5649" max="5650" width="3.6640625" style="1" customWidth="1"/>
    <col min="5651" max="5651" width="2.77734375" style="1" customWidth="1"/>
    <col min="5652" max="5663" width="3.6640625" style="1" customWidth="1"/>
    <col min="5664" max="5888" width="4" style="1"/>
    <col min="5889" max="5889" width="2.88671875" style="1" customWidth="1"/>
    <col min="5890" max="5890" width="2.33203125" style="1" customWidth="1"/>
    <col min="5891" max="5891" width="3.44140625" style="1" customWidth="1"/>
    <col min="5892" max="5903" width="3.6640625" style="1" customWidth="1"/>
    <col min="5904" max="5904" width="1.44140625" style="1" customWidth="1"/>
    <col min="5905" max="5906" width="3.6640625" style="1" customWidth="1"/>
    <col min="5907" max="5907" width="2.77734375" style="1" customWidth="1"/>
    <col min="5908" max="5919" width="3.6640625" style="1" customWidth="1"/>
    <col min="5920" max="6144" width="4" style="1"/>
    <col min="6145" max="6145" width="2.88671875" style="1" customWidth="1"/>
    <col min="6146" max="6146" width="2.33203125" style="1" customWidth="1"/>
    <col min="6147" max="6147" width="3.44140625" style="1" customWidth="1"/>
    <col min="6148" max="6159" width="3.6640625" style="1" customWidth="1"/>
    <col min="6160" max="6160" width="1.44140625" style="1" customWidth="1"/>
    <col min="6161" max="6162" width="3.6640625" style="1" customWidth="1"/>
    <col min="6163" max="6163" width="2.77734375" style="1" customWidth="1"/>
    <col min="6164" max="6175" width="3.6640625" style="1" customWidth="1"/>
    <col min="6176" max="6400" width="4" style="1"/>
    <col min="6401" max="6401" width="2.88671875" style="1" customWidth="1"/>
    <col min="6402" max="6402" width="2.33203125" style="1" customWidth="1"/>
    <col min="6403" max="6403" width="3.44140625" style="1" customWidth="1"/>
    <col min="6404" max="6415" width="3.6640625" style="1" customWidth="1"/>
    <col min="6416" max="6416" width="1.44140625" style="1" customWidth="1"/>
    <col min="6417" max="6418" width="3.6640625" style="1" customWidth="1"/>
    <col min="6419" max="6419" width="2.77734375" style="1" customWidth="1"/>
    <col min="6420" max="6431" width="3.6640625" style="1" customWidth="1"/>
    <col min="6432" max="6656" width="4" style="1"/>
    <col min="6657" max="6657" width="2.88671875" style="1" customWidth="1"/>
    <col min="6658" max="6658" width="2.33203125" style="1" customWidth="1"/>
    <col min="6659" max="6659" width="3.44140625" style="1" customWidth="1"/>
    <col min="6660" max="6671" width="3.6640625" style="1" customWidth="1"/>
    <col min="6672" max="6672" width="1.44140625" style="1" customWidth="1"/>
    <col min="6673" max="6674" width="3.6640625" style="1" customWidth="1"/>
    <col min="6675" max="6675" width="2.77734375" style="1" customWidth="1"/>
    <col min="6676" max="6687" width="3.6640625" style="1" customWidth="1"/>
    <col min="6688" max="6912" width="4" style="1"/>
    <col min="6913" max="6913" width="2.88671875" style="1" customWidth="1"/>
    <col min="6914" max="6914" width="2.33203125" style="1" customWidth="1"/>
    <col min="6915" max="6915" width="3.44140625" style="1" customWidth="1"/>
    <col min="6916" max="6927" width="3.6640625" style="1" customWidth="1"/>
    <col min="6928" max="6928" width="1.44140625" style="1" customWidth="1"/>
    <col min="6929" max="6930" width="3.6640625" style="1" customWidth="1"/>
    <col min="6931" max="6931" width="2.77734375" style="1" customWidth="1"/>
    <col min="6932" max="6943" width="3.6640625" style="1" customWidth="1"/>
    <col min="6944" max="7168" width="4" style="1"/>
    <col min="7169" max="7169" width="2.88671875" style="1" customWidth="1"/>
    <col min="7170" max="7170" width="2.33203125" style="1" customWidth="1"/>
    <col min="7171" max="7171" width="3.44140625" style="1" customWidth="1"/>
    <col min="7172" max="7183" width="3.6640625" style="1" customWidth="1"/>
    <col min="7184" max="7184" width="1.44140625" style="1" customWidth="1"/>
    <col min="7185" max="7186" width="3.6640625" style="1" customWidth="1"/>
    <col min="7187" max="7187" width="2.77734375" style="1" customWidth="1"/>
    <col min="7188" max="7199" width="3.6640625" style="1" customWidth="1"/>
    <col min="7200" max="7424" width="4" style="1"/>
    <col min="7425" max="7425" width="2.88671875" style="1" customWidth="1"/>
    <col min="7426" max="7426" width="2.33203125" style="1" customWidth="1"/>
    <col min="7427" max="7427" width="3.44140625" style="1" customWidth="1"/>
    <col min="7428" max="7439" width="3.6640625" style="1" customWidth="1"/>
    <col min="7440" max="7440" width="1.44140625" style="1" customWidth="1"/>
    <col min="7441" max="7442" width="3.6640625" style="1" customWidth="1"/>
    <col min="7443" max="7443" width="2.77734375" style="1" customWidth="1"/>
    <col min="7444" max="7455" width="3.6640625" style="1" customWidth="1"/>
    <col min="7456" max="7680" width="4" style="1"/>
    <col min="7681" max="7681" width="2.88671875" style="1" customWidth="1"/>
    <col min="7682" max="7682" width="2.33203125" style="1" customWidth="1"/>
    <col min="7683" max="7683" width="3.44140625" style="1" customWidth="1"/>
    <col min="7684" max="7695" width="3.6640625" style="1" customWidth="1"/>
    <col min="7696" max="7696" width="1.44140625" style="1" customWidth="1"/>
    <col min="7697" max="7698" width="3.6640625" style="1" customWidth="1"/>
    <col min="7699" max="7699" width="2.77734375" style="1" customWidth="1"/>
    <col min="7700" max="7711" width="3.6640625" style="1" customWidth="1"/>
    <col min="7712" max="7936" width="4" style="1"/>
    <col min="7937" max="7937" width="2.88671875" style="1" customWidth="1"/>
    <col min="7938" max="7938" width="2.33203125" style="1" customWidth="1"/>
    <col min="7939" max="7939" width="3.44140625" style="1" customWidth="1"/>
    <col min="7940" max="7951" width="3.6640625" style="1" customWidth="1"/>
    <col min="7952" max="7952" width="1.44140625" style="1" customWidth="1"/>
    <col min="7953" max="7954" width="3.6640625" style="1" customWidth="1"/>
    <col min="7955" max="7955" width="2.77734375" style="1" customWidth="1"/>
    <col min="7956" max="7967" width="3.6640625" style="1" customWidth="1"/>
    <col min="7968" max="8192" width="4" style="1"/>
    <col min="8193" max="8193" width="2.88671875" style="1" customWidth="1"/>
    <col min="8194" max="8194" width="2.33203125" style="1" customWidth="1"/>
    <col min="8195" max="8195" width="3.44140625" style="1" customWidth="1"/>
    <col min="8196" max="8207" width="3.6640625" style="1" customWidth="1"/>
    <col min="8208" max="8208" width="1.44140625" style="1" customWidth="1"/>
    <col min="8209" max="8210" width="3.6640625" style="1" customWidth="1"/>
    <col min="8211" max="8211" width="2.77734375" style="1" customWidth="1"/>
    <col min="8212" max="8223" width="3.6640625" style="1" customWidth="1"/>
    <col min="8224" max="8448" width="4" style="1"/>
    <col min="8449" max="8449" width="2.88671875" style="1" customWidth="1"/>
    <col min="8450" max="8450" width="2.33203125" style="1" customWidth="1"/>
    <col min="8451" max="8451" width="3.44140625" style="1" customWidth="1"/>
    <col min="8452" max="8463" width="3.6640625" style="1" customWidth="1"/>
    <col min="8464" max="8464" width="1.44140625" style="1" customWidth="1"/>
    <col min="8465" max="8466" width="3.6640625" style="1" customWidth="1"/>
    <col min="8467" max="8467" width="2.77734375" style="1" customWidth="1"/>
    <col min="8468" max="8479" width="3.6640625" style="1" customWidth="1"/>
    <col min="8480" max="8704" width="4" style="1"/>
    <col min="8705" max="8705" width="2.88671875" style="1" customWidth="1"/>
    <col min="8706" max="8706" width="2.33203125" style="1" customWidth="1"/>
    <col min="8707" max="8707" width="3.44140625" style="1" customWidth="1"/>
    <col min="8708" max="8719" width="3.6640625" style="1" customWidth="1"/>
    <col min="8720" max="8720" width="1.44140625" style="1" customWidth="1"/>
    <col min="8721" max="8722" width="3.6640625" style="1" customWidth="1"/>
    <col min="8723" max="8723" width="2.77734375" style="1" customWidth="1"/>
    <col min="8724" max="8735" width="3.6640625" style="1" customWidth="1"/>
    <col min="8736" max="8960" width="4" style="1"/>
    <col min="8961" max="8961" width="2.88671875" style="1" customWidth="1"/>
    <col min="8962" max="8962" width="2.33203125" style="1" customWidth="1"/>
    <col min="8963" max="8963" width="3.44140625" style="1" customWidth="1"/>
    <col min="8964" max="8975" width="3.6640625" style="1" customWidth="1"/>
    <col min="8976" max="8976" width="1.44140625" style="1" customWidth="1"/>
    <col min="8977" max="8978" width="3.6640625" style="1" customWidth="1"/>
    <col min="8979" max="8979" width="2.77734375" style="1" customWidth="1"/>
    <col min="8980" max="8991" width="3.6640625" style="1" customWidth="1"/>
    <col min="8992" max="9216" width="4" style="1"/>
    <col min="9217" max="9217" width="2.88671875" style="1" customWidth="1"/>
    <col min="9218" max="9218" width="2.33203125" style="1" customWidth="1"/>
    <col min="9219" max="9219" width="3.44140625" style="1" customWidth="1"/>
    <col min="9220" max="9231" width="3.6640625" style="1" customWidth="1"/>
    <col min="9232" max="9232" width="1.44140625" style="1" customWidth="1"/>
    <col min="9233" max="9234" width="3.6640625" style="1" customWidth="1"/>
    <col min="9235" max="9235" width="2.77734375" style="1" customWidth="1"/>
    <col min="9236" max="9247" width="3.6640625" style="1" customWidth="1"/>
    <col min="9248" max="9472" width="4" style="1"/>
    <col min="9473" max="9473" width="2.88671875" style="1" customWidth="1"/>
    <col min="9474" max="9474" width="2.33203125" style="1" customWidth="1"/>
    <col min="9475" max="9475" width="3.44140625" style="1" customWidth="1"/>
    <col min="9476" max="9487" width="3.6640625" style="1" customWidth="1"/>
    <col min="9488" max="9488" width="1.44140625" style="1" customWidth="1"/>
    <col min="9489" max="9490" width="3.6640625" style="1" customWidth="1"/>
    <col min="9491" max="9491" width="2.77734375" style="1" customWidth="1"/>
    <col min="9492" max="9503" width="3.6640625" style="1" customWidth="1"/>
    <col min="9504" max="9728" width="4" style="1"/>
    <col min="9729" max="9729" width="2.88671875" style="1" customWidth="1"/>
    <col min="9730" max="9730" width="2.33203125" style="1" customWidth="1"/>
    <col min="9731" max="9731" width="3.44140625" style="1" customWidth="1"/>
    <col min="9732" max="9743" width="3.6640625" style="1" customWidth="1"/>
    <col min="9744" max="9744" width="1.44140625" style="1" customWidth="1"/>
    <col min="9745" max="9746" width="3.6640625" style="1" customWidth="1"/>
    <col min="9747" max="9747" width="2.77734375" style="1" customWidth="1"/>
    <col min="9748" max="9759" width="3.6640625" style="1" customWidth="1"/>
    <col min="9760" max="9984" width="4" style="1"/>
    <col min="9985" max="9985" width="2.88671875" style="1" customWidth="1"/>
    <col min="9986" max="9986" width="2.33203125" style="1" customWidth="1"/>
    <col min="9987" max="9987" width="3.44140625" style="1" customWidth="1"/>
    <col min="9988" max="9999" width="3.6640625" style="1" customWidth="1"/>
    <col min="10000" max="10000" width="1.44140625" style="1" customWidth="1"/>
    <col min="10001" max="10002" width="3.6640625" style="1" customWidth="1"/>
    <col min="10003" max="10003" width="2.77734375" style="1" customWidth="1"/>
    <col min="10004" max="10015" width="3.6640625" style="1" customWidth="1"/>
    <col min="10016" max="10240" width="4" style="1"/>
    <col min="10241" max="10241" width="2.88671875" style="1" customWidth="1"/>
    <col min="10242" max="10242" width="2.33203125" style="1" customWidth="1"/>
    <col min="10243" max="10243" width="3.44140625" style="1" customWidth="1"/>
    <col min="10244" max="10255" width="3.6640625" style="1" customWidth="1"/>
    <col min="10256" max="10256" width="1.44140625" style="1" customWidth="1"/>
    <col min="10257" max="10258" width="3.6640625" style="1" customWidth="1"/>
    <col min="10259" max="10259" width="2.77734375" style="1" customWidth="1"/>
    <col min="10260" max="10271" width="3.6640625" style="1" customWidth="1"/>
    <col min="10272" max="10496" width="4" style="1"/>
    <col min="10497" max="10497" width="2.88671875" style="1" customWidth="1"/>
    <col min="10498" max="10498" width="2.33203125" style="1" customWidth="1"/>
    <col min="10499" max="10499" width="3.44140625" style="1" customWidth="1"/>
    <col min="10500" max="10511" width="3.6640625" style="1" customWidth="1"/>
    <col min="10512" max="10512" width="1.44140625" style="1" customWidth="1"/>
    <col min="10513" max="10514" width="3.6640625" style="1" customWidth="1"/>
    <col min="10515" max="10515" width="2.77734375" style="1" customWidth="1"/>
    <col min="10516" max="10527" width="3.6640625" style="1" customWidth="1"/>
    <col min="10528" max="10752" width="4" style="1"/>
    <col min="10753" max="10753" width="2.88671875" style="1" customWidth="1"/>
    <col min="10754" max="10754" width="2.33203125" style="1" customWidth="1"/>
    <col min="10755" max="10755" width="3.44140625" style="1" customWidth="1"/>
    <col min="10756" max="10767" width="3.6640625" style="1" customWidth="1"/>
    <col min="10768" max="10768" width="1.44140625" style="1" customWidth="1"/>
    <col min="10769" max="10770" width="3.6640625" style="1" customWidth="1"/>
    <col min="10771" max="10771" width="2.77734375" style="1" customWidth="1"/>
    <col min="10772" max="10783" width="3.6640625" style="1" customWidth="1"/>
    <col min="10784" max="11008" width="4" style="1"/>
    <col min="11009" max="11009" width="2.88671875" style="1" customWidth="1"/>
    <col min="11010" max="11010" width="2.33203125" style="1" customWidth="1"/>
    <col min="11011" max="11011" width="3.44140625" style="1" customWidth="1"/>
    <col min="11012" max="11023" width="3.6640625" style="1" customWidth="1"/>
    <col min="11024" max="11024" width="1.44140625" style="1" customWidth="1"/>
    <col min="11025" max="11026" width="3.6640625" style="1" customWidth="1"/>
    <col min="11027" max="11027" width="2.77734375" style="1" customWidth="1"/>
    <col min="11028" max="11039" width="3.6640625" style="1" customWidth="1"/>
    <col min="11040" max="11264" width="4" style="1"/>
    <col min="11265" max="11265" width="2.88671875" style="1" customWidth="1"/>
    <col min="11266" max="11266" width="2.33203125" style="1" customWidth="1"/>
    <col min="11267" max="11267" width="3.44140625" style="1" customWidth="1"/>
    <col min="11268" max="11279" width="3.6640625" style="1" customWidth="1"/>
    <col min="11280" max="11280" width="1.44140625" style="1" customWidth="1"/>
    <col min="11281" max="11282" width="3.6640625" style="1" customWidth="1"/>
    <col min="11283" max="11283" width="2.77734375" style="1" customWidth="1"/>
    <col min="11284" max="11295" width="3.6640625" style="1" customWidth="1"/>
    <col min="11296" max="11520" width="4" style="1"/>
    <col min="11521" max="11521" width="2.88671875" style="1" customWidth="1"/>
    <col min="11522" max="11522" width="2.33203125" style="1" customWidth="1"/>
    <col min="11523" max="11523" width="3.44140625" style="1" customWidth="1"/>
    <col min="11524" max="11535" width="3.6640625" style="1" customWidth="1"/>
    <col min="11536" max="11536" width="1.44140625" style="1" customWidth="1"/>
    <col min="11537" max="11538" width="3.6640625" style="1" customWidth="1"/>
    <col min="11539" max="11539" width="2.77734375" style="1" customWidth="1"/>
    <col min="11540" max="11551" width="3.6640625" style="1" customWidth="1"/>
    <col min="11552" max="11776" width="4" style="1"/>
    <col min="11777" max="11777" width="2.88671875" style="1" customWidth="1"/>
    <col min="11778" max="11778" width="2.33203125" style="1" customWidth="1"/>
    <col min="11779" max="11779" width="3.44140625" style="1" customWidth="1"/>
    <col min="11780" max="11791" width="3.6640625" style="1" customWidth="1"/>
    <col min="11792" max="11792" width="1.44140625" style="1" customWidth="1"/>
    <col min="11793" max="11794" width="3.6640625" style="1" customWidth="1"/>
    <col min="11795" max="11795" width="2.77734375" style="1" customWidth="1"/>
    <col min="11796" max="11807" width="3.6640625" style="1" customWidth="1"/>
    <col min="11808" max="12032" width="4" style="1"/>
    <col min="12033" max="12033" width="2.88671875" style="1" customWidth="1"/>
    <col min="12034" max="12034" width="2.33203125" style="1" customWidth="1"/>
    <col min="12035" max="12035" width="3.44140625" style="1" customWidth="1"/>
    <col min="12036" max="12047" width="3.6640625" style="1" customWidth="1"/>
    <col min="12048" max="12048" width="1.44140625" style="1" customWidth="1"/>
    <col min="12049" max="12050" width="3.6640625" style="1" customWidth="1"/>
    <col min="12051" max="12051" width="2.77734375" style="1" customWidth="1"/>
    <col min="12052" max="12063" width="3.6640625" style="1" customWidth="1"/>
    <col min="12064" max="12288" width="4" style="1"/>
    <col min="12289" max="12289" width="2.88671875" style="1" customWidth="1"/>
    <col min="12290" max="12290" width="2.33203125" style="1" customWidth="1"/>
    <col min="12291" max="12291" width="3.44140625" style="1" customWidth="1"/>
    <col min="12292" max="12303" width="3.6640625" style="1" customWidth="1"/>
    <col min="12304" max="12304" width="1.44140625" style="1" customWidth="1"/>
    <col min="12305" max="12306" width="3.6640625" style="1" customWidth="1"/>
    <col min="12307" max="12307" width="2.77734375" style="1" customWidth="1"/>
    <col min="12308" max="12319" width="3.6640625" style="1" customWidth="1"/>
    <col min="12320" max="12544" width="4" style="1"/>
    <col min="12545" max="12545" width="2.88671875" style="1" customWidth="1"/>
    <col min="12546" max="12546" width="2.33203125" style="1" customWidth="1"/>
    <col min="12547" max="12547" width="3.44140625" style="1" customWidth="1"/>
    <col min="12548" max="12559" width="3.6640625" style="1" customWidth="1"/>
    <col min="12560" max="12560" width="1.44140625" style="1" customWidth="1"/>
    <col min="12561" max="12562" width="3.6640625" style="1" customWidth="1"/>
    <col min="12563" max="12563" width="2.77734375" style="1" customWidth="1"/>
    <col min="12564" max="12575" width="3.6640625" style="1" customWidth="1"/>
    <col min="12576" max="12800" width="4" style="1"/>
    <col min="12801" max="12801" width="2.88671875" style="1" customWidth="1"/>
    <col min="12802" max="12802" width="2.33203125" style="1" customWidth="1"/>
    <col min="12803" max="12803" width="3.44140625" style="1" customWidth="1"/>
    <col min="12804" max="12815" width="3.6640625" style="1" customWidth="1"/>
    <col min="12816" max="12816" width="1.44140625" style="1" customWidth="1"/>
    <col min="12817" max="12818" width="3.6640625" style="1" customWidth="1"/>
    <col min="12819" max="12819" width="2.77734375" style="1" customWidth="1"/>
    <col min="12820" max="12831" width="3.6640625" style="1" customWidth="1"/>
    <col min="12832" max="13056" width="4" style="1"/>
    <col min="13057" max="13057" width="2.88671875" style="1" customWidth="1"/>
    <col min="13058" max="13058" width="2.33203125" style="1" customWidth="1"/>
    <col min="13059" max="13059" width="3.44140625" style="1" customWidth="1"/>
    <col min="13060" max="13071" width="3.6640625" style="1" customWidth="1"/>
    <col min="13072" max="13072" width="1.44140625" style="1" customWidth="1"/>
    <col min="13073" max="13074" width="3.6640625" style="1" customWidth="1"/>
    <col min="13075" max="13075" width="2.77734375" style="1" customWidth="1"/>
    <col min="13076" max="13087" width="3.6640625" style="1" customWidth="1"/>
    <col min="13088" max="13312" width="4" style="1"/>
    <col min="13313" max="13313" width="2.88671875" style="1" customWidth="1"/>
    <col min="13314" max="13314" width="2.33203125" style="1" customWidth="1"/>
    <col min="13315" max="13315" width="3.44140625" style="1" customWidth="1"/>
    <col min="13316" max="13327" width="3.6640625" style="1" customWidth="1"/>
    <col min="13328" max="13328" width="1.44140625" style="1" customWidth="1"/>
    <col min="13329" max="13330" width="3.6640625" style="1" customWidth="1"/>
    <col min="13331" max="13331" width="2.77734375" style="1" customWidth="1"/>
    <col min="13332" max="13343" width="3.6640625" style="1" customWidth="1"/>
    <col min="13344" max="13568" width="4" style="1"/>
    <col min="13569" max="13569" width="2.88671875" style="1" customWidth="1"/>
    <col min="13570" max="13570" width="2.33203125" style="1" customWidth="1"/>
    <col min="13571" max="13571" width="3.44140625" style="1" customWidth="1"/>
    <col min="13572" max="13583" width="3.6640625" style="1" customWidth="1"/>
    <col min="13584" max="13584" width="1.44140625" style="1" customWidth="1"/>
    <col min="13585" max="13586" width="3.6640625" style="1" customWidth="1"/>
    <col min="13587" max="13587" width="2.77734375" style="1" customWidth="1"/>
    <col min="13588" max="13599" width="3.6640625" style="1" customWidth="1"/>
    <col min="13600" max="13824" width="4" style="1"/>
    <col min="13825" max="13825" width="2.88671875" style="1" customWidth="1"/>
    <col min="13826" max="13826" width="2.33203125" style="1" customWidth="1"/>
    <col min="13827" max="13827" width="3.44140625" style="1" customWidth="1"/>
    <col min="13828" max="13839" width="3.6640625" style="1" customWidth="1"/>
    <col min="13840" max="13840" width="1.44140625" style="1" customWidth="1"/>
    <col min="13841" max="13842" width="3.6640625" style="1" customWidth="1"/>
    <col min="13843" max="13843" width="2.77734375" style="1" customWidth="1"/>
    <col min="13844" max="13855" width="3.6640625" style="1" customWidth="1"/>
    <col min="13856" max="14080" width="4" style="1"/>
    <col min="14081" max="14081" width="2.88671875" style="1" customWidth="1"/>
    <col min="14082" max="14082" width="2.33203125" style="1" customWidth="1"/>
    <col min="14083" max="14083" width="3.44140625" style="1" customWidth="1"/>
    <col min="14084" max="14095" width="3.6640625" style="1" customWidth="1"/>
    <col min="14096" max="14096" width="1.44140625" style="1" customWidth="1"/>
    <col min="14097" max="14098" width="3.6640625" style="1" customWidth="1"/>
    <col min="14099" max="14099" width="2.77734375" style="1" customWidth="1"/>
    <col min="14100" max="14111" width="3.6640625" style="1" customWidth="1"/>
    <col min="14112" max="14336" width="4" style="1"/>
    <col min="14337" max="14337" width="2.88671875" style="1" customWidth="1"/>
    <col min="14338" max="14338" width="2.33203125" style="1" customWidth="1"/>
    <col min="14339" max="14339" width="3.44140625" style="1" customWidth="1"/>
    <col min="14340" max="14351" width="3.6640625" style="1" customWidth="1"/>
    <col min="14352" max="14352" width="1.44140625" style="1" customWidth="1"/>
    <col min="14353" max="14354" width="3.6640625" style="1" customWidth="1"/>
    <col min="14355" max="14355" width="2.77734375" style="1" customWidth="1"/>
    <col min="14356" max="14367" width="3.6640625" style="1" customWidth="1"/>
    <col min="14368" max="14592" width="4" style="1"/>
    <col min="14593" max="14593" width="2.88671875" style="1" customWidth="1"/>
    <col min="14594" max="14594" width="2.33203125" style="1" customWidth="1"/>
    <col min="14595" max="14595" width="3.44140625" style="1" customWidth="1"/>
    <col min="14596" max="14607" width="3.6640625" style="1" customWidth="1"/>
    <col min="14608" max="14608" width="1.44140625" style="1" customWidth="1"/>
    <col min="14609" max="14610" width="3.6640625" style="1" customWidth="1"/>
    <col min="14611" max="14611" width="2.77734375" style="1" customWidth="1"/>
    <col min="14612" max="14623" width="3.6640625" style="1" customWidth="1"/>
    <col min="14624" max="14848" width="4" style="1"/>
    <col min="14849" max="14849" width="2.88671875" style="1" customWidth="1"/>
    <col min="14850" max="14850" width="2.33203125" style="1" customWidth="1"/>
    <col min="14851" max="14851" width="3.44140625" style="1" customWidth="1"/>
    <col min="14852" max="14863" width="3.6640625" style="1" customWidth="1"/>
    <col min="14864" max="14864" width="1.44140625" style="1" customWidth="1"/>
    <col min="14865" max="14866" width="3.6640625" style="1" customWidth="1"/>
    <col min="14867" max="14867" width="2.77734375" style="1" customWidth="1"/>
    <col min="14868" max="14879" width="3.6640625" style="1" customWidth="1"/>
    <col min="14880" max="15104" width="4" style="1"/>
    <col min="15105" max="15105" width="2.88671875" style="1" customWidth="1"/>
    <col min="15106" max="15106" width="2.33203125" style="1" customWidth="1"/>
    <col min="15107" max="15107" width="3.44140625" style="1" customWidth="1"/>
    <col min="15108" max="15119" width="3.6640625" style="1" customWidth="1"/>
    <col min="15120" max="15120" width="1.44140625" style="1" customWidth="1"/>
    <col min="15121" max="15122" width="3.6640625" style="1" customWidth="1"/>
    <col min="15123" max="15123" width="2.77734375" style="1" customWidth="1"/>
    <col min="15124" max="15135" width="3.6640625" style="1" customWidth="1"/>
    <col min="15136" max="15360" width="4" style="1"/>
    <col min="15361" max="15361" width="2.88671875" style="1" customWidth="1"/>
    <col min="15362" max="15362" width="2.33203125" style="1" customWidth="1"/>
    <col min="15363" max="15363" width="3.44140625" style="1" customWidth="1"/>
    <col min="15364" max="15375" width="3.6640625" style="1" customWidth="1"/>
    <col min="15376" max="15376" width="1.44140625" style="1" customWidth="1"/>
    <col min="15377" max="15378" width="3.6640625" style="1" customWidth="1"/>
    <col min="15379" max="15379" width="2.77734375" style="1" customWidth="1"/>
    <col min="15380" max="15391" width="3.6640625" style="1" customWidth="1"/>
    <col min="15392" max="15616" width="4" style="1"/>
    <col min="15617" max="15617" width="2.88671875" style="1" customWidth="1"/>
    <col min="15618" max="15618" width="2.33203125" style="1" customWidth="1"/>
    <col min="15619" max="15619" width="3.44140625" style="1" customWidth="1"/>
    <col min="15620" max="15631" width="3.6640625" style="1" customWidth="1"/>
    <col min="15632" max="15632" width="1.44140625" style="1" customWidth="1"/>
    <col min="15633" max="15634" width="3.6640625" style="1" customWidth="1"/>
    <col min="15635" max="15635" width="2.77734375" style="1" customWidth="1"/>
    <col min="15636" max="15647" width="3.6640625" style="1" customWidth="1"/>
    <col min="15648" max="15872" width="4" style="1"/>
    <col min="15873" max="15873" width="2.88671875" style="1" customWidth="1"/>
    <col min="15874" max="15874" width="2.33203125" style="1" customWidth="1"/>
    <col min="15875" max="15875" width="3.44140625" style="1" customWidth="1"/>
    <col min="15876" max="15887" width="3.6640625" style="1" customWidth="1"/>
    <col min="15888" max="15888" width="1.44140625" style="1" customWidth="1"/>
    <col min="15889" max="15890" width="3.6640625" style="1" customWidth="1"/>
    <col min="15891" max="15891" width="2.77734375" style="1" customWidth="1"/>
    <col min="15892" max="15903" width="3.6640625" style="1" customWidth="1"/>
    <col min="15904" max="16128" width="4" style="1"/>
    <col min="16129" max="16129" width="2.88671875" style="1" customWidth="1"/>
    <col min="16130" max="16130" width="2.33203125" style="1" customWidth="1"/>
    <col min="16131" max="16131" width="3.44140625" style="1" customWidth="1"/>
    <col min="16132" max="16143" width="3.6640625" style="1" customWidth="1"/>
    <col min="16144" max="16144" width="1.44140625" style="1" customWidth="1"/>
    <col min="16145" max="16146" width="3.6640625" style="1" customWidth="1"/>
    <col min="16147" max="16147" width="2.77734375" style="1" customWidth="1"/>
    <col min="16148" max="16159" width="3.6640625" style="1" customWidth="1"/>
    <col min="16160" max="16384" width="4" style="1"/>
  </cols>
  <sheetData>
    <row r="2" spans="2:31">
      <c r="B2" s="1" t="s">
        <v>1467</v>
      </c>
    </row>
    <row r="3" spans="2:31">
      <c r="U3" s="2"/>
      <c r="X3" s="45" t="s">
        <v>544</v>
      </c>
      <c r="Y3" s="1575"/>
      <c r="Z3" s="1575"/>
      <c r="AA3" s="45" t="s">
        <v>34</v>
      </c>
      <c r="AB3" s="12"/>
      <c r="AC3" s="45" t="s">
        <v>1108</v>
      </c>
      <c r="AD3" s="12"/>
      <c r="AE3" s="45" t="s">
        <v>241</v>
      </c>
    </row>
    <row r="4" spans="2:31">
      <c r="T4" s="626"/>
      <c r="U4" s="626"/>
      <c r="V4" s="626"/>
    </row>
    <row r="5" spans="2:31">
      <c r="B5" s="1575" t="s">
        <v>1105</v>
      </c>
      <c r="C5" s="1575"/>
      <c r="D5" s="1575"/>
      <c r="E5" s="1575"/>
      <c r="F5" s="1575"/>
      <c r="G5" s="1575"/>
      <c r="H5" s="1575"/>
      <c r="I5" s="1575"/>
      <c r="J5" s="1575"/>
      <c r="K5" s="1575"/>
      <c r="L5" s="1575"/>
      <c r="M5" s="1575"/>
      <c r="N5" s="1575"/>
      <c r="O5" s="1575"/>
      <c r="P5" s="1575"/>
      <c r="Q5" s="1575"/>
      <c r="R5" s="1575"/>
      <c r="S5" s="1575"/>
      <c r="T5" s="1575"/>
      <c r="U5" s="1575"/>
      <c r="V5" s="1575"/>
      <c r="W5" s="1575"/>
      <c r="X5" s="1575"/>
      <c r="Y5" s="1575"/>
      <c r="Z5" s="1575"/>
      <c r="AA5" s="1575"/>
      <c r="AB5" s="1575"/>
      <c r="AC5" s="1575"/>
      <c r="AD5" s="1575"/>
      <c r="AE5" s="1575"/>
    </row>
    <row r="6" spans="2:31" ht="65.25" customHeight="1">
      <c r="B6" s="1814" t="s">
        <v>1468</v>
      </c>
      <c r="C6" s="1814"/>
      <c r="D6" s="1814"/>
      <c r="E6" s="1814"/>
      <c r="F6" s="1814"/>
      <c r="G6" s="1814"/>
      <c r="H6" s="1814"/>
      <c r="I6" s="1814"/>
      <c r="J6" s="1814"/>
      <c r="K6" s="1814"/>
      <c r="L6" s="1814"/>
      <c r="M6" s="1814"/>
      <c r="N6" s="1814"/>
      <c r="O6" s="1814"/>
      <c r="P6" s="1814"/>
      <c r="Q6" s="1814"/>
      <c r="R6" s="1814"/>
      <c r="S6" s="1814"/>
      <c r="T6" s="1814"/>
      <c r="U6" s="1814"/>
      <c r="V6" s="1814"/>
      <c r="W6" s="1814"/>
      <c r="X6" s="1814"/>
      <c r="Y6" s="1814"/>
      <c r="Z6" s="1814"/>
      <c r="AA6" s="1814"/>
      <c r="AB6" s="1814"/>
      <c r="AC6" s="1814"/>
      <c r="AD6" s="1814"/>
      <c r="AE6" s="12"/>
    </row>
    <row r="7" spans="2:31" ht="23.25" customHeight="1"/>
    <row r="8" spans="2:31" ht="23.25" customHeight="1">
      <c r="B8" s="725" t="s">
        <v>1109</v>
      </c>
      <c r="C8" s="725"/>
      <c r="D8" s="725"/>
      <c r="E8" s="725"/>
      <c r="F8" s="1580"/>
      <c r="G8" s="1581"/>
      <c r="H8" s="1581"/>
      <c r="I8" s="1581"/>
      <c r="J8" s="1581"/>
      <c r="K8" s="1581"/>
      <c r="L8" s="1581"/>
      <c r="M8" s="1581"/>
      <c r="N8" s="1581"/>
      <c r="O8" s="1581"/>
      <c r="P8" s="1581"/>
      <c r="Q8" s="1581"/>
      <c r="R8" s="1581"/>
      <c r="S8" s="1581"/>
      <c r="T8" s="1581"/>
      <c r="U8" s="1581"/>
      <c r="V8" s="1581"/>
      <c r="W8" s="1581"/>
      <c r="X8" s="1581"/>
      <c r="Y8" s="1581"/>
      <c r="Z8" s="1581"/>
      <c r="AA8" s="1581"/>
      <c r="AB8" s="1581"/>
      <c r="AC8" s="1581"/>
      <c r="AD8" s="1581"/>
      <c r="AE8" s="1582"/>
    </row>
    <row r="9" spans="2:31" ht="25.2" customHeight="1">
      <c r="B9" s="725" t="s">
        <v>1110</v>
      </c>
      <c r="C9" s="725"/>
      <c r="D9" s="725"/>
      <c r="E9" s="725"/>
      <c r="F9" s="663" t="s">
        <v>121</v>
      </c>
      <c r="G9" s="639" t="s">
        <v>1111</v>
      </c>
      <c r="H9" s="639"/>
      <c r="I9" s="639"/>
      <c r="J9" s="639"/>
      <c r="K9" s="664" t="s">
        <v>121</v>
      </c>
      <c r="L9" s="639" t="s">
        <v>1112</v>
      </c>
      <c r="M9" s="639"/>
      <c r="N9" s="639"/>
      <c r="O9" s="639"/>
      <c r="P9" s="639"/>
      <c r="Q9" s="664" t="s">
        <v>121</v>
      </c>
      <c r="R9" s="639" t="s">
        <v>1113</v>
      </c>
      <c r="S9" s="639"/>
      <c r="T9" s="639"/>
      <c r="U9" s="639"/>
      <c r="V9" s="639"/>
      <c r="W9" s="639"/>
      <c r="X9" s="639"/>
      <c r="Y9" s="639"/>
      <c r="Z9" s="639"/>
      <c r="AA9" s="639"/>
      <c r="AB9" s="639"/>
      <c r="AC9" s="639"/>
      <c r="AD9" s="10"/>
      <c r="AE9" s="11"/>
    </row>
    <row r="10" spans="2:31" ht="25.2" customHeight="1">
      <c r="B10" s="1795" t="s">
        <v>1114</v>
      </c>
      <c r="C10" s="1796"/>
      <c r="D10" s="1796"/>
      <c r="E10" s="1797"/>
      <c r="F10" s="12" t="s">
        <v>121</v>
      </c>
      <c r="G10" s="2" t="s">
        <v>1469</v>
      </c>
      <c r="H10" s="2"/>
      <c r="I10" s="2"/>
      <c r="J10" s="2"/>
      <c r="K10" s="2"/>
      <c r="L10" s="2"/>
      <c r="M10" s="2"/>
      <c r="N10" s="2"/>
      <c r="O10" s="2"/>
      <c r="Q10" s="7"/>
      <c r="R10" s="611" t="s">
        <v>121</v>
      </c>
      <c r="S10" s="2" t="s">
        <v>1470</v>
      </c>
      <c r="T10" s="2"/>
      <c r="U10" s="2"/>
      <c r="V10" s="2"/>
      <c r="W10" s="22"/>
      <c r="X10" s="22"/>
      <c r="Y10" s="22"/>
      <c r="Z10" s="22"/>
      <c r="AA10" s="22"/>
      <c r="AB10" s="22"/>
      <c r="AC10" s="22"/>
      <c r="AD10" s="7"/>
      <c r="AE10" s="4"/>
    </row>
    <row r="11" spans="2:31" ht="25.2" customHeight="1">
      <c r="B11" s="1801"/>
      <c r="C11" s="1575"/>
      <c r="D11" s="1575"/>
      <c r="E11" s="1802"/>
      <c r="F11" s="12" t="s">
        <v>121</v>
      </c>
      <c r="G11" s="2" t="s">
        <v>1471</v>
      </c>
      <c r="H11" s="2"/>
      <c r="I11" s="2"/>
      <c r="J11" s="2"/>
      <c r="K11" s="2"/>
      <c r="L11" s="2"/>
      <c r="M11" s="2"/>
      <c r="N11" s="2"/>
      <c r="O11" s="2"/>
      <c r="R11" s="12" t="s">
        <v>121</v>
      </c>
      <c r="S11" s="2" t="s">
        <v>1472</v>
      </c>
      <c r="T11" s="2"/>
      <c r="U11" s="2"/>
      <c r="V11" s="2"/>
      <c r="W11" s="2"/>
      <c r="X11" s="2"/>
      <c r="Y11" s="2"/>
      <c r="Z11" s="2"/>
      <c r="AA11" s="2"/>
      <c r="AB11" s="2"/>
      <c r="AC11" s="2"/>
      <c r="AE11" s="402"/>
    </row>
    <row r="12" spans="2:31" ht="25.2" customHeight="1">
      <c r="B12" s="1801"/>
      <c r="C12" s="1575"/>
      <c r="D12" s="1575"/>
      <c r="E12" s="1802"/>
      <c r="F12" s="12" t="s">
        <v>121</v>
      </c>
      <c r="G12" s="597" t="s">
        <v>1473</v>
      </c>
      <c r="H12" s="2"/>
      <c r="I12" s="2"/>
      <c r="J12" s="2"/>
      <c r="K12" s="2"/>
      <c r="L12" s="2"/>
      <c r="M12" s="2"/>
      <c r="N12" s="2"/>
      <c r="O12" s="2"/>
      <c r="R12" s="12" t="s">
        <v>121</v>
      </c>
      <c r="S12" s="597" t="s">
        <v>1474</v>
      </c>
      <c r="T12" s="2"/>
      <c r="U12" s="2"/>
      <c r="V12" s="2"/>
      <c r="W12" s="2"/>
      <c r="X12" s="2"/>
      <c r="Y12" s="2"/>
      <c r="Z12" s="2"/>
      <c r="AA12" s="2"/>
      <c r="AB12" s="2"/>
      <c r="AC12" s="2"/>
      <c r="AE12" s="402"/>
    </row>
    <row r="13" spans="2:31" ht="25.2" customHeight="1">
      <c r="B13" s="1801"/>
      <c r="C13" s="1575"/>
      <c r="D13" s="1575"/>
      <c r="E13" s="1802"/>
      <c r="F13" s="12" t="s">
        <v>121</v>
      </c>
      <c r="G13" s="2" t="s">
        <v>1475</v>
      </c>
      <c r="H13" s="2"/>
      <c r="I13" s="2"/>
      <c r="J13" s="2"/>
      <c r="K13" s="2"/>
      <c r="L13" s="2"/>
      <c r="M13"/>
      <c r="N13" s="2"/>
      <c r="O13" s="2"/>
      <c r="R13" s="12" t="s">
        <v>121</v>
      </c>
      <c r="S13" s="2" t="s">
        <v>1476</v>
      </c>
      <c r="T13" s="2"/>
      <c r="U13" s="2"/>
      <c r="V13" s="2"/>
      <c r="W13" s="2"/>
      <c r="X13" s="2"/>
      <c r="Y13" s="2"/>
      <c r="Z13" s="2"/>
      <c r="AA13" s="2"/>
      <c r="AB13" s="2"/>
      <c r="AC13" s="2"/>
      <c r="AE13" s="402"/>
    </row>
    <row r="14" spans="2:31" ht="25.2" customHeight="1">
      <c r="B14" s="1801"/>
      <c r="C14" s="1575"/>
      <c r="D14" s="1575"/>
      <c r="E14" s="1802"/>
      <c r="F14" s="12" t="s">
        <v>121</v>
      </c>
      <c r="G14" s="2" t="s">
        <v>1477</v>
      </c>
      <c r="H14" s="2"/>
      <c r="I14" s="2"/>
      <c r="J14" s="2"/>
      <c r="K14"/>
      <c r="L14" s="597"/>
      <c r="M14" s="726"/>
      <c r="N14" s="726"/>
      <c r="O14" s="597"/>
      <c r="R14" s="12"/>
      <c r="S14" s="2"/>
      <c r="T14" s="597"/>
      <c r="U14" s="597"/>
      <c r="V14" s="597"/>
      <c r="W14" s="597"/>
      <c r="X14" s="597"/>
      <c r="Y14" s="597"/>
      <c r="Z14" s="597"/>
      <c r="AA14" s="597"/>
      <c r="AB14" s="597"/>
      <c r="AC14" s="597"/>
      <c r="AE14" s="402"/>
    </row>
    <row r="15" spans="2:31" ht="25.2" customHeight="1">
      <c r="B15" s="725" t="s">
        <v>1115</v>
      </c>
      <c r="C15" s="725"/>
      <c r="D15" s="725"/>
      <c r="E15" s="725"/>
      <c r="F15" s="663" t="s">
        <v>121</v>
      </c>
      <c r="G15" s="639" t="s">
        <v>1116</v>
      </c>
      <c r="H15" s="727"/>
      <c r="I15" s="727"/>
      <c r="J15" s="727"/>
      <c r="K15" s="727"/>
      <c r="L15" s="727"/>
      <c r="M15" s="727"/>
      <c r="N15" s="727"/>
      <c r="O15" s="727"/>
      <c r="P15" s="727"/>
      <c r="Q15" s="10"/>
      <c r="R15" s="664" t="s">
        <v>121</v>
      </c>
      <c r="S15" s="639" t="s">
        <v>1117</v>
      </c>
      <c r="T15" s="727"/>
      <c r="U15" s="727"/>
      <c r="V15" s="727"/>
      <c r="W15" s="727"/>
      <c r="X15" s="727"/>
      <c r="Y15" s="727"/>
      <c r="Z15" s="727"/>
      <c r="AA15" s="727"/>
      <c r="AB15" s="727"/>
      <c r="AC15" s="727"/>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63"/>
      <c r="AB17" s="664" t="s">
        <v>1118</v>
      </c>
      <c r="AC17" s="664" t="s">
        <v>440</v>
      </c>
      <c r="AD17" s="664" t="s">
        <v>674</v>
      </c>
      <c r="AE17" s="11"/>
    </row>
    <row r="18" spans="2:31">
      <c r="B18" s="6" t="s">
        <v>1119</v>
      </c>
      <c r="C18" s="7"/>
      <c r="D18" s="7"/>
      <c r="E18" s="7"/>
      <c r="F18" s="7"/>
      <c r="G18" s="7"/>
      <c r="H18" s="7"/>
      <c r="I18" s="7"/>
      <c r="J18" s="7"/>
      <c r="K18" s="7"/>
      <c r="L18" s="7"/>
      <c r="M18" s="7"/>
      <c r="N18" s="7"/>
      <c r="O18" s="7"/>
      <c r="P18" s="7"/>
      <c r="Q18" s="7"/>
      <c r="R18" s="7"/>
      <c r="S18" s="7"/>
      <c r="T18" s="7"/>
      <c r="U18" s="7"/>
      <c r="V18" s="7"/>
      <c r="W18" s="7"/>
      <c r="X18" s="7"/>
      <c r="Y18" s="7"/>
      <c r="Z18" s="23"/>
      <c r="AA18" s="666"/>
      <c r="AB18" s="611"/>
      <c r="AC18" s="611"/>
      <c r="AD18" s="7"/>
      <c r="AE18" s="4"/>
    </row>
    <row r="19" spans="2:31">
      <c r="B19" s="408"/>
      <c r="C19" s="728" t="s">
        <v>1120</v>
      </c>
      <c r="D19" s="1" t="s">
        <v>1121</v>
      </c>
      <c r="Z19" s="729"/>
      <c r="AA19" s="730"/>
      <c r="AB19" s="12" t="s">
        <v>121</v>
      </c>
      <c r="AC19" s="12" t="s">
        <v>440</v>
      </c>
      <c r="AD19" s="12" t="s">
        <v>121</v>
      </c>
      <c r="AE19" s="402"/>
    </row>
    <row r="20" spans="2:31">
      <c r="B20" s="408"/>
      <c r="D20" s="1" t="s">
        <v>1122</v>
      </c>
      <c r="Z20" s="617"/>
      <c r="AA20" s="602"/>
      <c r="AB20" s="12"/>
      <c r="AC20" s="12"/>
      <c r="AE20" s="402"/>
    </row>
    <row r="21" spans="2:31">
      <c r="B21" s="408"/>
      <c r="Z21" s="617"/>
      <c r="AA21" s="602"/>
      <c r="AB21" s="12"/>
      <c r="AC21" s="12"/>
      <c r="AE21" s="402"/>
    </row>
    <row r="22" spans="2:31" ht="13.5" customHeight="1">
      <c r="B22" s="408"/>
      <c r="D22" s="638" t="s">
        <v>1123</v>
      </c>
      <c r="E22" s="639"/>
      <c r="F22" s="639"/>
      <c r="G22" s="639"/>
      <c r="H22" s="639"/>
      <c r="I22" s="639"/>
      <c r="J22" s="639"/>
      <c r="K22" s="639"/>
      <c r="L22" s="639"/>
      <c r="M22" s="639"/>
      <c r="N22" s="639"/>
      <c r="O22" s="10"/>
      <c r="P22" s="10"/>
      <c r="Q22" s="10"/>
      <c r="R22" s="10"/>
      <c r="S22" s="639"/>
      <c r="T22" s="639"/>
      <c r="U22" s="1580"/>
      <c r="V22" s="1581"/>
      <c r="W22" s="1581"/>
      <c r="X22" s="10" t="s">
        <v>1124</v>
      </c>
      <c r="Y22" s="408"/>
      <c r="Z22" s="617"/>
      <c r="AA22" s="602"/>
      <c r="AB22" s="12"/>
      <c r="AC22" s="12"/>
      <c r="AE22" s="402"/>
    </row>
    <row r="23" spans="2:31">
      <c r="B23" s="408"/>
      <c r="D23" s="638" t="s">
        <v>1125</v>
      </c>
      <c r="E23" s="639"/>
      <c r="F23" s="639"/>
      <c r="G23" s="639"/>
      <c r="H23" s="639"/>
      <c r="I23" s="639"/>
      <c r="J23" s="639"/>
      <c r="K23" s="639"/>
      <c r="L23" s="639"/>
      <c r="M23" s="639"/>
      <c r="N23" s="639"/>
      <c r="O23" s="10"/>
      <c r="P23" s="10"/>
      <c r="Q23" s="10"/>
      <c r="R23" s="10"/>
      <c r="S23" s="639"/>
      <c r="T23" s="639"/>
      <c r="U23" s="1580"/>
      <c r="V23" s="1581"/>
      <c r="W23" s="1581"/>
      <c r="X23" s="10" t="s">
        <v>1124</v>
      </c>
      <c r="Y23" s="408"/>
      <c r="Z23" s="402"/>
      <c r="AA23" s="602"/>
      <c r="AB23" s="12"/>
      <c r="AC23" s="12"/>
      <c r="AE23" s="402"/>
    </row>
    <row r="24" spans="2:31">
      <c r="B24" s="408"/>
      <c r="D24" s="638" t="s">
        <v>1126</v>
      </c>
      <c r="E24" s="639"/>
      <c r="F24" s="639"/>
      <c r="G24" s="639"/>
      <c r="H24" s="639"/>
      <c r="I24" s="639"/>
      <c r="J24" s="639"/>
      <c r="K24" s="639"/>
      <c r="L24" s="639"/>
      <c r="M24" s="639"/>
      <c r="N24" s="639"/>
      <c r="O24" s="10"/>
      <c r="P24" s="10"/>
      <c r="Q24" s="10"/>
      <c r="R24" s="10"/>
      <c r="S24" s="639"/>
      <c r="T24" s="731" t="str">
        <f>(IFERROR(ROUNDDOWN(T23/T22*100,0),""))</f>
        <v/>
      </c>
      <c r="U24" s="1815" t="str">
        <f>(IFERROR(ROUNDDOWN(U23/U22*100,0),""))</f>
        <v/>
      </c>
      <c r="V24" s="1816"/>
      <c r="W24" s="1816"/>
      <c r="X24" s="10" t="s">
        <v>60</v>
      </c>
      <c r="Y24" s="408"/>
      <c r="Z24" s="667"/>
      <c r="AA24" s="602"/>
      <c r="AB24" s="12"/>
      <c r="AC24" s="12"/>
      <c r="AE24" s="402"/>
    </row>
    <row r="25" spans="2:31">
      <c r="B25" s="408"/>
      <c r="D25" s="1" t="s">
        <v>1127</v>
      </c>
      <c r="Z25" s="667"/>
      <c r="AA25" s="602"/>
      <c r="AB25" s="12"/>
      <c r="AC25" s="12"/>
      <c r="AE25" s="402"/>
    </row>
    <row r="26" spans="2:31">
      <c r="B26" s="408"/>
      <c r="E26" s="1" t="s">
        <v>1128</v>
      </c>
      <c r="Z26" s="667"/>
      <c r="AA26" s="602"/>
      <c r="AB26" s="12"/>
      <c r="AC26" s="12"/>
      <c r="AE26" s="402"/>
    </row>
    <row r="27" spans="2:31">
      <c r="B27" s="408"/>
      <c r="Z27" s="667"/>
      <c r="AA27" s="602"/>
      <c r="AB27" s="12"/>
      <c r="AC27" s="12"/>
      <c r="AE27" s="402"/>
    </row>
    <row r="28" spans="2:31">
      <c r="B28" s="408"/>
      <c r="C28" s="728" t="s">
        <v>1129</v>
      </c>
      <c r="D28" s="1" t="s">
        <v>1130</v>
      </c>
      <c r="Z28" s="729"/>
      <c r="AA28" s="602"/>
      <c r="AB28" s="12" t="s">
        <v>121</v>
      </c>
      <c r="AC28" s="12" t="s">
        <v>440</v>
      </c>
      <c r="AD28" s="12" t="s">
        <v>121</v>
      </c>
      <c r="AE28" s="402"/>
    </row>
    <row r="29" spans="2:31">
      <c r="B29" s="408"/>
      <c r="C29" s="728"/>
      <c r="D29" s="1" t="s">
        <v>1131</v>
      </c>
      <c r="Z29" s="729"/>
      <c r="AA29" s="602"/>
      <c r="AB29" s="12"/>
      <c r="AC29" s="12"/>
      <c r="AD29" s="12"/>
      <c r="AE29" s="402"/>
    </row>
    <row r="30" spans="2:31">
      <c r="B30" s="408"/>
      <c r="C30" s="728"/>
      <c r="D30" s="1" t="s">
        <v>1132</v>
      </c>
      <c r="Z30" s="729"/>
      <c r="AA30" s="730"/>
      <c r="AB30" s="12"/>
      <c r="AC30" s="614"/>
      <c r="AE30" s="402"/>
    </row>
    <row r="31" spans="2:31">
      <c r="B31" s="408"/>
      <c r="Z31" s="667"/>
      <c r="AA31" s="602"/>
      <c r="AB31" s="12"/>
      <c r="AC31" s="12"/>
      <c r="AE31" s="402"/>
    </row>
    <row r="32" spans="2:31" ht="13.5" customHeight="1">
      <c r="B32" s="408"/>
      <c r="C32" s="728"/>
      <c r="D32" s="638" t="s">
        <v>1133</v>
      </c>
      <c r="E32" s="639"/>
      <c r="F32" s="639"/>
      <c r="G32" s="639"/>
      <c r="H32" s="639"/>
      <c r="I32" s="639"/>
      <c r="J32" s="639"/>
      <c r="K32" s="639"/>
      <c r="L32" s="639"/>
      <c r="M32" s="639"/>
      <c r="N32" s="639"/>
      <c r="O32" s="10"/>
      <c r="P32" s="10"/>
      <c r="Q32" s="10"/>
      <c r="R32" s="10"/>
      <c r="S32" s="10"/>
      <c r="T32" s="11"/>
      <c r="U32" s="1580"/>
      <c r="V32" s="1581"/>
      <c r="W32" s="1581"/>
      <c r="X32" s="11" t="s">
        <v>1124</v>
      </c>
      <c r="Y32" s="408"/>
      <c r="Z32" s="667"/>
      <c r="AA32" s="602"/>
      <c r="AB32" s="12"/>
      <c r="AC32" s="12"/>
      <c r="AE32" s="402"/>
    </row>
    <row r="33" spans="2:32">
      <c r="B33" s="408"/>
      <c r="C33" s="728"/>
      <c r="D33" s="2"/>
      <c r="E33" s="2"/>
      <c r="F33" s="2"/>
      <c r="G33" s="2"/>
      <c r="H33" s="2"/>
      <c r="I33" s="2"/>
      <c r="J33" s="2"/>
      <c r="K33" s="2"/>
      <c r="L33" s="2"/>
      <c r="M33" s="2"/>
      <c r="N33" s="2"/>
      <c r="U33" s="12"/>
      <c r="V33" s="12"/>
      <c r="W33" s="12"/>
      <c r="Z33" s="667"/>
      <c r="AA33" s="602"/>
      <c r="AB33" s="12"/>
      <c r="AC33" s="12"/>
      <c r="AE33" s="402"/>
    </row>
    <row r="34" spans="2:32" ht="13.5" customHeight="1">
      <c r="B34" s="408"/>
      <c r="C34" s="728"/>
      <c r="E34" s="732" t="s">
        <v>1134</v>
      </c>
      <c r="Z34" s="667"/>
      <c r="AA34" s="602"/>
      <c r="AB34" s="12"/>
      <c r="AC34" s="12"/>
      <c r="AE34" s="402"/>
    </row>
    <row r="35" spans="2:32">
      <c r="B35" s="408"/>
      <c r="C35" s="728"/>
      <c r="E35" s="1813" t="s">
        <v>1135</v>
      </c>
      <c r="F35" s="1813"/>
      <c r="G35" s="1813"/>
      <c r="H35" s="1813"/>
      <c r="I35" s="1813"/>
      <c r="J35" s="1813"/>
      <c r="K35" s="1813"/>
      <c r="L35" s="1813"/>
      <c r="M35" s="1813"/>
      <c r="N35" s="1813"/>
      <c r="O35" s="1813" t="s">
        <v>1136</v>
      </c>
      <c r="P35" s="1813"/>
      <c r="Q35" s="1813"/>
      <c r="R35" s="1813"/>
      <c r="S35" s="1813"/>
      <c r="Z35" s="667"/>
      <c r="AA35" s="602"/>
      <c r="AB35" s="12"/>
      <c r="AC35" s="12"/>
      <c r="AE35" s="402"/>
    </row>
    <row r="36" spans="2:32">
      <c r="B36" s="408"/>
      <c r="C36" s="728"/>
      <c r="E36" s="1813" t="s">
        <v>1137</v>
      </c>
      <c r="F36" s="1813"/>
      <c r="G36" s="1813"/>
      <c r="H36" s="1813"/>
      <c r="I36" s="1813"/>
      <c r="J36" s="1813"/>
      <c r="K36" s="1813"/>
      <c r="L36" s="1813"/>
      <c r="M36" s="1813"/>
      <c r="N36" s="1813"/>
      <c r="O36" s="1813" t="s">
        <v>1138</v>
      </c>
      <c r="P36" s="1813"/>
      <c r="Q36" s="1813"/>
      <c r="R36" s="1813"/>
      <c r="S36" s="1813"/>
      <c r="Z36" s="667"/>
      <c r="AA36" s="602"/>
      <c r="AB36" s="12"/>
      <c r="AC36" s="12"/>
      <c r="AE36" s="402"/>
    </row>
    <row r="37" spans="2:32">
      <c r="B37" s="408"/>
      <c r="C37" s="728"/>
      <c r="E37" s="1813" t="s">
        <v>1139</v>
      </c>
      <c r="F37" s="1813"/>
      <c r="G37" s="1813"/>
      <c r="H37" s="1813"/>
      <c r="I37" s="1813"/>
      <c r="J37" s="1813"/>
      <c r="K37" s="1813"/>
      <c r="L37" s="1813"/>
      <c r="M37" s="1813"/>
      <c r="N37" s="1813"/>
      <c r="O37" s="1813" t="s">
        <v>1140</v>
      </c>
      <c r="P37" s="1813"/>
      <c r="Q37" s="1813"/>
      <c r="R37" s="1813"/>
      <c r="S37" s="1813"/>
      <c r="Z37" s="667"/>
      <c r="AA37" s="602"/>
      <c r="AB37" s="12"/>
      <c r="AC37" s="12"/>
      <c r="AE37" s="402"/>
    </row>
    <row r="38" spans="2:32">
      <c r="B38" s="408"/>
      <c r="C38" s="728"/>
      <c r="D38" s="402"/>
      <c r="E38" s="1817" t="s">
        <v>1141</v>
      </c>
      <c r="F38" s="1813"/>
      <c r="G38" s="1813"/>
      <c r="H38" s="1813"/>
      <c r="I38" s="1813"/>
      <c r="J38" s="1813"/>
      <c r="K38" s="1813"/>
      <c r="L38" s="1813"/>
      <c r="M38" s="1813"/>
      <c r="N38" s="1813"/>
      <c r="O38" s="1813" t="s">
        <v>243</v>
      </c>
      <c r="P38" s="1813"/>
      <c r="Q38" s="1813"/>
      <c r="R38" s="1813"/>
      <c r="S38" s="1818"/>
      <c r="T38" s="408"/>
      <c r="Z38" s="667"/>
      <c r="AA38" s="602"/>
      <c r="AB38" s="12"/>
      <c r="AC38" s="12"/>
      <c r="AE38" s="402"/>
    </row>
    <row r="39" spans="2:32">
      <c r="B39" s="408"/>
      <c r="C39" s="728"/>
      <c r="E39" s="1819" t="s">
        <v>1142</v>
      </c>
      <c r="F39" s="1819"/>
      <c r="G39" s="1819"/>
      <c r="H39" s="1819"/>
      <c r="I39" s="1819"/>
      <c r="J39" s="1819"/>
      <c r="K39" s="1819"/>
      <c r="L39" s="1819"/>
      <c r="M39" s="1819"/>
      <c r="N39" s="1819"/>
      <c r="O39" s="1819" t="s">
        <v>1143</v>
      </c>
      <c r="P39" s="1819"/>
      <c r="Q39" s="1819"/>
      <c r="R39" s="1819"/>
      <c r="S39" s="1819"/>
      <c r="Z39" s="667"/>
      <c r="AA39" s="602"/>
      <c r="AB39" s="12"/>
      <c r="AC39" s="12"/>
      <c r="AE39" s="402"/>
      <c r="AF39" s="408"/>
    </row>
    <row r="40" spans="2:32">
      <c r="B40" s="408"/>
      <c r="C40" s="728"/>
      <c r="E40" s="1813" t="s">
        <v>1144</v>
      </c>
      <c r="F40" s="1813"/>
      <c r="G40" s="1813"/>
      <c r="H40" s="1813"/>
      <c r="I40" s="1813"/>
      <c r="J40" s="1813"/>
      <c r="K40" s="1813"/>
      <c r="L40" s="1813"/>
      <c r="M40" s="1813"/>
      <c r="N40" s="1813"/>
      <c r="O40" s="1813" t="s">
        <v>237</v>
      </c>
      <c r="P40" s="1813"/>
      <c r="Q40" s="1813"/>
      <c r="R40" s="1813"/>
      <c r="S40" s="1813"/>
      <c r="Z40" s="667"/>
      <c r="AA40" s="602"/>
      <c r="AB40" s="12"/>
      <c r="AC40" s="12"/>
      <c r="AE40" s="402"/>
    </row>
    <row r="41" spans="2:32">
      <c r="B41" s="408"/>
      <c r="C41" s="728"/>
      <c r="E41" s="1813" t="s">
        <v>1145</v>
      </c>
      <c r="F41" s="1813"/>
      <c r="G41" s="1813"/>
      <c r="H41" s="1813"/>
      <c r="I41" s="1813"/>
      <c r="J41" s="1813"/>
      <c r="K41" s="1813"/>
      <c r="L41" s="1813"/>
      <c r="M41" s="1813"/>
      <c r="N41" s="1813"/>
      <c r="O41" s="1813" t="s">
        <v>1146</v>
      </c>
      <c r="P41" s="1813"/>
      <c r="Q41" s="1813"/>
      <c r="R41" s="1813"/>
      <c r="S41" s="1813"/>
      <c r="Z41" s="667"/>
      <c r="AA41" s="602"/>
      <c r="AB41" s="12"/>
      <c r="AC41" s="12"/>
      <c r="AE41" s="402"/>
    </row>
    <row r="42" spans="2:32">
      <c r="B42" s="408"/>
      <c r="C42" s="728"/>
      <c r="E42" s="1813" t="s">
        <v>445</v>
      </c>
      <c r="F42" s="1813"/>
      <c r="G42" s="1813"/>
      <c r="H42" s="1813"/>
      <c r="I42" s="1813"/>
      <c r="J42" s="1813"/>
      <c r="K42" s="1813"/>
      <c r="L42" s="1813"/>
      <c r="M42" s="1813"/>
      <c r="N42" s="1813"/>
      <c r="O42" s="1813" t="s">
        <v>445</v>
      </c>
      <c r="P42" s="1813"/>
      <c r="Q42" s="1813"/>
      <c r="R42" s="1813"/>
      <c r="S42" s="1813"/>
      <c r="Z42" s="617"/>
      <c r="AA42" s="602"/>
      <c r="AB42" s="12"/>
      <c r="AC42" s="12"/>
      <c r="AE42" s="402"/>
    </row>
    <row r="43" spans="2:32">
      <c r="B43" s="408"/>
      <c r="C43" s="728"/>
      <c r="J43" s="1575"/>
      <c r="K43" s="1575"/>
      <c r="L43" s="1575"/>
      <c r="M43" s="1575"/>
      <c r="N43" s="1575"/>
      <c r="O43" s="1575"/>
      <c r="P43" s="1575"/>
      <c r="Q43" s="1575"/>
      <c r="R43" s="1575"/>
      <c r="S43" s="1575"/>
      <c r="T43" s="1575"/>
      <c r="U43" s="1575"/>
      <c r="V43" s="1575"/>
      <c r="Z43" s="617"/>
      <c r="AA43" s="602"/>
      <c r="AB43" s="12"/>
      <c r="AC43" s="12"/>
      <c r="AE43" s="402"/>
    </row>
    <row r="44" spans="2:32">
      <c r="B44" s="408"/>
      <c r="C44" s="728" t="s">
        <v>1147</v>
      </c>
      <c r="D44" s="1" t="s">
        <v>1148</v>
      </c>
      <c r="Z44" s="729"/>
      <c r="AA44" s="730"/>
      <c r="AB44" s="12" t="s">
        <v>121</v>
      </c>
      <c r="AC44" s="12" t="s">
        <v>440</v>
      </c>
      <c r="AD44" s="12" t="s">
        <v>121</v>
      </c>
      <c r="AE44" s="402"/>
    </row>
    <row r="45" spans="2:32" ht="14.25" customHeight="1">
      <c r="B45" s="408"/>
      <c r="D45" s="1" t="s">
        <v>1149</v>
      </c>
      <c r="Z45" s="667"/>
      <c r="AA45" s="602"/>
      <c r="AB45" s="12"/>
      <c r="AC45" s="12"/>
      <c r="AE45" s="402"/>
    </row>
    <row r="46" spans="2:32">
      <c r="B46" s="408"/>
      <c r="Z46" s="617"/>
      <c r="AA46" s="602"/>
      <c r="AB46" s="12"/>
      <c r="AC46" s="12"/>
      <c r="AE46" s="402"/>
    </row>
    <row r="47" spans="2:32">
      <c r="B47" s="408" t="s">
        <v>1150</v>
      </c>
      <c r="Z47" s="667"/>
      <c r="AA47" s="602"/>
      <c r="AB47" s="12"/>
      <c r="AC47" s="12"/>
      <c r="AE47" s="402"/>
    </row>
    <row r="48" spans="2:32">
      <c r="B48" s="408"/>
      <c r="C48" s="728" t="s">
        <v>1120</v>
      </c>
      <c r="D48" s="1" t="s">
        <v>1151</v>
      </c>
      <c r="Z48" s="729"/>
      <c r="AA48" s="730"/>
      <c r="AB48" s="12" t="s">
        <v>121</v>
      </c>
      <c r="AC48" s="12" t="s">
        <v>440</v>
      </c>
      <c r="AD48" s="12" t="s">
        <v>121</v>
      </c>
      <c r="AE48" s="402"/>
    </row>
    <row r="49" spans="2:36" ht="17.25" customHeight="1">
      <c r="B49" s="408"/>
      <c r="D49" s="1" t="s">
        <v>1152</v>
      </c>
      <c r="Z49" s="667"/>
      <c r="AA49" s="602"/>
      <c r="AB49" s="12"/>
      <c r="AC49" s="12"/>
      <c r="AE49" s="402"/>
    </row>
    <row r="50" spans="2:36" ht="18.75" customHeight="1">
      <c r="B50" s="408"/>
      <c r="W50" s="21"/>
      <c r="Z50" s="402"/>
      <c r="AA50" s="602"/>
      <c r="AB50" s="12"/>
      <c r="AC50" s="12"/>
      <c r="AE50" s="402"/>
      <c r="AJ50" s="406"/>
    </row>
    <row r="51" spans="2:36" ht="13.5" customHeight="1">
      <c r="B51" s="408"/>
      <c r="C51" s="728" t="s">
        <v>1129</v>
      </c>
      <c r="D51" s="1" t="s">
        <v>1153</v>
      </c>
      <c r="Z51" s="729"/>
      <c r="AA51" s="730"/>
      <c r="AB51" s="12" t="s">
        <v>121</v>
      </c>
      <c r="AC51" s="12" t="s">
        <v>440</v>
      </c>
      <c r="AD51" s="12" t="s">
        <v>121</v>
      </c>
      <c r="AE51" s="402"/>
    </row>
    <row r="52" spans="2:36">
      <c r="B52" s="408"/>
      <c r="D52" s="1" t="s">
        <v>1154</v>
      </c>
      <c r="E52" s="2"/>
      <c r="F52" s="2"/>
      <c r="G52" s="2"/>
      <c r="H52" s="2"/>
      <c r="I52" s="2"/>
      <c r="J52" s="2"/>
      <c r="K52" s="2"/>
      <c r="L52" s="2"/>
      <c r="M52" s="2"/>
      <c r="N52" s="2"/>
      <c r="O52" s="406"/>
      <c r="P52" s="406"/>
      <c r="Q52" s="406"/>
      <c r="Z52" s="667"/>
      <c r="AA52" s="602"/>
      <c r="AB52" s="12"/>
      <c r="AC52" s="12"/>
      <c r="AE52" s="402"/>
    </row>
    <row r="53" spans="2:36">
      <c r="B53" s="408"/>
      <c r="D53" s="12"/>
      <c r="E53" s="1820"/>
      <c r="F53" s="1820"/>
      <c r="G53" s="1820"/>
      <c r="H53" s="1820"/>
      <c r="I53" s="1820"/>
      <c r="J53" s="1820"/>
      <c r="K53" s="1820"/>
      <c r="L53" s="1820"/>
      <c r="M53" s="1820"/>
      <c r="N53" s="1820"/>
      <c r="Q53" s="12"/>
      <c r="S53" s="21"/>
      <c r="T53" s="21"/>
      <c r="U53" s="21"/>
      <c r="V53" s="21"/>
      <c r="Z53" s="617"/>
      <c r="AA53" s="602"/>
      <c r="AB53" s="12"/>
      <c r="AC53" s="12"/>
      <c r="AE53" s="402"/>
    </row>
    <row r="54" spans="2:36">
      <c r="B54" s="408"/>
      <c r="C54" s="728" t="s">
        <v>1147</v>
      </c>
      <c r="D54" s="1" t="s">
        <v>1155</v>
      </c>
      <c r="Z54" s="729"/>
      <c r="AA54" s="730"/>
      <c r="AB54" s="12" t="s">
        <v>121</v>
      </c>
      <c r="AC54" s="12" t="s">
        <v>440</v>
      </c>
      <c r="AD54" s="12" t="s">
        <v>121</v>
      </c>
      <c r="AE54" s="402"/>
    </row>
    <row r="55" spans="2:36">
      <c r="B55" s="409"/>
      <c r="C55" s="733"/>
      <c r="D55" s="8" t="s">
        <v>1156</v>
      </c>
      <c r="E55" s="8"/>
      <c r="F55" s="8"/>
      <c r="G55" s="8"/>
      <c r="H55" s="8"/>
      <c r="I55" s="8"/>
      <c r="J55" s="8"/>
      <c r="K55" s="8"/>
      <c r="L55" s="8"/>
      <c r="M55" s="8"/>
      <c r="N55" s="8"/>
      <c r="O55" s="8"/>
      <c r="P55" s="8"/>
      <c r="Q55" s="8"/>
      <c r="R55" s="8"/>
      <c r="S55" s="8"/>
      <c r="T55" s="8"/>
      <c r="U55" s="8"/>
      <c r="V55" s="8"/>
      <c r="W55" s="8"/>
      <c r="X55" s="8"/>
      <c r="Y55" s="8"/>
      <c r="Z55" s="424"/>
      <c r="AA55" s="675"/>
      <c r="AB55" s="612"/>
      <c r="AC55" s="612"/>
      <c r="AD55" s="8"/>
      <c r="AE55" s="424"/>
    </row>
    <row r="56" spans="2:36">
      <c r="B56" s="1" t="s">
        <v>1157</v>
      </c>
    </row>
    <row r="57" spans="2:36">
      <c r="C57" s="1" t="s">
        <v>1158</v>
      </c>
    </row>
    <row r="58" spans="2:36">
      <c r="B58" s="1" t="s">
        <v>1159</v>
      </c>
    </row>
    <row r="59" spans="2:36">
      <c r="C59" s="1" t="s">
        <v>1160</v>
      </c>
    </row>
    <row r="60" spans="2:36">
      <c r="C60" s="1" t="s">
        <v>1161</v>
      </c>
    </row>
    <row r="61" spans="2:36">
      <c r="C61" s="1" t="s">
        <v>1162</v>
      </c>
      <c r="K61" s="1" t="s">
        <v>1163</v>
      </c>
    </row>
    <row r="62" spans="2:36">
      <c r="K62" s="1" t="s">
        <v>1164</v>
      </c>
    </row>
    <row r="63" spans="2:36">
      <c r="K63" s="1" t="s">
        <v>1165</v>
      </c>
    </row>
    <row r="64" spans="2:36">
      <c r="K64" s="1" t="s">
        <v>1166</v>
      </c>
    </row>
    <row r="65" spans="2:11">
      <c r="K65" s="1" t="s">
        <v>1167</v>
      </c>
    </row>
    <row r="66" spans="2:11">
      <c r="B66" s="1" t="s">
        <v>1168</v>
      </c>
    </row>
    <row r="67" spans="2:11">
      <c r="C67" s="1" t="s">
        <v>1169</v>
      </c>
    </row>
    <row r="68" spans="2:11">
      <c r="C68" s="1" t="s">
        <v>1170</v>
      </c>
    </row>
    <row r="69" spans="2:11">
      <c r="C69" s="1" t="s">
        <v>1171</v>
      </c>
    </row>
    <row r="81" spans="12:12">
      <c r="L81" s="665"/>
    </row>
    <row r="122" spans="3:7">
      <c r="C122" s="8"/>
      <c r="D122" s="8"/>
      <c r="E122" s="8"/>
      <c r="F122" s="8"/>
      <c r="G122" s="8"/>
    </row>
    <row r="123" spans="3:7">
      <c r="C123" s="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3"/>
  <printOptions horizontalCentered="1"/>
  <pageMargins left="0.70866141732283472" right="0.39370078740157483" top="0.51181102362204722" bottom="0.35433070866141736" header="0.31496062992125984" footer="0.31496062992125984"/>
  <pageSetup paperSize="9" scale="7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188D8AD-7021-4370-9574-6F06F4BE0EEE}">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AB19 JX19 TT19 ADP19 ANL19 AXH19 BHD19 BQZ19 CAV19 CKR19 CUN19 DEJ19 DOF19 DYB19 EHX19 ERT19 FBP19 FLL19 FVH19 GFD19 GOZ19 GYV19 HIR19 HSN19 ICJ19 IMF19 IWB19 JFX19 JPT19 JZP19 KJL19 KTH19 LDD19 LMZ19 LWV19 MGR19 MQN19 NAJ19 NKF19 NUB19 ODX19 ONT19 OXP19 PHL19 PRH19 QBD19 QKZ19 QUV19 RER19 RON19 RYJ19 SIF19 SSB19 TBX19 TLT19 TVP19 UFL19 UPH19 UZD19 VIZ19 VSV19 WCR19 WMN19 WWJ19 AB65555 JX65555 TT65555 ADP65555 ANL65555 AXH65555 BHD65555 BQZ65555 CAV65555 CKR65555 CUN65555 DEJ65555 DOF65555 DYB65555 EHX65555 ERT65555 FBP65555 FLL65555 FVH65555 GFD65555 GOZ65555 GYV65555 HIR65555 HSN65555 ICJ65555 IMF65555 IWB65555 JFX65555 JPT65555 JZP65555 KJL65555 KTH65555 LDD65555 LMZ65555 LWV65555 MGR65555 MQN65555 NAJ65555 NKF65555 NUB65555 ODX65555 ONT65555 OXP65555 PHL65555 PRH65555 QBD65555 QKZ65555 QUV65555 RER65555 RON65555 RYJ65555 SIF65555 SSB65555 TBX65555 TLT65555 TVP65555 UFL65555 UPH65555 UZD65555 VIZ65555 VSV65555 WCR65555 WMN65555 WWJ65555 AB131091 JX131091 TT131091 ADP131091 ANL131091 AXH131091 BHD131091 BQZ131091 CAV131091 CKR131091 CUN131091 DEJ131091 DOF131091 DYB131091 EHX131091 ERT131091 FBP131091 FLL131091 FVH131091 GFD131091 GOZ131091 GYV131091 HIR131091 HSN131091 ICJ131091 IMF131091 IWB131091 JFX131091 JPT131091 JZP131091 KJL131091 KTH131091 LDD131091 LMZ131091 LWV131091 MGR131091 MQN131091 NAJ131091 NKF131091 NUB131091 ODX131091 ONT131091 OXP131091 PHL131091 PRH131091 QBD131091 QKZ131091 QUV131091 RER131091 RON131091 RYJ131091 SIF131091 SSB131091 TBX131091 TLT131091 TVP131091 UFL131091 UPH131091 UZD131091 VIZ131091 VSV131091 WCR131091 WMN131091 WWJ131091 AB196627 JX196627 TT196627 ADP196627 ANL196627 AXH196627 BHD196627 BQZ196627 CAV196627 CKR196627 CUN196627 DEJ196627 DOF196627 DYB196627 EHX196627 ERT196627 FBP196627 FLL196627 FVH196627 GFD196627 GOZ196627 GYV196627 HIR196627 HSN196627 ICJ196627 IMF196627 IWB196627 JFX196627 JPT196627 JZP196627 KJL196627 KTH196627 LDD196627 LMZ196627 LWV196627 MGR196627 MQN196627 NAJ196627 NKF196627 NUB196627 ODX196627 ONT196627 OXP196627 PHL196627 PRH196627 QBD196627 QKZ196627 QUV196627 RER196627 RON196627 RYJ196627 SIF196627 SSB196627 TBX196627 TLT196627 TVP196627 UFL196627 UPH196627 UZD196627 VIZ196627 VSV196627 WCR196627 WMN196627 WWJ196627 AB262163 JX262163 TT262163 ADP262163 ANL262163 AXH262163 BHD262163 BQZ262163 CAV262163 CKR262163 CUN262163 DEJ262163 DOF262163 DYB262163 EHX262163 ERT262163 FBP262163 FLL262163 FVH262163 GFD262163 GOZ262163 GYV262163 HIR262163 HSN262163 ICJ262163 IMF262163 IWB262163 JFX262163 JPT262163 JZP262163 KJL262163 KTH262163 LDD262163 LMZ262163 LWV262163 MGR262163 MQN262163 NAJ262163 NKF262163 NUB262163 ODX262163 ONT262163 OXP262163 PHL262163 PRH262163 QBD262163 QKZ262163 QUV262163 RER262163 RON262163 RYJ262163 SIF262163 SSB262163 TBX262163 TLT262163 TVP262163 UFL262163 UPH262163 UZD262163 VIZ262163 VSV262163 WCR262163 WMN262163 WWJ262163 AB327699 JX327699 TT327699 ADP327699 ANL327699 AXH327699 BHD327699 BQZ327699 CAV327699 CKR327699 CUN327699 DEJ327699 DOF327699 DYB327699 EHX327699 ERT327699 FBP327699 FLL327699 FVH327699 GFD327699 GOZ327699 GYV327699 HIR327699 HSN327699 ICJ327699 IMF327699 IWB327699 JFX327699 JPT327699 JZP327699 KJL327699 KTH327699 LDD327699 LMZ327699 LWV327699 MGR327699 MQN327699 NAJ327699 NKF327699 NUB327699 ODX327699 ONT327699 OXP327699 PHL327699 PRH327699 QBD327699 QKZ327699 QUV327699 RER327699 RON327699 RYJ327699 SIF327699 SSB327699 TBX327699 TLT327699 TVP327699 UFL327699 UPH327699 UZD327699 VIZ327699 VSV327699 WCR327699 WMN327699 WWJ327699 AB393235 JX393235 TT393235 ADP393235 ANL393235 AXH393235 BHD393235 BQZ393235 CAV393235 CKR393235 CUN393235 DEJ393235 DOF393235 DYB393235 EHX393235 ERT393235 FBP393235 FLL393235 FVH393235 GFD393235 GOZ393235 GYV393235 HIR393235 HSN393235 ICJ393235 IMF393235 IWB393235 JFX393235 JPT393235 JZP393235 KJL393235 KTH393235 LDD393235 LMZ393235 LWV393235 MGR393235 MQN393235 NAJ393235 NKF393235 NUB393235 ODX393235 ONT393235 OXP393235 PHL393235 PRH393235 QBD393235 QKZ393235 QUV393235 RER393235 RON393235 RYJ393235 SIF393235 SSB393235 TBX393235 TLT393235 TVP393235 UFL393235 UPH393235 UZD393235 VIZ393235 VSV393235 WCR393235 WMN393235 WWJ393235 AB458771 JX458771 TT458771 ADP458771 ANL458771 AXH458771 BHD458771 BQZ458771 CAV458771 CKR458771 CUN458771 DEJ458771 DOF458771 DYB458771 EHX458771 ERT458771 FBP458771 FLL458771 FVH458771 GFD458771 GOZ458771 GYV458771 HIR458771 HSN458771 ICJ458771 IMF458771 IWB458771 JFX458771 JPT458771 JZP458771 KJL458771 KTH458771 LDD458771 LMZ458771 LWV458771 MGR458771 MQN458771 NAJ458771 NKF458771 NUB458771 ODX458771 ONT458771 OXP458771 PHL458771 PRH458771 QBD458771 QKZ458771 QUV458771 RER458771 RON458771 RYJ458771 SIF458771 SSB458771 TBX458771 TLT458771 TVP458771 UFL458771 UPH458771 UZD458771 VIZ458771 VSV458771 WCR458771 WMN458771 WWJ458771 AB524307 JX524307 TT524307 ADP524307 ANL524307 AXH524307 BHD524307 BQZ524307 CAV524307 CKR524307 CUN524307 DEJ524307 DOF524307 DYB524307 EHX524307 ERT524307 FBP524307 FLL524307 FVH524307 GFD524307 GOZ524307 GYV524307 HIR524307 HSN524307 ICJ524307 IMF524307 IWB524307 JFX524307 JPT524307 JZP524307 KJL524307 KTH524307 LDD524307 LMZ524307 LWV524307 MGR524307 MQN524307 NAJ524307 NKF524307 NUB524307 ODX524307 ONT524307 OXP524307 PHL524307 PRH524307 QBD524307 QKZ524307 QUV524307 RER524307 RON524307 RYJ524307 SIF524307 SSB524307 TBX524307 TLT524307 TVP524307 UFL524307 UPH524307 UZD524307 VIZ524307 VSV524307 WCR524307 WMN524307 WWJ524307 AB589843 JX589843 TT589843 ADP589843 ANL589843 AXH589843 BHD589843 BQZ589843 CAV589843 CKR589843 CUN589843 DEJ589843 DOF589843 DYB589843 EHX589843 ERT589843 FBP589843 FLL589843 FVH589843 GFD589843 GOZ589843 GYV589843 HIR589843 HSN589843 ICJ589843 IMF589843 IWB589843 JFX589843 JPT589843 JZP589843 KJL589843 KTH589843 LDD589843 LMZ589843 LWV589843 MGR589843 MQN589843 NAJ589843 NKF589843 NUB589843 ODX589843 ONT589843 OXP589843 PHL589843 PRH589843 QBD589843 QKZ589843 QUV589843 RER589843 RON589843 RYJ589843 SIF589843 SSB589843 TBX589843 TLT589843 TVP589843 UFL589843 UPH589843 UZD589843 VIZ589843 VSV589843 WCR589843 WMN589843 WWJ589843 AB655379 JX655379 TT655379 ADP655379 ANL655379 AXH655379 BHD655379 BQZ655379 CAV655379 CKR655379 CUN655379 DEJ655379 DOF655379 DYB655379 EHX655379 ERT655379 FBP655379 FLL655379 FVH655379 GFD655379 GOZ655379 GYV655379 HIR655379 HSN655379 ICJ655379 IMF655379 IWB655379 JFX655379 JPT655379 JZP655379 KJL655379 KTH655379 LDD655379 LMZ655379 LWV655379 MGR655379 MQN655379 NAJ655379 NKF655379 NUB655379 ODX655379 ONT655379 OXP655379 PHL655379 PRH655379 QBD655379 QKZ655379 QUV655379 RER655379 RON655379 RYJ655379 SIF655379 SSB655379 TBX655379 TLT655379 TVP655379 UFL655379 UPH655379 UZD655379 VIZ655379 VSV655379 WCR655379 WMN655379 WWJ655379 AB720915 JX720915 TT720915 ADP720915 ANL720915 AXH720915 BHD720915 BQZ720915 CAV720915 CKR720915 CUN720915 DEJ720915 DOF720915 DYB720915 EHX720915 ERT720915 FBP720915 FLL720915 FVH720915 GFD720915 GOZ720915 GYV720915 HIR720915 HSN720915 ICJ720915 IMF720915 IWB720915 JFX720915 JPT720915 JZP720915 KJL720915 KTH720915 LDD720915 LMZ720915 LWV720915 MGR720915 MQN720915 NAJ720915 NKF720915 NUB720915 ODX720915 ONT720915 OXP720915 PHL720915 PRH720915 QBD720915 QKZ720915 QUV720915 RER720915 RON720915 RYJ720915 SIF720915 SSB720915 TBX720915 TLT720915 TVP720915 UFL720915 UPH720915 UZD720915 VIZ720915 VSV720915 WCR720915 WMN720915 WWJ720915 AB786451 JX786451 TT786451 ADP786451 ANL786451 AXH786451 BHD786451 BQZ786451 CAV786451 CKR786451 CUN786451 DEJ786451 DOF786451 DYB786451 EHX786451 ERT786451 FBP786451 FLL786451 FVH786451 GFD786451 GOZ786451 GYV786451 HIR786451 HSN786451 ICJ786451 IMF786451 IWB786451 JFX786451 JPT786451 JZP786451 KJL786451 KTH786451 LDD786451 LMZ786451 LWV786451 MGR786451 MQN786451 NAJ786451 NKF786451 NUB786451 ODX786451 ONT786451 OXP786451 PHL786451 PRH786451 QBD786451 QKZ786451 QUV786451 RER786451 RON786451 RYJ786451 SIF786451 SSB786451 TBX786451 TLT786451 TVP786451 UFL786451 UPH786451 UZD786451 VIZ786451 VSV786451 WCR786451 WMN786451 WWJ786451 AB851987 JX851987 TT851987 ADP851987 ANL851987 AXH851987 BHD851987 BQZ851987 CAV851987 CKR851987 CUN851987 DEJ851987 DOF851987 DYB851987 EHX851987 ERT851987 FBP851987 FLL851987 FVH851987 GFD851987 GOZ851987 GYV851987 HIR851987 HSN851987 ICJ851987 IMF851987 IWB851987 JFX851987 JPT851987 JZP851987 KJL851987 KTH851987 LDD851987 LMZ851987 LWV851987 MGR851987 MQN851987 NAJ851987 NKF851987 NUB851987 ODX851987 ONT851987 OXP851987 PHL851987 PRH851987 QBD851987 QKZ851987 QUV851987 RER851987 RON851987 RYJ851987 SIF851987 SSB851987 TBX851987 TLT851987 TVP851987 UFL851987 UPH851987 UZD851987 VIZ851987 VSV851987 WCR851987 WMN851987 WWJ851987 AB917523 JX917523 TT917523 ADP917523 ANL917523 AXH917523 BHD917523 BQZ917523 CAV917523 CKR917523 CUN917523 DEJ917523 DOF917523 DYB917523 EHX917523 ERT917523 FBP917523 FLL917523 FVH917523 GFD917523 GOZ917523 GYV917523 HIR917523 HSN917523 ICJ917523 IMF917523 IWB917523 JFX917523 JPT917523 JZP917523 KJL917523 KTH917523 LDD917523 LMZ917523 LWV917523 MGR917523 MQN917523 NAJ917523 NKF917523 NUB917523 ODX917523 ONT917523 OXP917523 PHL917523 PRH917523 QBD917523 QKZ917523 QUV917523 RER917523 RON917523 RYJ917523 SIF917523 SSB917523 TBX917523 TLT917523 TVP917523 UFL917523 UPH917523 UZD917523 VIZ917523 VSV917523 WCR917523 WMN917523 WWJ917523 AB983059 JX983059 TT983059 ADP983059 ANL983059 AXH983059 BHD983059 BQZ983059 CAV983059 CKR983059 CUN983059 DEJ983059 DOF983059 DYB983059 EHX983059 ERT983059 FBP983059 FLL983059 FVH983059 GFD983059 GOZ983059 GYV983059 HIR983059 HSN983059 ICJ983059 IMF983059 IWB983059 JFX983059 JPT983059 JZP983059 KJL983059 KTH983059 LDD983059 LMZ983059 LWV983059 MGR983059 MQN983059 NAJ983059 NKF983059 NUB983059 ODX983059 ONT983059 OXP983059 PHL983059 PRH983059 QBD983059 QKZ983059 QUV983059 RER983059 RON983059 RYJ983059 SIF983059 SSB983059 TBX983059 TLT983059 TVP983059 UFL983059 UPH983059 UZD983059 VIZ983059 VSV983059 WCR983059 WMN983059 WWJ983059 AD19 JZ19 TV19 ADR19 ANN19 AXJ19 BHF19 BRB19 CAX19 CKT19 CUP19 DEL19 DOH19 DYD19 EHZ19 ERV19 FBR19 FLN19 FVJ19 GFF19 GPB19 GYX19 HIT19 HSP19 ICL19 IMH19 IWD19 JFZ19 JPV19 JZR19 KJN19 KTJ19 LDF19 LNB19 LWX19 MGT19 MQP19 NAL19 NKH19 NUD19 ODZ19 ONV19 OXR19 PHN19 PRJ19 QBF19 QLB19 QUX19 RET19 ROP19 RYL19 SIH19 SSD19 TBZ19 TLV19 TVR19 UFN19 UPJ19 UZF19 VJB19 VSX19 WCT19 WMP19 WWL19 AD65555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AD131091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AD196627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AD262163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AD327699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AD393235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AD458771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AD524307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AD589843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AD655379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AD720915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AD786451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AD851987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AD917523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AD983059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WWL983059 AB28:AB29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WWJ28:WWJ29 AB65564:AB65565 JX65564:JX65565 TT65564:TT65565 ADP65564:ADP65565 ANL65564:ANL65565 AXH65564:AXH65565 BHD65564:BHD65565 BQZ65564:BQZ65565 CAV65564:CAV65565 CKR65564:CKR65565 CUN65564:CUN65565 DEJ65564:DEJ65565 DOF65564:DOF65565 DYB65564:DYB65565 EHX65564:EHX65565 ERT65564:ERT65565 FBP65564:FBP65565 FLL65564:FLL65565 FVH65564:FVH65565 GFD65564:GFD65565 GOZ65564:GOZ65565 GYV65564:GYV65565 HIR65564:HIR65565 HSN65564:HSN65565 ICJ65564:ICJ65565 IMF65564:IMF65565 IWB65564:IWB65565 JFX65564:JFX65565 JPT65564:JPT65565 JZP65564:JZP65565 KJL65564:KJL65565 KTH65564:KTH65565 LDD65564:LDD65565 LMZ65564:LMZ65565 LWV65564:LWV65565 MGR65564:MGR65565 MQN65564:MQN65565 NAJ65564:NAJ65565 NKF65564:NKF65565 NUB65564:NUB65565 ODX65564:ODX65565 ONT65564:ONT65565 OXP65564:OXP65565 PHL65564:PHL65565 PRH65564:PRH65565 QBD65564:QBD65565 QKZ65564:QKZ65565 QUV65564:QUV65565 RER65564:RER65565 RON65564:RON65565 RYJ65564:RYJ65565 SIF65564:SIF65565 SSB65564:SSB65565 TBX65564:TBX65565 TLT65564:TLT65565 TVP65564:TVP65565 UFL65564:UFL65565 UPH65564:UPH65565 UZD65564:UZD65565 VIZ65564:VIZ65565 VSV65564:VSV65565 WCR65564:WCR65565 WMN65564:WMN65565 WWJ65564:WWJ65565 AB131100:AB131101 JX131100:JX131101 TT131100:TT131101 ADP131100:ADP131101 ANL131100:ANL131101 AXH131100:AXH131101 BHD131100:BHD131101 BQZ131100:BQZ131101 CAV131100:CAV131101 CKR131100:CKR131101 CUN131100:CUN131101 DEJ131100:DEJ131101 DOF131100:DOF131101 DYB131100:DYB131101 EHX131100:EHX131101 ERT131100:ERT131101 FBP131100:FBP131101 FLL131100:FLL131101 FVH131100:FVH131101 GFD131100:GFD131101 GOZ131100:GOZ131101 GYV131100:GYV131101 HIR131100:HIR131101 HSN131100:HSN131101 ICJ131100:ICJ131101 IMF131100:IMF131101 IWB131100:IWB131101 JFX131100:JFX131101 JPT131100:JPT131101 JZP131100:JZP131101 KJL131100:KJL131101 KTH131100:KTH131101 LDD131100:LDD131101 LMZ131100:LMZ131101 LWV131100:LWV131101 MGR131100:MGR131101 MQN131100:MQN131101 NAJ131100:NAJ131101 NKF131100:NKF131101 NUB131100:NUB131101 ODX131100:ODX131101 ONT131100:ONT131101 OXP131100:OXP131101 PHL131100:PHL131101 PRH131100:PRH131101 QBD131100:QBD131101 QKZ131100:QKZ131101 QUV131100:QUV131101 RER131100:RER131101 RON131100:RON131101 RYJ131100:RYJ131101 SIF131100:SIF131101 SSB131100:SSB131101 TBX131100:TBX131101 TLT131100:TLT131101 TVP131100:TVP131101 UFL131100:UFL131101 UPH131100:UPH131101 UZD131100:UZD131101 VIZ131100:VIZ131101 VSV131100:VSV131101 WCR131100:WCR131101 WMN131100:WMN131101 WWJ131100:WWJ131101 AB196636:AB196637 JX196636:JX196637 TT196636:TT196637 ADP196636:ADP196637 ANL196636:ANL196637 AXH196636:AXH196637 BHD196636:BHD196637 BQZ196636:BQZ196637 CAV196636:CAV196637 CKR196636:CKR196637 CUN196636:CUN196637 DEJ196636:DEJ196637 DOF196636:DOF196637 DYB196636:DYB196637 EHX196636:EHX196637 ERT196636:ERT196637 FBP196636:FBP196637 FLL196636:FLL196637 FVH196636:FVH196637 GFD196636:GFD196637 GOZ196636:GOZ196637 GYV196636:GYV196637 HIR196636:HIR196637 HSN196636:HSN196637 ICJ196636:ICJ196637 IMF196636:IMF196637 IWB196636:IWB196637 JFX196636:JFX196637 JPT196636:JPT196637 JZP196636:JZP196637 KJL196636:KJL196637 KTH196636:KTH196637 LDD196636:LDD196637 LMZ196636:LMZ196637 LWV196636:LWV196637 MGR196636:MGR196637 MQN196636:MQN196637 NAJ196636:NAJ196637 NKF196636:NKF196637 NUB196636:NUB196637 ODX196636:ODX196637 ONT196636:ONT196637 OXP196636:OXP196637 PHL196636:PHL196637 PRH196636:PRH196637 QBD196636:QBD196637 QKZ196636:QKZ196637 QUV196636:QUV196637 RER196636:RER196637 RON196636:RON196637 RYJ196636:RYJ196637 SIF196636:SIF196637 SSB196636:SSB196637 TBX196636:TBX196637 TLT196636:TLT196637 TVP196636:TVP196637 UFL196636:UFL196637 UPH196636:UPH196637 UZD196636:UZD196637 VIZ196636:VIZ196637 VSV196636:VSV196637 WCR196636:WCR196637 WMN196636:WMN196637 WWJ196636:WWJ196637 AB262172:AB262173 JX262172:JX262173 TT262172:TT262173 ADP262172:ADP262173 ANL262172:ANL262173 AXH262172:AXH262173 BHD262172:BHD262173 BQZ262172:BQZ262173 CAV262172:CAV262173 CKR262172:CKR262173 CUN262172:CUN262173 DEJ262172:DEJ262173 DOF262172:DOF262173 DYB262172:DYB262173 EHX262172:EHX262173 ERT262172:ERT262173 FBP262172:FBP262173 FLL262172:FLL262173 FVH262172:FVH262173 GFD262172:GFD262173 GOZ262172:GOZ262173 GYV262172:GYV262173 HIR262172:HIR262173 HSN262172:HSN262173 ICJ262172:ICJ262173 IMF262172:IMF262173 IWB262172:IWB262173 JFX262172:JFX262173 JPT262172:JPT262173 JZP262172:JZP262173 KJL262172:KJL262173 KTH262172:KTH262173 LDD262172:LDD262173 LMZ262172:LMZ262173 LWV262172:LWV262173 MGR262172:MGR262173 MQN262172:MQN262173 NAJ262172:NAJ262173 NKF262172:NKF262173 NUB262172:NUB262173 ODX262172:ODX262173 ONT262172:ONT262173 OXP262172:OXP262173 PHL262172:PHL262173 PRH262172:PRH262173 QBD262172:QBD262173 QKZ262172:QKZ262173 QUV262172:QUV262173 RER262172:RER262173 RON262172:RON262173 RYJ262172:RYJ262173 SIF262172:SIF262173 SSB262172:SSB262173 TBX262172:TBX262173 TLT262172:TLT262173 TVP262172:TVP262173 UFL262172:UFL262173 UPH262172:UPH262173 UZD262172:UZD262173 VIZ262172:VIZ262173 VSV262172:VSV262173 WCR262172:WCR262173 WMN262172:WMN262173 WWJ262172:WWJ262173 AB327708:AB327709 JX327708:JX327709 TT327708:TT327709 ADP327708:ADP327709 ANL327708:ANL327709 AXH327708:AXH327709 BHD327708:BHD327709 BQZ327708:BQZ327709 CAV327708:CAV327709 CKR327708:CKR327709 CUN327708:CUN327709 DEJ327708:DEJ327709 DOF327708:DOF327709 DYB327708:DYB327709 EHX327708:EHX327709 ERT327708:ERT327709 FBP327708:FBP327709 FLL327708:FLL327709 FVH327708:FVH327709 GFD327708:GFD327709 GOZ327708:GOZ327709 GYV327708:GYV327709 HIR327708:HIR327709 HSN327708:HSN327709 ICJ327708:ICJ327709 IMF327708:IMF327709 IWB327708:IWB327709 JFX327708:JFX327709 JPT327708:JPT327709 JZP327708:JZP327709 KJL327708:KJL327709 KTH327708:KTH327709 LDD327708:LDD327709 LMZ327708:LMZ327709 LWV327708:LWV327709 MGR327708:MGR327709 MQN327708:MQN327709 NAJ327708:NAJ327709 NKF327708:NKF327709 NUB327708:NUB327709 ODX327708:ODX327709 ONT327708:ONT327709 OXP327708:OXP327709 PHL327708:PHL327709 PRH327708:PRH327709 QBD327708:QBD327709 QKZ327708:QKZ327709 QUV327708:QUV327709 RER327708:RER327709 RON327708:RON327709 RYJ327708:RYJ327709 SIF327708:SIF327709 SSB327708:SSB327709 TBX327708:TBX327709 TLT327708:TLT327709 TVP327708:TVP327709 UFL327708:UFL327709 UPH327708:UPH327709 UZD327708:UZD327709 VIZ327708:VIZ327709 VSV327708:VSV327709 WCR327708:WCR327709 WMN327708:WMN327709 WWJ327708:WWJ327709 AB393244:AB393245 JX393244:JX393245 TT393244:TT393245 ADP393244:ADP393245 ANL393244:ANL393245 AXH393244:AXH393245 BHD393244:BHD393245 BQZ393244:BQZ393245 CAV393244:CAV393245 CKR393244:CKR393245 CUN393244:CUN393245 DEJ393244:DEJ393245 DOF393244:DOF393245 DYB393244:DYB393245 EHX393244:EHX393245 ERT393244:ERT393245 FBP393244:FBP393245 FLL393244:FLL393245 FVH393244:FVH393245 GFD393244:GFD393245 GOZ393244:GOZ393245 GYV393244:GYV393245 HIR393244:HIR393245 HSN393244:HSN393245 ICJ393244:ICJ393245 IMF393244:IMF393245 IWB393244:IWB393245 JFX393244:JFX393245 JPT393244:JPT393245 JZP393244:JZP393245 KJL393244:KJL393245 KTH393244:KTH393245 LDD393244:LDD393245 LMZ393244:LMZ393245 LWV393244:LWV393245 MGR393244:MGR393245 MQN393244:MQN393245 NAJ393244:NAJ393245 NKF393244:NKF393245 NUB393244:NUB393245 ODX393244:ODX393245 ONT393244:ONT393245 OXP393244:OXP393245 PHL393244:PHL393245 PRH393244:PRH393245 QBD393244:QBD393245 QKZ393244:QKZ393245 QUV393244:QUV393245 RER393244:RER393245 RON393244:RON393245 RYJ393244:RYJ393245 SIF393244:SIF393245 SSB393244:SSB393245 TBX393244:TBX393245 TLT393244:TLT393245 TVP393244:TVP393245 UFL393244:UFL393245 UPH393244:UPH393245 UZD393244:UZD393245 VIZ393244:VIZ393245 VSV393244:VSV393245 WCR393244:WCR393245 WMN393244:WMN393245 WWJ393244:WWJ393245 AB458780:AB458781 JX458780:JX458781 TT458780:TT458781 ADP458780:ADP458781 ANL458780:ANL458781 AXH458780:AXH458781 BHD458780:BHD458781 BQZ458780:BQZ458781 CAV458780:CAV458781 CKR458780:CKR458781 CUN458780:CUN458781 DEJ458780:DEJ458781 DOF458780:DOF458781 DYB458780:DYB458781 EHX458780:EHX458781 ERT458780:ERT458781 FBP458780:FBP458781 FLL458780:FLL458781 FVH458780:FVH458781 GFD458780:GFD458781 GOZ458780:GOZ458781 GYV458780:GYV458781 HIR458780:HIR458781 HSN458780:HSN458781 ICJ458780:ICJ458781 IMF458780:IMF458781 IWB458780:IWB458781 JFX458780:JFX458781 JPT458780:JPT458781 JZP458780:JZP458781 KJL458780:KJL458781 KTH458780:KTH458781 LDD458780:LDD458781 LMZ458780:LMZ458781 LWV458780:LWV458781 MGR458780:MGR458781 MQN458780:MQN458781 NAJ458780:NAJ458781 NKF458780:NKF458781 NUB458780:NUB458781 ODX458780:ODX458781 ONT458780:ONT458781 OXP458780:OXP458781 PHL458780:PHL458781 PRH458780:PRH458781 QBD458780:QBD458781 QKZ458780:QKZ458781 QUV458780:QUV458781 RER458780:RER458781 RON458780:RON458781 RYJ458780:RYJ458781 SIF458780:SIF458781 SSB458780:SSB458781 TBX458780:TBX458781 TLT458780:TLT458781 TVP458780:TVP458781 UFL458780:UFL458781 UPH458780:UPH458781 UZD458780:UZD458781 VIZ458780:VIZ458781 VSV458780:VSV458781 WCR458780:WCR458781 WMN458780:WMN458781 WWJ458780:WWJ458781 AB524316:AB524317 JX524316:JX524317 TT524316:TT524317 ADP524316:ADP524317 ANL524316:ANL524317 AXH524316:AXH524317 BHD524316:BHD524317 BQZ524316:BQZ524317 CAV524316:CAV524317 CKR524316:CKR524317 CUN524316:CUN524317 DEJ524316:DEJ524317 DOF524316:DOF524317 DYB524316:DYB524317 EHX524316:EHX524317 ERT524316:ERT524317 FBP524316:FBP524317 FLL524316:FLL524317 FVH524316:FVH524317 GFD524316:GFD524317 GOZ524316:GOZ524317 GYV524316:GYV524317 HIR524316:HIR524317 HSN524316:HSN524317 ICJ524316:ICJ524317 IMF524316:IMF524317 IWB524316:IWB524317 JFX524316:JFX524317 JPT524316:JPT524317 JZP524316:JZP524317 KJL524316:KJL524317 KTH524316:KTH524317 LDD524316:LDD524317 LMZ524316:LMZ524317 LWV524316:LWV524317 MGR524316:MGR524317 MQN524316:MQN524317 NAJ524316:NAJ524317 NKF524316:NKF524317 NUB524316:NUB524317 ODX524316:ODX524317 ONT524316:ONT524317 OXP524316:OXP524317 PHL524316:PHL524317 PRH524316:PRH524317 QBD524316:QBD524317 QKZ524316:QKZ524317 QUV524316:QUV524317 RER524316:RER524317 RON524316:RON524317 RYJ524316:RYJ524317 SIF524316:SIF524317 SSB524316:SSB524317 TBX524316:TBX524317 TLT524316:TLT524317 TVP524316:TVP524317 UFL524316:UFL524317 UPH524316:UPH524317 UZD524316:UZD524317 VIZ524316:VIZ524317 VSV524316:VSV524317 WCR524316:WCR524317 WMN524316:WMN524317 WWJ524316:WWJ524317 AB589852:AB589853 JX589852:JX589853 TT589852:TT589853 ADP589852:ADP589853 ANL589852:ANL589853 AXH589852:AXH589853 BHD589852:BHD589853 BQZ589852:BQZ589853 CAV589852:CAV589853 CKR589852:CKR589853 CUN589852:CUN589853 DEJ589852:DEJ589853 DOF589852:DOF589853 DYB589852:DYB589853 EHX589852:EHX589853 ERT589852:ERT589853 FBP589852:FBP589853 FLL589852:FLL589853 FVH589852:FVH589853 GFD589852:GFD589853 GOZ589852:GOZ589853 GYV589852:GYV589853 HIR589852:HIR589853 HSN589852:HSN589853 ICJ589852:ICJ589853 IMF589852:IMF589853 IWB589852:IWB589853 JFX589852:JFX589853 JPT589852:JPT589853 JZP589852:JZP589853 KJL589852:KJL589853 KTH589852:KTH589853 LDD589852:LDD589853 LMZ589852:LMZ589853 LWV589852:LWV589853 MGR589852:MGR589853 MQN589852:MQN589853 NAJ589852:NAJ589853 NKF589852:NKF589853 NUB589852:NUB589853 ODX589852:ODX589853 ONT589852:ONT589853 OXP589852:OXP589853 PHL589852:PHL589853 PRH589852:PRH589853 QBD589852:QBD589853 QKZ589852:QKZ589853 QUV589852:QUV589853 RER589852:RER589853 RON589852:RON589853 RYJ589852:RYJ589853 SIF589852:SIF589853 SSB589852:SSB589853 TBX589852:TBX589853 TLT589852:TLT589853 TVP589852:TVP589853 UFL589852:UFL589853 UPH589852:UPH589853 UZD589852:UZD589853 VIZ589852:VIZ589853 VSV589852:VSV589853 WCR589852:WCR589853 WMN589852:WMN589853 WWJ589852:WWJ589853 AB655388:AB655389 JX655388:JX655389 TT655388:TT655389 ADP655388:ADP655389 ANL655388:ANL655389 AXH655388:AXH655389 BHD655388:BHD655389 BQZ655388:BQZ655389 CAV655388:CAV655389 CKR655388:CKR655389 CUN655388:CUN655389 DEJ655388:DEJ655389 DOF655388:DOF655389 DYB655388:DYB655389 EHX655388:EHX655389 ERT655388:ERT655389 FBP655388:FBP655389 FLL655388:FLL655389 FVH655388:FVH655389 GFD655388:GFD655389 GOZ655388:GOZ655389 GYV655388:GYV655389 HIR655388:HIR655389 HSN655388:HSN655389 ICJ655388:ICJ655389 IMF655388:IMF655389 IWB655388:IWB655389 JFX655388:JFX655389 JPT655388:JPT655389 JZP655388:JZP655389 KJL655388:KJL655389 KTH655388:KTH655389 LDD655388:LDD655389 LMZ655388:LMZ655389 LWV655388:LWV655389 MGR655388:MGR655389 MQN655388:MQN655389 NAJ655388:NAJ655389 NKF655388:NKF655389 NUB655388:NUB655389 ODX655388:ODX655389 ONT655388:ONT655389 OXP655388:OXP655389 PHL655388:PHL655389 PRH655388:PRH655389 QBD655388:QBD655389 QKZ655388:QKZ655389 QUV655388:QUV655389 RER655388:RER655389 RON655388:RON655389 RYJ655388:RYJ655389 SIF655388:SIF655389 SSB655388:SSB655389 TBX655388:TBX655389 TLT655388:TLT655389 TVP655388:TVP655389 UFL655388:UFL655389 UPH655388:UPH655389 UZD655388:UZD655389 VIZ655388:VIZ655389 VSV655388:VSV655389 WCR655388:WCR655389 WMN655388:WMN655389 WWJ655388:WWJ655389 AB720924:AB720925 JX720924:JX720925 TT720924:TT720925 ADP720924:ADP720925 ANL720924:ANL720925 AXH720924:AXH720925 BHD720924:BHD720925 BQZ720924:BQZ720925 CAV720924:CAV720925 CKR720924:CKR720925 CUN720924:CUN720925 DEJ720924:DEJ720925 DOF720924:DOF720925 DYB720924:DYB720925 EHX720924:EHX720925 ERT720924:ERT720925 FBP720924:FBP720925 FLL720924:FLL720925 FVH720924:FVH720925 GFD720924:GFD720925 GOZ720924:GOZ720925 GYV720924:GYV720925 HIR720924:HIR720925 HSN720924:HSN720925 ICJ720924:ICJ720925 IMF720924:IMF720925 IWB720924:IWB720925 JFX720924:JFX720925 JPT720924:JPT720925 JZP720924:JZP720925 KJL720924:KJL720925 KTH720924:KTH720925 LDD720924:LDD720925 LMZ720924:LMZ720925 LWV720924:LWV720925 MGR720924:MGR720925 MQN720924:MQN720925 NAJ720924:NAJ720925 NKF720924:NKF720925 NUB720924:NUB720925 ODX720924:ODX720925 ONT720924:ONT720925 OXP720924:OXP720925 PHL720924:PHL720925 PRH720924:PRH720925 QBD720924:QBD720925 QKZ720924:QKZ720925 QUV720924:QUV720925 RER720924:RER720925 RON720924:RON720925 RYJ720924:RYJ720925 SIF720924:SIF720925 SSB720924:SSB720925 TBX720924:TBX720925 TLT720924:TLT720925 TVP720924:TVP720925 UFL720924:UFL720925 UPH720924:UPH720925 UZD720924:UZD720925 VIZ720924:VIZ720925 VSV720924:VSV720925 WCR720924:WCR720925 WMN720924:WMN720925 WWJ720924:WWJ720925 AB786460:AB786461 JX786460:JX786461 TT786460:TT786461 ADP786460:ADP786461 ANL786460:ANL786461 AXH786460:AXH786461 BHD786460:BHD786461 BQZ786460:BQZ786461 CAV786460:CAV786461 CKR786460:CKR786461 CUN786460:CUN786461 DEJ786460:DEJ786461 DOF786460:DOF786461 DYB786460:DYB786461 EHX786460:EHX786461 ERT786460:ERT786461 FBP786460:FBP786461 FLL786460:FLL786461 FVH786460:FVH786461 GFD786460:GFD786461 GOZ786460:GOZ786461 GYV786460:GYV786461 HIR786460:HIR786461 HSN786460:HSN786461 ICJ786460:ICJ786461 IMF786460:IMF786461 IWB786460:IWB786461 JFX786460:JFX786461 JPT786460:JPT786461 JZP786460:JZP786461 KJL786460:KJL786461 KTH786460:KTH786461 LDD786460:LDD786461 LMZ786460:LMZ786461 LWV786460:LWV786461 MGR786460:MGR786461 MQN786460:MQN786461 NAJ786460:NAJ786461 NKF786460:NKF786461 NUB786460:NUB786461 ODX786460:ODX786461 ONT786460:ONT786461 OXP786460:OXP786461 PHL786460:PHL786461 PRH786460:PRH786461 QBD786460:QBD786461 QKZ786460:QKZ786461 QUV786460:QUV786461 RER786460:RER786461 RON786460:RON786461 RYJ786460:RYJ786461 SIF786460:SIF786461 SSB786460:SSB786461 TBX786460:TBX786461 TLT786460:TLT786461 TVP786460:TVP786461 UFL786460:UFL786461 UPH786460:UPH786461 UZD786460:UZD786461 VIZ786460:VIZ786461 VSV786460:VSV786461 WCR786460:WCR786461 WMN786460:WMN786461 WWJ786460:WWJ786461 AB851996:AB851997 JX851996:JX851997 TT851996:TT851997 ADP851996:ADP851997 ANL851996:ANL851997 AXH851996:AXH851997 BHD851996:BHD851997 BQZ851996:BQZ851997 CAV851996:CAV851997 CKR851996:CKR851997 CUN851996:CUN851997 DEJ851996:DEJ851997 DOF851996:DOF851997 DYB851996:DYB851997 EHX851996:EHX851997 ERT851996:ERT851997 FBP851996:FBP851997 FLL851996:FLL851997 FVH851996:FVH851997 GFD851996:GFD851997 GOZ851996:GOZ851997 GYV851996:GYV851997 HIR851996:HIR851997 HSN851996:HSN851997 ICJ851996:ICJ851997 IMF851996:IMF851997 IWB851996:IWB851997 JFX851996:JFX851997 JPT851996:JPT851997 JZP851996:JZP851997 KJL851996:KJL851997 KTH851996:KTH851997 LDD851996:LDD851997 LMZ851996:LMZ851997 LWV851996:LWV851997 MGR851996:MGR851997 MQN851996:MQN851997 NAJ851996:NAJ851997 NKF851996:NKF851997 NUB851996:NUB851997 ODX851996:ODX851997 ONT851996:ONT851997 OXP851996:OXP851997 PHL851996:PHL851997 PRH851996:PRH851997 QBD851996:QBD851997 QKZ851996:QKZ851997 QUV851996:QUV851997 RER851996:RER851997 RON851996:RON851997 RYJ851996:RYJ851997 SIF851996:SIF851997 SSB851996:SSB851997 TBX851996:TBX851997 TLT851996:TLT851997 TVP851996:TVP851997 UFL851996:UFL851997 UPH851996:UPH851997 UZD851996:UZD851997 VIZ851996:VIZ851997 VSV851996:VSV851997 WCR851996:WCR851997 WMN851996:WMN851997 WWJ851996:WWJ851997 AB917532:AB917533 JX917532:JX917533 TT917532:TT917533 ADP917532:ADP917533 ANL917532:ANL917533 AXH917532:AXH917533 BHD917532:BHD917533 BQZ917532:BQZ917533 CAV917532:CAV917533 CKR917532:CKR917533 CUN917532:CUN917533 DEJ917532:DEJ917533 DOF917532:DOF917533 DYB917532:DYB917533 EHX917532:EHX917533 ERT917532:ERT917533 FBP917532:FBP917533 FLL917532:FLL917533 FVH917532:FVH917533 GFD917532:GFD917533 GOZ917532:GOZ917533 GYV917532:GYV917533 HIR917532:HIR917533 HSN917532:HSN917533 ICJ917532:ICJ917533 IMF917532:IMF917533 IWB917532:IWB917533 JFX917532:JFX917533 JPT917532:JPT917533 JZP917532:JZP917533 KJL917532:KJL917533 KTH917532:KTH917533 LDD917532:LDD917533 LMZ917532:LMZ917533 LWV917532:LWV917533 MGR917532:MGR917533 MQN917532:MQN917533 NAJ917532:NAJ917533 NKF917532:NKF917533 NUB917532:NUB917533 ODX917532:ODX917533 ONT917532:ONT917533 OXP917532:OXP917533 PHL917532:PHL917533 PRH917532:PRH917533 QBD917532:QBD917533 QKZ917532:QKZ917533 QUV917532:QUV917533 RER917532:RER917533 RON917532:RON917533 RYJ917532:RYJ917533 SIF917532:SIF917533 SSB917532:SSB917533 TBX917532:TBX917533 TLT917532:TLT917533 TVP917532:TVP917533 UFL917532:UFL917533 UPH917532:UPH917533 UZD917532:UZD917533 VIZ917532:VIZ917533 VSV917532:VSV917533 WCR917532:WCR917533 WMN917532:WMN917533 WWJ917532:WWJ917533 AB983068:AB983069 JX983068:JX983069 TT983068:TT983069 ADP983068:ADP983069 ANL983068:ANL983069 AXH983068:AXH983069 BHD983068:BHD983069 BQZ983068:BQZ983069 CAV983068:CAV983069 CKR983068:CKR983069 CUN983068:CUN983069 DEJ983068:DEJ983069 DOF983068:DOF983069 DYB983068:DYB983069 EHX983068:EHX983069 ERT983068:ERT983069 FBP983068:FBP983069 FLL983068:FLL983069 FVH983068:FVH983069 GFD983068:GFD983069 GOZ983068:GOZ983069 GYV983068:GYV983069 HIR983068:HIR983069 HSN983068:HSN983069 ICJ983068:ICJ983069 IMF983068:IMF983069 IWB983068:IWB983069 JFX983068:JFX983069 JPT983068:JPT983069 JZP983068:JZP983069 KJL983068:KJL983069 KTH983068:KTH983069 LDD983068:LDD983069 LMZ983068:LMZ983069 LWV983068:LWV983069 MGR983068:MGR983069 MQN983068:MQN983069 NAJ983068:NAJ983069 NKF983068:NKF983069 NUB983068:NUB983069 ODX983068:ODX983069 ONT983068:ONT983069 OXP983068:OXP983069 PHL983068:PHL983069 PRH983068:PRH983069 QBD983068:QBD983069 QKZ983068:QKZ983069 QUV983068:QUV983069 RER983068:RER983069 RON983068:RON983069 RYJ983068:RYJ983069 SIF983068:SIF983069 SSB983068:SSB983069 TBX983068:TBX983069 TLT983068:TLT983069 TVP983068:TVP983069 UFL983068:UFL983069 UPH983068:UPH983069 UZD983068:UZD983069 VIZ983068:VIZ983069 VSV983068:VSV983069 WCR983068:WCR983069 WMN983068:WMN983069 WWJ983068:WWJ983069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AB48 JX48 TT48 ADP48 ANL48 AXH48 BHD48 BQZ48 CAV48 CKR48 CUN48 DEJ48 DOF48 DYB48 EHX48 ERT48 FBP48 FLL48 FVH48 GFD48 GOZ48 GYV48 HIR48 HSN48 ICJ48 IMF48 IWB48 JFX48 JPT48 JZP48 KJL48 KTH48 LDD48 LMZ48 LWV48 MGR48 MQN48 NAJ48 NKF48 NUB48 ODX48 ONT48 OXP48 PHL48 PRH48 QBD48 QKZ48 QUV48 RER48 RON48 RYJ48 SIF48 SSB48 TBX48 TLT48 TVP48 UFL48 UPH48 UZD48 VIZ48 VSV48 WCR48 WMN48 WWJ48 AB65584 JX65584 TT65584 ADP65584 ANL65584 AXH65584 BHD65584 BQZ65584 CAV65584 CKR65584 CUN65584 DEJ65584 DOF65584 DYB65584 EHX65584 ERT65584 FBP65584 FLL65584 FVH65584 GFD65584 GOZ65584 GYV65584 HIR65584 HSN65584 ICJ65584 IMF65584 IWB65584 JFX65584 JPT65584 JZP65584 KJL65584 KTH65584 LDD65584 LMZ65584 LWV65584 MGR65584 MQN65584 NAJ65584 NKF65584 NUB65584 ODX65584 ONT65584 OXP65584 PHL65584 PRH65584 QBD65584 QKZ65584 QUV65584 RER65584 RON65584 RYJ65584 SIF65584 SSB65584 TBX65584 TLT65584 TVP65584 UFL65584 UPH65584 UZD65584 VIZ65584 VSV65584 WCR65584 WMN65584 WWJ65584 AB131120 JX131120 TT131120 ADP131120 ANL131120 AXH131120 BHD131120 BQZ131120 CAV131120 CKR131120 CUN131120 DEJ131120 DOF131120 DYB131120 EHX131120 ERT131120 FBP131120 FLL131120 FVH131120 GFD131120 GOZ131120 GYV131120 HIR131120 HSN131120 ICJ131120 IMF131120 IWB131120 JFX131120 JPT131120 JZP131120 KJL131120 KTH131120 LDD131120 LMZ131120 LWV131120 MGR131120 MQN131120 NAJ131120 NKF131120 NUB131120 ODX131120 ONT131120 OXP131120 PHL131120 PRH131120 QBD131120 QKZ131120 QUV131120 RER131120 RON131120 RYJ131120 SIF131120 SSB131120 TBX131120 TLT131120 TVP131120 UFL131120 UPH131120 UZD131120 VIZ131120 VSV131120 WCR131120 WMN131120 WWJ131120 AB196656 JX196656 TT196656 ADP196656 ANL196656 AXH196656 BHD196656 BQZ196656 CAV196656 CKR196656 CUN196656 DEJ196656 DOF196656 DYB196656 EHX196656 ERT196656 FBP196656 FLL196656 FVH196656 GFD196656 GOZ196656 GYV196656 HIR196656 HSN196656 ICJ196656 IMF196656 IWB196656 JFX196656 JPT196656 JZP196656 KJL196656 KTH196656 LDD196656 LMZ196656 LWV196656 MGR196656 MQN196656 NAJ196656 NKF196656 NUB196656 ODX196656 ONT196656 OXP196656 PHL196656 PRH196656 QBD196656 QKZ196656 QUV196656 RER196656 RON196656 RYJ196656 SIF196656 SSB196656 TBX196656 TLT196656 TVP196656 UFL196656 UPH196656 UZD196656 VIZ196656 VSV196656 WCR196656 WMN196656 WWJ196656 AB262192 JX262192 TT262192 ADP262192 ANL262192 AXH262192 BHD262192 BQZ262192 CAV262192 CKR262192 CUN262192 DEJ262192 DOF262192 DYB262192 EHX262192 ERT262192 FBP262192 FLL262192 FVH262192 GFD262192 GOZ262192 GYV262192 HIR262192 HSN262192 ICJ262192 IMF262192 IWB262192 JFX262192 JPT262192 JZP262192 KJL262192 KTH262192 LDD262192 LMZ262192 LWV262192 MGR262192 MQN262192 NAJ262192 NKF262192 NUB262192 ODX262192 ONT262192 OXP262192 PHL262192 PRH262192 QBD262192 QKZ262192 QUV262192 RER262192 RON262192 RYJ262192 SIF262192 SSB262192 TBX262192 TLT262192 TVP262192 UFL262192 UPH262192 UZD262192 VIZ262192 VSV262192 WCR262192 WMN262192 WWJ262192 AB327728 JX327728 TT327728 ADP327728 ANL327728 AXH327728 BHD327728 BQZ327728 CAV327728 CKR327728 CUN327728 DEJ327728 DOF327728 DYB327728 EHX327728 ERT327728 FBP327728 FLL327728 FVH327728 GFD327728 GOZ327728 GYV327728 HIR327728 HSN327728 ICJ327728 IMF327728 IWB327728 JFX327728 JPT327728 JZP327728 KJL327728 KTH327728 LDD327728 LMZ327728 LWV327728 MGR327728 MQN327728 NAJ327728 NKF327728 NUB327728 ODX327728 ONT327728 OXP327728 PHL327728 PRH327728 QBD327728 QKZ327728 QUV327728 RER327728 RON327728 RYJ327728 SIF327728 SSB327728 TBX327728 TLT327728 TVP327728 UFL327728 UPH327728 UZD327728 VIZ327728 VSV327728 WCR327728 WMN327728 WWJ327728 AB393264 JX393264 TT393264 ADP393264 ANL393264 AXH393264 BHD393264 BQZ393264 CAV393264 CKR393264 CUN393264 DEJ393264 DOF393264 DYB393264 EHX393264 ERT393264 FBP393264 FLL393264 FVH393264 GFD393264 GOZ393264 GYV393264 HIR393264 HSN393264 ICJ393264 IMF393264 IWB393264 JFX393264 JPT393264 JZP393264 KJL393264 KTH393264 LDD393264 LMZ393264 LWV393264 MGR393264 MQN393264 NAJ393264 NKF393264 NUB393264 ODX393264 ONT393264 OXP393264 PHL393264 PRH393264 QBD393264 QKZ393264 QUV393264 RER393264 RON393264 RYJ393264 SIF393264 SSB393264 TBX393264 TLT393264 TVP393264 UFL393264 UPH393264 UZD393264 VIZ393264 VSV393264 WCR393264 WMN393264 WWJ393264 AB458800 JX458800 TT458800 ADP458800 ANL458800 AXH458800 BHD458800 BQZ458800 CAV458800 CKR458800 CUN458800 DEJ458800 DOF458800 DYB458800 EHX458800 ERT458800 FBP458800 FLL458800 FVH458800 GFD458800 GOZ458800 GYV458800 HIR458800 HSN458800 ICJ458800 IMF458800 IWB458800 JFX458800 JPT458800 JZP458800 KJL458800 KTH458800 LDD458800 LMZ458800 LWV458800 MGR458800 MQN458800 NAJ458800 NKF458800 NUB458800 ODX458800 ONT458800 OXP458800 PHL458800 PRH458800 QBD458800 QKZ458800 QUV458800 RER458800 RON458800 RYJ458800 SIF458800 SSB458800 TBX458800 TLT458800 TVP458800 UFL458800 UPH458800 UZD458800 VIZ458800 VSV458800 WCR458800 WMN458800 WWJ458800 AB524336 JX524336 TT524336 ADP524336 ANL524336 AXH524336 BHD524336 BQZ524336 CAV524336 CKR524336 CUN524336 DEJ524336 DOF524336 DYB524336 EHX524336 ERT524336 FBP524336 FLL524336 FVH524336 GFD524336 GOZ524336 GYV524336 HIR524336 HSN524336 ICJ524336 IMF524336 IWB524336 JFX524336 JPT524336 JZP524336 KJL524336 KTH524336 LDD524336 LMZ524336 LWV524336 MGR524336 MQN524336 NAJ524336 NKF524336 NUB524336 ODX524336 ONT524336 OXP524336 PHL524336 PRH524336 QBD524336 QKZ524336 QUV524336 RER524336 RON524336 RYJ524336 SIF524336 SSB524336 TBX524336 TLT524336 TVP524336 UFL524336 UPH524336 UZD524336 VIZ524336 VSV524336 WCR524336 WMN524336 WWJ524336 AB589872 JX589872 TT589872 ADP589872 ANL589872 AXH589872 BHD589872 BQZ589872 CAV589872 CKR589872 CUN589872 DEJ589872 DOF589872 DYB589872 EHX589872 ERT589872 FBP589872 FLL589872 FVH589872 GFD589872 GOZ589872 GYV589872 HIR589872 HSN589872 ICJ589872 IMF589872 IWB589872 JFX589872 JPT589872 JZP589872 KJL589872 KTH589872 LDD589872 LMZ589872 LWV589872 MGR589872 MQN589872 NAJ589872 NKF589872 NUB589872 ODX589872 ONT589872 OXP589872 PHL589872 PRH589872 QBD589872 QKZ589872 QUV589872 RER589872 RON589872 RYJ589872 SIF589872 SSB589872 TBX589872 TLT589872 TVP589872 UFL589872 UPH589872 UZD589872 VIZ589872 VSV589872 WCR589872 WMN589872 WWJ589872 AB655408 JX655408 TT655408 ADP655408 ANL655408 AXH655408 BHD655408 BQZ655408 CAV655408 CKR655408 CUN655408 DEJ655408 DOF655408 DYB655408 EHX655408 ERT655408 FBP655408 FLL655408 FVH655408 GFD655408 GOZ655408 GYV655408 HIR655408 HSN655408 ICJ655408 IMF655408 IWB655408 JFX655408 JPT655408 JZP655408 KJL655408 KTH655408 LDD655408 LMZ655408 LWV655408 MGR655408 MQN655408 NAJ655408 NKF655408 NUB655408 ODX655408 ONT655408 OXP655408 PHL655408 PRH655408 QBD655408 QKZ655408 QUV655408 RER655408 RON655408 RYJ655408 SIF655408 SSB655408 TBX655408 TLT655408 TVP655408 UFL655408 UPH655408 UZD655408 VIZ655408 VSV655408 WCR655408 WMN655408 WWJ655408 AB720944 JX720944 TT720944 ADP720944 ANL720944 AXH720944 BHD720944 BQZ720944 CAV720944 CKR720944 CUN720944 DEJ720944 DOF720944 DYB720944 EHX720944 ERT720944 FBP720944 FLL720944 FVH720944 GFD720944 GOZ720944 GYV720944 HIR720944 HSN720944 ICJ720944 IMF720944 IWB720944 JFX720944 JPT720944 JZP720944 KJL720944 KTH720944 LDD720944 LMZ720944 LWV720944 MGR720944 MQN720944 NAJ720944 NKF720944 NUB720944 ODX720944 ONT720944 OXP720944 PHL720944 PRH720944 QBD720944 QKZ720944 QUV720944 RER720944 RON720944 RYJ720944 SIF720944 SSB720944 TBX720944 TLT720944 TVP720944 UFL720944 UPH720944 UZD720944 VIZ720944 VSV720944 WCR720944 WMN720944 WWJ720944 AB786480 JX786480 TT786480 ADP786480 ANL786480 AXH786480 BHD786480 BQZ786480 CAV786480 CKR786480 CUN786480 DEJ786480 DOF786480 DYB786480 EHX786480 ERT786480 FBP786480 FLL786480 FVH786480 GFD786480 GOZ786480 GYV786480 HIR786480 HSN786480 ICJ786480 IMF786480 IWB786480 JFX786480 JPT786480 JZP786480 KJL786480 KTH786480 LDD786480 LMZ786480 LWV786480 MGR786480 MQN786480 NAJ786480 NKF786480 NUB786480 ODX786480 ONT786480 OXP786480 PHL786480 PRH786480 QBD786480 QKZ786480 QUV786480 RER786480 RON786480 RYJ786480 SIF786480 SSB786480 TBX786480 TLT786480 TVP786480 UFL786480 UPH786480 UZD786480 VIZ786480 VSV786480 WCR786480 WMN786480 WWJ786480 AB852016 JX852016 TT852016 ADP852016 ANL852016 AXH852016 BHD852016 BQZ852016 CAV852016 CKR852016 CUN852016 DEJ852016 DOF852016 DYB852016 EHX852016 ERT852016 FBP852016 FLL852016 FVH852016 GFD852016 GOZ852016 GYV852016 HIR852016 HSN852016 ICJ852016 IMF852016 IWB852016 JFX852016 JPT852016 JZP852016 KJL852016 KTH852016 LDD852016 LMZ852016 LWV852016 MGR852016 MQN852016 NAJ852016 NKF852016 NUB852016 ODX852016 ONT852016 OXP852016 PHL852016 PRH852016 QBD852016 QKZ852016 QUV852016 RER852016 RON852016 RYJ852016 SIF852016 SSB852016 TBX852016 TLT852016 TVP852016 UFL852016 UPH852016 UZD852016 VIZ852016 VSV852016 WCR852016 WMN852016 WWJ852016 AB917552 JX917552 TT917552 ADP917552 ANL917552 AXH917552 BHD917552 BQZ917552 CAV917552 CKR917552 CUN917552 DEJ917552 DOF917552 DYB917552 EHX917552 ERT917552 FBP917552 FLL917552 FVH917552 GFD917552 GOZ917552 GYV917552 HIR917552 HSN917552 ICJ917552 IMF917552 IWB917552 JFX917552 JPT917552 JZP917552 KJL917552 KTH917552 LDD917552 LMZ917552 LWV917552 MGR917552 MQN917552 NAJ917552 NKF917552 NUB917552 ODX917552 ONT917552 OXP917552 PHL917552 PRH917552 QBD917552 QKZ917552 QUV917552 RER917552 RON917552 RYJ917552 SIF917552 SSB917552 TBX917552 TLT917552 TVP917552 UFL917552 UPH917552 UZD917552 VIZ917552 VSV917552 WCR917552 WMN917552 WWJ917552 AB983088 JX983088 TT983088 ADP983088 ANL983088 AXH983088 BHD983088 BQZ983088 CAV983088 CKR983088 CUN983088 DEJ983088 DOF983088 DYB983088 EHX983088 ERT983088 FBP983088 FLL983088 FVH983088 GFD983088 GOZ983088 GYV983088 HIR983088 HSN983088 ICJ983088 IMF983088 IWB983088 JFX983088 JPT983088 JZP983088 KJL983088 KTH983088 LDD983088 LMZ983088 LWV983088 MGR983088 MQN983088 NAJ983088 NKF983088 NUB983088 ODX983088 ONT983088 OXP983088 PHL983088 PRH983088 QBD983088 QKZ983088 QUV983088 RER983088 RON983088 RYJ983088 SIF983088 SSB983088 TBX983088 TLT983088 TVP983088 UFL983088 UPH983088 UZD983088 VIZ983088 VSV983088 WCR983088 WMN983088 WWJ983088 AD48 JZ48 TV48 ADR48 ANN48 AXJ48 BHF48 BRB48 CAX48 CKT48 CUP48 DEL48 DOH48 DYD48 EHZ48 ERV48 FBR48 FLN48 FVJ48 GFF48 GPB48 GYX48 HIT48 HSP48 ICL48 IMH48 IWD48 JFZ48 JPV48 JZR48 KJN48 KTJ48 LDF48 LNB48 LWX48 MGT48 MQP48 NAL48 NKH48 NUD48 ODZ48 ONV48 OXR48 PHN48 PRJ48 QBF48 QLB48 QUX48 RET48 ROP48 RYL48 SIH48 SSD48 TBZ48 TLV48 TVR48 UFN48 UPJ48 UZF48 VJB48 VSX48 WCT48 WMP48 WWL48 AD65584 JZ65584 TV65584 ADR65584 ANN65584 AXJ65584 BHF65584 BRB65584 CAX65584 CKT65584 CUP65584 DEL65584 DOH65584 DYD65584 EHZ65584 ERV65584 FBR65584 FLN65584 FVJ65584 GFF65584 GPB65584 GYX65584 HIT65584 HSP65584 ICL65584 IMH65584 IWD65584 JFZ65584 JPV65584 JZR65584 KJN65584 KTJ65584 LDF65584 LNB65584 LWX65584 MGT65584 MQP65584 NAL65584 NKH65584 NUD65584 ODZ65584 ONV65584 OXR65584 PHN65584 PRJ65584 QBF65584 QLB65584 QUX65584 RET65584 ROP65584 RYL65584 SIH65584 SSD65584 TBZ65584 TLV65584 TVR65584 UFN65584 UPJ65584 UZF65584 VJB65584 VSX65584 WCT65584 WMP65584 WWL65584 AD131120 JZ131120 TV131120 ADR131120 ANN131120 AXJ131120 BHF131120 BRB131120 CAX131120 CKT131120 CUP131120 DEL131120 DOH131120 DYD131120 EHZ131120 ERV131120 FBR131120 FLN131120 FVJ131120 GFF131120 GPB131120 GYX131120 HIT131120 HSP131120 ICL131120 IMH131120 IWD131120 JFZ131120 JPV131120 JZR131120 KJN131120 KTJ131120 LDF131120 LNB131120 LWX131120 MGT131120 MQP131120 NAL131120 NKH131120 NUD131120 ODZ131120 ONV131120 OXR131120 PHN131120 PRJ131120 QBF131120 QLB131120 QUX131120 RET131120 ROP131120 RYL131120 SIH131120 SSD131120 TBZ131120 TLV131120 TVR131120 UFN131120 UPJ131120 UZF131120 VJB131120 VSX131120 WCT131120 WMP131120 WWL131120 AD196656 JZ196656 TV196656 ADR196656 ANN196656 AXJ196656 BHF196656 BRB196656 CAX196656 CKT196656 CUP196656 DEL196656 DOH196656 DYD196656 EHZ196656 ERV196656 FBR196656 FLN196656 FVJ196656 GFF196656 GPB196656 GYX196656 HIT196656 HSP196656 ICL196656 IMH196656 IWD196656 JFZ196656 JPV196656 JZR196656 KJN196656 KTJ196656 LDF196656 LNB196656 LWX196656 MGT196656 MQP196656 NAL196656 NKH196656 NUD196656 ODZ196656 ONV196656 OXR196656 PHN196656 PRJ196656 QBF196656 QLB196656 QUX196656 RET196656 ROP196656 RYL196656 SIH196656 SSD196656 TBZ196656 TLV196656 TVR196656 UFN196656 UPJ196656 UZF196656 VJB196656 VSX196656 WCT196656 WMP196656 WWL196656 AD262192 JZ262192 TV262192 ADR262192 ANN262192 AXJ262192 BHF262192 BRB262192 CAX262192 CKT262192 CUP262192 DEL262192 DOH262192 DYD262192 EHZ262192 ERV262192 FBR262192 FLN262192 FVJ262192 GFF262192 GPB262192 GYX262192 HIT262192 HSP262192 ICL262192 IMH262192 IWD262192 JFZ262192 JPV262192 JZR262192 KJN262192 KTJ262192 LDF262192 LNB262192 LWX262192 MGT262192 MQP262192 NAL262192 NKH262192 NUD262192 ODZ262192 ONV262192 OXR262192 PHN262192 PRJ262192 QBF262192 QLB262192 QUX262192 RET262192 ROP262192 RYL262192 SIH262192 SSD262192 TBZ262192 TLV262192 TVR262192 UFN262192 UPJ262192 UZF262192 VJB262192 VSX262192 WCT262192 WMP262192 WWL262192 AD327728 JZ327728 TV327728 ADR327728 ANN327728 AXJ327728 BHF327728 BRB327728 CAX327728 CKT327728 CUP327728 DEL327728 DOH327728 DYD327728 EHZ327728 ERV327728 FBR327728 FLN327728 FVJ327728 GFF327728 GPB327728 GYX327728 HIT327728 HSP327728 ICL327728 IMH327728 IWD327728 JFZ327728 JPV327728 JZR327728 KJN327728 KTJ327728 LDF327728 LNB327728 LWX327728 MGT327728 MQP327728 NAL327728 NKH327728 NUD327728 ODZ327728 ONV327728 OXR327728 PHN327728 PRJ327728 QBF327728 QLB327728 QUX327728 RET327728 ROP327728 RYL327728 SIH327728 SSD327728 TBZ327728 TLV327728 TVR327728 UFN327728 UPJ327728 UZF327728 VJB327728 VSX327728 WCT327728 WMP327728 WWL327728 AD393264 JZ393264 TV393264 ADR393264 ANN393264 AXJ393264 BHF393264 BRB393264 CAX393264 CKT393264 CUP393264 DEL393264 DOH393264 DYD393264 EHZ393264 ERV393264 FBR393264 FLN393264 FVJ393264 GFF393264 GPB393264 GYX393264 HIT393264 HSP393264 ICL393264 IMH393264 IWD393264 JFZ393264 JPV393264 JZR393264 KJN393264 KTJ393264 LDF393264 LNB393264 LWX393264 MGT393264 MQP393264 NAL393264 NKH393264 NUD393264 ODZ393264 ONV393264 OXR393264 PHN393264 PRJ393264 QBF393264 QLB393264 QUX393264 RET393264 ROP393264 RYL393264 SIH393264 SSD393264 TBZ393264 TLV393264 TVR393264 UFN393264 UPJ393264 UZF393264 VJB393264 VSX393264 WCT393264 WMP393264 WWL393264 AD458800 JZ458800 TV458800 ADR458800 ANN458800 AXJ458800 BHF458800 BRB458800 CAX458800 CKT458800 CUP458800 DEL458800 DOH458800 DYD458800 EHZ458800 ERV458800 FBR458800 FLN458800 FVJ458800 GFF458800 GPB458800 GYX458800 HIT458800 HSP458800 ICL458800 IMH458800 IWD458800 JFZ458800 JPV458800 JZR458800 KJN458800 KTJ458800 LDF458800 LNB458800 LWX458800 MGT458800 MQP458800 NAL458800 NKH458800 NUD458800 ODZ458800 ONV458800 OXR458800 PHN458800 PRJ458800 QBF458800 QLB458800 QUX458800 RET458800 ROP458800 RYL458800 SIH458800 SSD458800 TBZ458800 TLV458800 TVR458800 UFN458800 UPJ458800 UZF458800 VJB458800 VSX458800 WCT458800 WMP458800 WWL458800 AD524336 JZ524336 TV524336 ADR524336 ANN524336 AXJ524336 BHF524336 BRB524336 CAX524336 CKT524336 CUP524336 DEL524336 DOH524336 DYD524336 EHZ524336 ERV524336 FBR524336 FLN524336 FVJ524336 GFF524336 GPB524336 GYX524336 HIT524336 HSP524336 ICL524336 IMH524336 IWD524336 JFZ524336 JPV524336 JZR524336 KJN524336 KTJ524336 LDF524336 LNB524336 LWX524336 MGT524336 MQP524336 NAL524336 NKH524336 NUD524336 ODZ524336 ONV524336 OXR524336 PHN524336 PRJ524336 QBF524336 QLB524336 QUX524336 RET524336 ROP524336 RYL524336 SIH524336 SSD524336 TBZ524336 TLV524336 TVR524336 UFN524336 UPJ524336 UZF524336 VJB524336 VSX524336 WCT524336 WMP524336 WWL524336 AD589872 JZ589872 TV589872 ADR589872 ANN589872 AXJ589872 BHF589872 BRB589872 CAX589872 CKT589872 CUP589872 DEL589872 DOH589872 DYD589872 EHZ589872 ERV589872 FBR589872 FLN589872 FVJ589872 GFF589872 GPB589872 GYX589872 HIT589872 HSP589872 ICL589872 IMH589872 IWD589872 JFZ589872 JPV589872 JZR589872 KJN589872 KTJ589872 LDF589872 LNB589872 LWX589872 MGT589872 MQP589872 NAL589872 NKH589872 NUD589872 ODZ589872 ONV589872 OXR589872 PHN589872 PRJ589872 QBF589872 QLB589872 QUX589872 RET589872 ROP589872 RYL589872 SIH589872 SSD589872 TBZ589872 TLV589872 TVR589872 UFN589872 UPJ589872 UZF589872 VJB589872 VSX589872 WCT589872 WMP589872 WWL589872 AD655408 JZ655408 TV655408 ADR655408 ANN655408 AXJ655408 BHF655408 BRB655408 CAX655408 CKT655408 CUP655408 DEL655408 DOH655408 DYD655408 EHZ655408 ERV655408 FBR655408 FLN655408 FVJ655408 GFF655408 GPB655408 GYX655408 HIT655408 HSP655408 ICL655408 IMH655408 IWD655408 JFZ655408 JPV655408 JZR655408 KJN655408 KTJ655408 LDF655408 LNB655408 LWX655408 MGT655408 MQP655408 NAL655408 NKH655408 NUD655408 ODZ655408 ONV655408 OXR655408 PHN655408 PRJ655408 QBF655408 QLB655408 QUX655408 RET655408 ROP655408 RYL655408 SIH655408 SSD655408 TBZ655408 TLV655408 TVR655408 UFN655408 UPJ655408 UZF655408 VJB655408 VSX655408 WCT655408 WMP655408 WWL655408 AD720944 JZ720944 TV720944 ADR720944 ANN720944 AXJ720944 BHF720944 BRB720944 CAX720944 CKT720944 CUP720944 DEL720944 DOH720944 DYD720944 EHZ720944 ERV720944 FBR720944 FLN720944 FVJ720944 GFF720944 GPB720944 GYX720944 HIT720944 HSP720944 ICL720944 IMH720944 IWD720944 JFZ720944 JPV720944 JZR720944 KJN720944 KTJ720944 LDF720944 LNB720944 LWX720944 MGT720944 MQP720944 NAL720944 NKH720944 NUD720944 ODZ720944 ONV720944 OXR720944 PHN720944 PRJ720944 QBF720944 QLB720944 QUX720944 RET720944 ROP720944 RYL720944 SIH720944 SSD720944 TBZ720944 TLV720944 TVR720944 UFN720944 UPJ720944 UZF720944 VJB720944 VSX720944 WCT720944 WMP720944 WWL720944 AD786480 JZ786480 TV786480 ADR786480 ANN786480 AXJ786480 BHF786480 BRB786480 CAX786480 CKT786480 CUP786480 DEL786480 DOH786480 DYD786480 EHZ786480 ERV786480 FBR786480 FLN786480 FVJ786480 GFF786480 GPB786480 GYX786480 HIT786480 HSP786480 ICL786480 IMH786480 IWD786480 JFZ786480 JPV786480 JZR786480 KJN786480 KTJ786480 LDF786480 LNB786480 LWX786480 MGT786480 MQP786480 NAL786480 NKH786480 NUD786480 ODZ786480 ONV786480 OXR786480 PHN786480 PRJ786480 QBF786480 QLB786480 QUX786480 RET786480 ROP786480 RYL786480 SIH786480 SSD786480 TBZ786480 TLV786480 TVR786480 UFN786480 UPJ786480 UZF786480 VJB786480 VSX786480 WCT786480 WMP786480 WWL786480 AD852016 JZ852016 TV852016 ADR852016 ANN852016 AXJ852016 BHF852016 BRB852016 CAX852016 CKT852016 CUP852016 DEL852016 DOH852016 DYD852016 EHZ852016 ERV852016 FBR852016 FLN852016 FVJ852016 GFF852016 GPB852016 GYX852016 HIT852016 HSP852016 ICL852016 IMH852016 IWD852016 JFZ852016 JPV852016 JZR852016 KJN852016 KTJ852016 LDF852016 LNB852016 LWX852016 MGT852016 MQP852016 NAL852016 NKH852016 NUD852016 ODZ852016 ONV852016 OXR852016 PHN852016 PRJ852016 QBF852016 QLB852016 QUX852016 RET852016 ROP852016 RYL852016 SIH852016 SSD852016 TBZ852016 TLV852016 TVR852016 UFN852016 UPJ852016 UZF852016 VJB852016 VSX852016 WCT852016 WMP852016 WWL852016 AD917552 JZ917552 TV917552 ADR917552 ANN917552 AXJ917552 BHF917552 BRB917552 CAX917552 CKT917552 CUP917552 DEL917552 DOH917552 DYD917552 EHZ917552 ERV917552 FBR917552 FLN917552 FVJ917552 GFF917552 GPB917552 GYX917552 HIT917552 HSP917552 ICL917552 IMH917552 IWD917552 JFZ917552 JPV917552 JZR917552 KJN917552 KTJ917552 LDF917552 LNB917552 LWX917552 MGT917552 MQP917552 NAL917552 NKH917552 NUD917552 ODZ917552 ONV917552 OXR917552 PHN917552 PRJ917552 QBF917552 QLB917552 QUX917552 RET917552 ROP917552 RYL917552 SIH917552 SSD917552 TBZ917552 TLV917552 TVR917552 UFN917552 UPJ917552 UZF917552 VJB917552 VSX917552 WCT917552 WMP917552 WWL917552 AD983088 JZ983088 TV983088 ADR983088 ANN983088 AXJ983088 BHF983088 BRB983088 CAX983088 CKT983088 CUP983088 DEL983088 DOH983088 DYD983088 EHZ983088 ERV983088 FBR983088 FLN983088 FVJ983088 GFF983088 GPB983088 GYX983088 HIT983088 HSP983088 ICL983088 IMH983088 IWD983088 JFZ983088 JPV983088 JZR983088 KJN983088 KTJ983088 LDF983088 LNB983088 LWX983088 MGT983088 MQP983088 NAL983088 NKH983088 NUD983088 ODZ983088 ONV983088 OXR983088 PHN983088 PRJ983088 QBF983088 QLB983088 QUX983088 RET983088 ROP983088 RYL983088 SIH983088 SSD983088 TBZ983088 TLV983088 TVR983088 UFN983088 UPJ983088 UZF983088 VJB983088 VSX983088 WCT983088 WMP983088 WWL983088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AB54 JX54 TT54 ADP54 ANL54 AXH54 BHD54 BQZ54 CAV54 CKR54 CUN54 DEJ54 DOF54 DYB54 EHX54 ERT54 FBP54 FLL54 FVH54 GFD54 GOZ54 GYV54 HIR54 HSN54 ICJ54 IMF54 IWB54 JFX54 JPT54 JZP54 KJL54 KTH54 LDD54 LMZ54 LWV54 MGR54 MQN54 NAJ54 NKF54 NUB54 ODX54 ONT54 OXP54 PHL54 PRH54 QBD54 QKZ54 QUV54 RER54 RON54 RYJ54 SIF54 SSB54 TBX54 TLT54 TVP54 UFL54 UPH54 UZD54 VIZ54 VSV54 WCR54 WMN54 WWJ54 AB65590 JX65590 TT65590 ADP65590 ANL65590 AXH65590 BHD65590 BQZ65590 CAV65590 CKR65590 CUN65590 DEJ65590 DOF65590 DYB65590 EHX65590 ERT65590 FBP65590 FLL65590 FVH65590 GFD65590 GOZ65590 GYV65590 HIR65590 HSN65590 ICJ65590 IMF65590 IWB65590 JFX65590 JPT65590 JZP65590 KJL65590 KTH65590 LDD65590 LMZ65590 LWV65590 MGR65590 MQN65590 NAJ65590 NKF65590 NUB65590 ODX65590 ONT65590 OXP65590 PHL65590 PRH65590 QBD65590 QKZ65590 QUV65590 RER65590 RON65590 RYJ65590 SIF65590 SSB65590 TBX65590 TLT65590 TVP65590 UFL65590 UPH65590 UZD65590 VIZ65590 VSV65590 WCR65590 WMN65590 WWJ65590 AB131126 JX131126 TT131126 ADP131126 ANL131126 AXH131126 BHD131126 BQZ131126 CAV131126 CKR131126 CUN131126 DEJ131126 DOF131126 DYB131126 EHX131126 ERT131126 FBP131126 FLL131126 FVH131126 GFD131126 GOZ131126 GYV131126 HIR131126 HSN131126 ICJ131126 IMF131126 IWB131126 JFX131126 JPT131126 JZP131126 KJL131126 KTH131126 LDD131126 LMZ131126 LWV131126 MGR131126 MQN131126 NAJ131126 NKF131126 NUB131126 ODX131126 ONT131126 OXP131126 PHL131126 PRH131126 QBD131126 QKZ131126 QUV131126 RER131126 RON131126 RYJ131126 SIF131126 SSB131126 TBX131126 TLT131126 TVP131126 UFL131126 UPH131126 UZD131126 VIZ131126 VSV131126 WCR131126 WMN131126 WWJ131126 AB196662 JX196662 TT196662 ADP196662 ANL196662 AXH196662 BHD196662 BQZ196662 CAV196662 CKR196662 CUN196662 DEJ196662 DOF196662 DYB196662 EHX196662 ERT196662 FBP196662 FLL196662 FVH196662 GFD196662 GOZ196662 GYV196662 HIR196662 HSN196662 ICJ196662 IMF196662 IWB196662 JFX196662 JPT196662 JZP196662 KJL196662 KTH196662 LDD196662 LMZ196662 LWV196662 MGR196662 MQN196662 NAJ196662 NKF196662 NUB196662 ODX196662 ONT196662 OXP196662 PHL196662 PRH196662 QBD196662 QKZ196662 QUV196662 RER196662 RON196662 RYJ196662 SIF196662 SSB196662 TBX196662 TLT196662 TVP196662 UFL196662 UPH196662 UZD196662 VIZ196662 VSV196662 WCR196662 WMN196662 WWJ196662 AB262198 JX262198 TT262198 ADP262198 ANL262198 AXH262198 BHD262198 BQZ262198 CAV262198 CKR262198 CUN262198 DEJ262198 DOF262198 DYB262198 EHX262198 ERT262198 FBP262198 FLL262198 FVH262198 GFD262198 GOZ262198 GYV262198 HIR262198 HSN262198 ICJ262198 IMF262198 IWB262198 JFX262198 JPT262198 JZP262198 KJL262198 KTH262198 LDD262198 LMZ262198 LWV262198 MGR262198 MQN262198 NAJ262198 NKF262198 NUB262198 ODX262198 ONT262198 OXP262198 PHL262198 PRH262198 QBD262198 QKZ262198 QUV262198 RER262198 RON262198 RYJ262198 SIF262198 SSB262198 TBX262198 TLT262198 TVP262198 UFL262198 UPH262198 UZD262198 VIZ262198 VSV262198 WCR262198 WMN262198 WWJ262198 AB327734 JX327734 TT327734 ADP327734 ANL327734 AXH327734 BHD327734 BQZ327734 CAV327734 CKR327734 CUN327734 DEJ327734 DOF327734 DYB327734 EHX327734 ERT327734 FBP327734 FLL327734 FVH327734 GFD327734 GOZ327734 GYV327734 HIR327734 HSN327734 ICJ327734 IMF327734 IWB327734 JFX327734 JPT327734 JZP327734 KJL327734 KTH327734 LDD327734 LMZ327734 LWV327734 MGR327734 MQN327734 NAJ327734 NKF327734 NUB327734 ODX327734 ONT327734 OXP327734 PHL327734 PRH327734 QBD327734 QKZ327734 QUV327734 RER327734 RON327734 RYJ327734 SIF327734 SSB327734 TBX327734 TLT327734 TVP327734 UFL327734 UPH327734 UZD327734 VIZ327734 VSV327734 WCR327734 WMN327734 WWJ327734 AB393270 JX393270 TT393270 ADP393270 ANL393270 AXH393270 BHD393270 BQZ393270 CAV393270 CKR393270 CUN393270 DEJ393270 DOF393270 DYB393270 EHX393270 ERT393270 FBP393270 FLL393270 FVH393270 GFD393270 GOZ393270 GYV393270 HIR393270 HSN393270 ICJ393270 IMF393270 IWB393270 JFX393270 JPT393270 JZP393270 KJL393270 KTH393270 LDD393270 LMZ393270 LWV393270 MGR393270 MQN393270 NAJ393270 NKF393270 NUB393270 ODX393270 ONT393270 OXP393270 PHL393270 PRH393270 QBD393270 QKZ393270 QUV393270 RER393270 RON393270 RYJ393270 SIF393270 SSB393270 TBX393270 TLT393270 TVP393270 UFL393270 UPH393270 UZD393270 VIZ393270 VSV393270 WCR393270 WMN393270 WWJ393270 AB458806 JX458806 TT458806 ADP458806 ANL458806 AXH458806 BHD458806 BQZ458806 CAV458806 CKR458806 CUN458806 DEJ458806 DOF458806 DYB458806 EHX458806 ERT458806 FBP458806 FLL458806 FVH458806 GFD458806 GOZ458806 GYV458806 HIR458806 HSN458806 ICJ458806 IMF458806 IWB458806 JFX458806 JPT458806 JZP458806 KJL458806 KTH458806 LDD458806 LMZ458806 LWV458806 MGR458806 MQN458806 NAJ458806 NKF458806 NUB458806 ODX458806 ONT458806 OXP458806 PHL458806 PRH458806 QBD458806 QKZ458806 QUV458806 RER458806 RON458806 RYJ458806 SIF458806 SSB458806 TBX458806 TLT458806 TVP458806 UFL458806 UPH458806 UZD458806 VIZ458806 VSV458806 WCR458806 WMN458806 WWJ458806 AB524342 JX524342 TT524342 ADP524342 ANL524342 AXH524342 BHD524342 BQZ524342 CAV524342 CKR524342 CUN524342 DEJ524342 DOF524342 DYB524342 EHX524342 ERT524342 FBP524342 FLL524342 FVH524342 GFD524342 GOZ524342 GYV524342 HIR524342 HSN524342 ICJ524342 IMF524342 IWB524342 JFX524342 JPT524342 JZP524342 KJL524342 KTH524342 LDD524342 LMZ524342 LWV524342 MGR524342 MQN524342 NAJ524342 NKF524342 NUB524342 ODX524342 ONT524342 OXP524342 PHL524342 PRH524342 QBD524342 QKZ524342 QUV524342 RER524342 RON524342 RYJ524342 SIF524342 SSB524342 TBX524342 TLT524342 TVP524342 UFL524342 UPH524342 UZD524342 VIZ524342 VSV524342 WCR524342 WMN524342 WWJ524342 AB589878 JX589878 TT589878 ADP589878 ANL589878 AXH589878 BHD589878 BQZ589878 CAV589878 CKR589878 CUN589878 DEJ589878 DOF589878 DYB589878 EHX589878 ERT589878 FBP589878 FLL589878 FVH589878 GFD589878 GOZ589878 GYV589878 HIR589878 HSN589878 ICJ589878 IMF589878 IWB589878 JFX589878 JPT589878 JZP589878 KJL589878 KTH589878 LDD589878 LMZ589878 LWV589878 MGR589878 MQN589878 NAJ589878 NKF589878 NUB589878 ODX589878 ONT589878 OXP589878 PHL589878 PRH589878 QBD589878 QKZ589878 QUV589878 RER589878 RON589878 RYJ589878 SIF589878 SSB589878 TBX589878 TLT589878 TVP589878 UFL589878 UPH589878 UZD589878 VIZ589878 VSV589878 WCR589878 WMN589878 WWJ589878 AB655414 JX655414 TT655414 ADP655414 ANL655414 AXH655414 BHD655414 BQZ655414 CAV655414 CKR655414 CUN655414 DEJ655414 DOF655414 DYB655414 EHX655414 ERT655414 FBP655414 FLL655414 FVH655414 GFD655414 GOZ655414 GYV655414 HIR655414 HSN655414 ICJ655414 IMF655414 IWB655414 JFX655414 JPT655414 JZP655414 KJL655414 KTH655414 LDD655414 LMZ655414 LWV655414 MGR655414 MQN655414 NAJ655414 NKF655414 NUB655414 ODX655414 ONT655414 OXP655414 PHL655414 PRH655414 QBD655414 QKZ655414 QUV655414 RER655414 RON655414 RYJ655414 SIF655414 SSB655414 TBX655414 TLT655414 TVP655414 UFL655414 UPH655414 UZD655414 VIZ655414 VSV655414 WCR655414 WMN655414 WWJ655414 AB720950 JX720950 TT720950 ADP720950 ANL720950 AXH720950 BHD720950 BQZ720950 CAV720950 CKR720950 CUN720950 DEJ720950 DOF720950 DYB720950 EHX720950 ERT720950 FBP720950 FLL720950 FVH720950 GFD720950 GOZ720950 GYV720950 HIR720950 HSN720950 ICJ720950 IMF720950 IWB720950 JFX720950 JPT720950 JZP720950 KJL720950 KTH720950 LDD720950 LMZ720950 LWV720950 MGR720950 MQN720950 NAJ720950 NKF720950 NUB720950 ODX720950 ONT720950 OXP720950 PHL720950 PRH720950 QBD720950 QKZ720950 QUV720950 RER720950 RON720950 RYJ720950 SIF720950 SSB720950 TBX720950 TLT720950 TVP720950 UFL720950 UPH720950 UZD720950 VIZ720950 VSV720950 WCR720950 WMN720950 WWJ720950 AB786486 JX786486 TT786486 ADP786486 ANL786486 AXH786486 BHD786486 BQZ786486 CAV786486 CKR786486 CUN786486 DEJ786486 DOF786486 DYB786486 EHX786486 ERT786486 FBP786486 FLL786486 FVH786486 GFD786486 GOZ786486 GYV786486 HIR786486 HSN786486 ICJ786486 IMF786486 IWB786486 JFX786486 JPT786486 JZP786486 KJL786486 KTH786486 LDD786486 LMZ786486 LWV786486 MGR786486 MQN786486 NAJ786486 NKF786486 NUB786486 ODX786486 ONT786486 OXP786486 PHL786486 PRH786486 QBD786486 QKZ786486 QUV786486 RER786486 RON786486 RYJ786486 SIF786486 SSB786486 TBX786486 TLT786486 TVP786486 UFL786486 UPH786486 UZD786486 VIZ786486 VSV786486 WCR786486 WMN786486 WWJ786486 AB852022 JX852022 TT852022 ADP852022 ANL852022 AXH852022 BHD852022 BQZ852022 CAV852022 CKR852022 CUN852022 DEJ852022 DOF852022 DYB852022 EHX852022 ERT852022 FBP852022 FLL852022 FVH852022 GFD852022 GOZ852022 GYV852022 HIR852022 HSN852022 ICJ852022 IMF852022 IWB852022 JFX852022 JPT852022 JZP852022 KJL852022 KTH852022 LDD852022 LMZ852022 LWV852022 MGR852022 MQN852022 NAJ852022 NKF852022 NUB852022 ODX852022 ONT852022 OXP852022 PHL852022 PRH852022 QBD852022 QKZ852022 QUV852022 RER852022 RON852022 RYJ852022 SIF852022 SSB852022 TBX852022 TLT852022 TVP852022 UFL852022 UPH852022 UZD852022 VIZ852022 VSV852022 WCR852022 WMN852022 WWJ852022 AB917558 JX917558 TT917558 ADP917558 ANL917558 AXH917558 BHD917558 BQZ917558 CAV917558 CKR917558 CUN917558 DEJ917558 DOF917558 DYB917558 EHX917558 ERT917558 FBP917558 FLL917558 FVH917558 GFD917558 GOZ917558 GYV917558 HIR917558 HSN917558 ICJ917558 IMF917558 IWB917558 JFX917558 JPT917558 JZP917558 KJL917558 KTH917558 LDD917558 LMZ917558 LWV917558 MGR917558 MQN917558 NAJ917558 NKF917558 NUB917558 ODX917558 ONT917558 OXP917558 PHL917558 PRH917558 QBD917558 QKZ917558 QUV917558 RER917558 RON917558 RYJ917558 SIF917558 SSB917558 TBX917558 TLT917558 TVP917558 UFL917558 UPH917558 UZD917558 VIZ917558 VSV917558 WCR917558 WMN917558 WWJ917558 AB983094 JX983094 TT983094 ADP983094 ANL983094 AXH983094 BHD983094 BQZ983094 CAV983094 CKR983094 CUN983094 DEJ983094 DOF983094 DYB983094 EHX983094 ERT983094 FBP983094 FLL983094 FVH983094 GFD983094 GOZ983094 GYV983094 HIR983094 HSN983094 ICJ983094 IMF983094 IWB983094 JFX983094 JPT983094 JZP983094 KJL983094 KTH983094 LDD983094 LMZ983094 LWV983094 MGR983094 MQN983094 NAJ983094 NKF983094 NUB983094 ODX983094 ONT983094 OXP983094 PHL983094 PRH983094 QBD983094 QKZ983094 QUV983094 RER983094 RON983094 RYJ983094 SIF983094 SSB983094 TBX983094 TLT983094 TVP983094 UFL983094 UPH983094 UZD983094 VIZ983094 VSV983094 WCR983094 WMN983094 WWJ983094 AD54 JZ54 TV54 ADR54 ANN54 AXJ54 BHF54 BRB54 CAX54 CKT54 CUP54 DEL54 DOH54 DYD54 EHZ54 ERV54 FBR54 FLN54 FVJ54 GFF54 GPB54 GYX54 HIT54 HSP54 ICL54 IMH54 IWD54 JFZ54 JPV54 JZR54 KJN54 KTJ54 LDF54 LNB54 LWX54 MGT54 MQP54 NAL54 NKH54 NUD54 ODZ54 ONV54 OXR54 PHN54 PRJ54 QBF54 QLB54 QUX54 RET54 ROP54 RYL54 SIH54 SSD54 TBZ54 TLV54 TVR54 UFN54 UPJ54 UZF54 VJB54 VSX54 WCT54 WMP54 WWL54 AD65590 JZ65590 TV65590 ADR65590 ANN65590 AXJ65590 BHF65590 BRB65590 CAX65590 CKT65590 CUP65590 DEL65590 DOH65590 DYD65590 EHZ65590 ERV65590 FBR65590 FLN65590 FVJ65590 GFF65590 GPB65590 GYX65590 HIT65590 HSP65590 ICL65590 IMH65590 IWD65590 JFZ65590 JPV65590 JZR65590 KJN65590 KTJ65590 LDF65590 LNB65590 LWX65590 MGT65590 MQP65590 NAL65590 NKH65590 NUD65590 ODZ65590 ONV65590 OXR65590 PHN65590 PRJ65590 QBF65590 QLB65590 QUX65590 RET65590 ROP65590 RYL65590 SIH65590 SSD65590 TBZ65590 TLV65590 TVR65590 UFN65590 UPJ65590 UZF65590 VJB65590 VSX65590 WCT65590 WMP65590 WWL65590 AD131126 JZ131126 TV131126 ADR131126 ANN131126 AXJ131126 BHF131126 BRB131126 CAX131126 CKT131126 CUP131126 DEL131126 DOH131126 DYD131126 EHZ131126 ERV131126 FBR131126 FLN131126 FVJ131126 GFF131126 GPB131126 GYX131126 HIT131126 HSP131126 ICL131126 IMH131126 IWD131126 JFZ131126 JPV131126 JZR131126 KJN131126 KTJ131126 LDF131126 LNB131126 LWX131126 MGT131126 MQP131126 NAL131126 NKH131126 NUD131126 ODZ131126 ONV131126 OXR131126 PHN131126 PRJ131126 QBF131126 QLB131126 QUX131126 RET131126 ROP131126 RYL131126 SIH131126 SSD131126 TBZ131126 TLV131126 TVR131126 UFN131126 UPJ131126 UZF131126 VJB131126 VSX131126 WCT131126 WMP131126 WWL131126 AD196662 JZ196662 TV196662 ADR196662 ANN196662 AXJ196662 BHF196662 BRB196662 CAX196662 CKT196662 CUP196662 DEL196662 DOH196662 DYD196662 EHZ196662 ERV196662 FBR196662 FLN196662 FVJ196662 GFF196662 GPB196662 GYX196662 HIT196662 HSP196662 ICL196662 IMH196662 IWD196662 JFZ196662 JPV196662 JZR196662 KJN196662 KTJ196662 LDF196662 LNB196662 LWX196662 MGT196662 MQP196662 NAL196662 NKH196662 NUD196662 ODZ196662 ONV196662 OXR196662 PHN196662 PRJ196662 QBF196662 QLB196662 QUX196662 RET196662 ROP196662 RYL196662 SIH196662 SSD196662 TBZ196662 TLV196662 TVR196662 UFN196662 UPJ196662 UZF196662 VJB196662 VSX196662 WCT196662 WMP196662 WWL196662 AD262198 JZ262198 TV262198 ADR262198 ANN262198 AXJ262198 BHF262198 BRB262198 CAX262198 CKT262198 CUP262198 DEL262198 DOH262198 DYD262198 EHZ262198 ERV262198 FBR262198 FLN262198 FVJ262198 GFF262198 GPB262198 GYX262198 HIT262198 HSP262198 ICL262198 IMH262198 IWD262198 JFZ262198 JPV262198 JZR262198 KJN262198 KTJ262198 LDF262198 LNB262198 LWX262198 MGT262198 MQP262198 NAL262198 NKH262198 NUD262198 ODZ262198 ONV262198 OXR262198 PHN262198 PRJ262198 QBF262198 QLB262198 QUX262198 RET262198 ROP262198 RYL262198 SIH262198 SSD262198 TBZ262198 TLV262198 TVR262198 UFN262198 UPJ262198 UZF262198 VJB262198 VSX262198 WCT262198 WMP262198 WWL262198 AD327734 JZ327734 TV327734 ADR327734 ANN327734 AXJ327734 BHF327734 BRB327734 CAX327734 CKT327734 CUP327734 DEL327734 DOH327734 DYD327734 EHZ327734 ERV327734 FBR327734 FLN327734 FVJ327734 GFF327734 GPB327734 GYX327734 HIT327734 HSP327734 ICL327734 IMH327734 IWD327734 JFZ327734 JPV327734 JZR327734 KJN327734 KTJ327734 LDF327734 LNB327734 LWX327734 MGT327734 MQP327734 NAL327734 NKH327734 NUD327734 ODZ327734 ONV327734 OXR327734 PHN327734 PRJ327734 QBF327734 QLB327734 QUX327734 RET327734 ROP327734 RYL327734 SIH327734 SSD327734 TBZ327734 TLV327734 TVR327734 UFN327734 UPJ327734 UZF327734 VJB327734 VSX327734 WCT327734 WMP327734 WWL327734 AD393270 JZ393270 TV393270 ADR393270 ANN393270 AXJ393270 BHF393270 BRB393270 CAX393270 CKT393270 CUP393270 DEL393270 DOH393270 DYD393270 EHZ393270 ERV393270 FBR393270 FLN393270 FVJ393270 GFF393270 GPB393270 GYX393270 HIT393270 HSP393270 ICL393270 IMH393270 IWD393270 JFZ393270 JPV393270 JZR393270 KJN393270 KTJ393270 LDF393270 LNB393270 LWX393270 MGT393270 MQP393270 NAL393270 NKH393270 NUD393270 ODZ393270 ONV393270 OXR393270 PHN393270 PRJ393270 QBF393270 QLB393270 QUX393270 RET393270 ROP393270 RYL393270 SIH393270 SSD393270 TBZ393270 TLV393270 TVR393270 UFN393270 UPJ393270 UZF393270 VJB393270 VSX393270 WCT393270 WMP393270 WWL393270 AD458806 JZ458806 TV458806 ADR458806 ANN458806 AXJ458806 BHF458806 BRB458806 CAX458806 CKT458806 CUP458806 DEL458806 DOH458806 DYD458806 EHZ458806 ERV458806 FBR458806 FLN458806 FVJ458806 GFF458806 GPB458806 GYX458806 HIT458806 HSP458806 ICL458806 IMH458806 IWD458806 JFZ458806 JPV458806 JZR458806 KJN458806 KTJ458806 LDF458806 LNB458806 LWX458806 MGT458806 MQP458806 NAL458806 NKH458806 NUD458806 ODZ458806 ONV458806 OXR458806 PHN458806 PRJ458806 QBF458806 QLB458806 QUX458806 RET458806 ROP458806 RYL458806 SIH458806 SSD458806 TBZ458806 TLV458806 TVR458806 UFN458806 UPJ458806 UZF458806 VJB458806 VSX458806 WCT458806 WMP458806 WWL458806 AD524342 JZ524342 TV524342 ADR524342 ANN524342 AXJ524342 BHF524342 BRB524342 CAX524342 CKT524342 CUP524342 DEL524342 DOH524342 DYD524342 EHZ524342 ERV524342 FBR524342 FLN524342 FVJ524342 GFF524342 GPB524342 GYX524342 HIT524342 HSP524342 ICL524342 IMH524342 IWD524342 JFZ524342 JPV524342 JZR524342 KJN524342 KTJ524342 LDF524342 LNB524342 LWX524342 MGT524342 MQP524342 NAL524342 NKH524342 NUD524342 ODZ524342 ONV524342 OXR524342 PHN524342 PRJ524342 QBF524342 QLB524342 QUX524342 RET524342 ROP524342 RYL524342 SIH524342 SSD524342 TBZ524342 TLV524342 TVR524342 UFN524342 UPJ524342 UZF524342 VJB524342 VSX524342 WCT524342 WMP524342 WWL524342 AD589878 JZ589878 TV589878 ADR589878 ANN589878 AXJ589878 BHF589878 BRB589878 CAX589878 CKT589878 CUP589878 DEL589878 DOH589878 DYD589878 EHZ589878 ERV589878 FBR589878 FLN589878 FVJ589878 GFF589878 GPB589878 GYX589878 HIT589878 HSP589878 ICL589878 IMH589878 IWD589878 JFZ589878 JPV589878 JZR589878 KJN589878 KTJ589878 LDF589878 LNB589878 LWX589878 MGT589878 MQP589878 NAL589878 NKH589878 NUD589878 ODZ589878 ONV589878 OXR589878 PHN589878 PRJ589878 QBF589878 QLB589878 QUX589878 RET589878 ROP589878 RYL589878 SIH589878 SSD589878 TBZ589878 TLV589878 TVR589878 UFN589878 UPJ589878 UZF589878 VJB589878 VSX589878 WCT589878 WMP589878 WWL589878 AD655414 JZ655414 TV655414 ADR655414 ANN655414 AXJ655414 BHF655414 BRB655414 CAX655414 CKT655414 CUP655414 DEL655414 DOH655414 DYD655414 EHZ655414 ERV655414 FBR655414 FLN655414 FVJ655414 GFF655414 GPB655414 GYX655414 HIT655414 HSP655414 ICL655414 IMH655414 IWD655414 JFZ655414 JPV655414 JZR655414 KJN655414 KTJ655414 LDF655414 LNB655414 LWX655414 MGT655414 MQP655414 NAL655414 NKH655414 NUD655414 ODZ655414 ONV655414 OXR655414 PHN655414 PRJ655414 QBF655414 QLB655414 QUX655414 RET655414 ROP655414 RYL655414 SIH655414 SSD655414 TBZ655414 TLV655414 TVR655414 UFN655414 UPJ655414 UZF655414 VJB655414 VSX655414 WCT655414 WMP655414 WWL655414 AD720950 JZ720950 TV720950 ADR720950 ANN720950 AXJ720950 BHF720950 BRB720950 CAX720950 CKT720950 CUP720950 DEL720950 DOH720950 DYD720950 EHZ720950 ERV720950 FBR720950 FLN720950 FVJ720950 GFF720950 GPB720950 GYX720950 HIT720950 HSP720950 ICL720950 IMH720950 IWD720950 JFZ720950 JPV720950 JZR720950 KJN720950 KTJ720950 LDF720950 LNB720950 LWX720950 MGT720950 MQP720950 NAL720950 NKH720950 NUD720950 ODZ720950 ONV720950 OXR720950 PHN720950 PRJ720950 QBF720950 QLB720950 QUX720950 RET720950 ROP720950 RYL720950 SIH720950 SSD720950 TBZ720950 TLV720950 TVR720950 UFN720950 UPJ720950 UZF720950 VJB720950 VSX720950 WCT720950 WMP720950 WWL720950 AD786486 JZ786486 TV786486 ADR786486 ANN786486 AXJ786486 BHF786486 BRB786486 CAX786486 CKT786486 CUP786486 DEL786486 DOH786486 DYD786486 EHZ786486 ERV786486 FBR786486 FLN786486 FVJ786486 GFF786486 GPB786486 GYX786486 HIT786486 HSP786486 ICL786486 IMH786486 IWD786486 JFZ786486 JPV786486 JZR786486 KJN786486 KTJ786486 LDF786486 LNB786486 LWX786486 MGT786486 MQP786486 NAL786486 NKH786486 NUD786486 ODZ786486 ONV786486 OXR786486 PHN786486 PRJ786486 QBF786486 QLB786486 QUX786486 RET786486 ROP786486 RYL786486 SIH786486 SSD786486 TBZ786486 TLV786486 TVR786486 UFN786486 UPJ786486 UZF786486 VJB786486 VSX786486 WCT786486 WMP786486 WWL786486 AD852022 JZ852022 TV852022 ADR852022 ANN852022 AXJ852022 BHF852022 BRB852022 CAX852022 CKT852022 CUP852022 DEL852022 DOH852022 DYD852022 EHZ852022 ERV852022 FBR852022 FLN852022 FVJ852022 GFF852022 GPB852022 GYX852022 HIT852022 HSP852022 ICL852022 IMH852022 IWD852022 JFZ852022 JPV852022 JZR852022 KJN852022 KTJ852022 LDF852022 LNB852022 LWX852022 MGT852022 MQP852022 NAL852022 NKH852022 NUD852022 ODZ852022 ONV852022 OXR852022 PHN852022 PRJ852022 QBF852022 QLB852022 QUX852022 RET852022 ROP852022 RYL852022 SIH852022 SSD852022 TBZ852022 TLV852022 TVR852022 UFN852022 UPJ852022 UZF852022 VJB852022 VSX852022 WCT852022 WMP852022 WWL852022 AD917558 JZ917558 TV917558 ADR917558 ANN917558 AXJ917558 BHF917558 BRB917558 CAX917558 CKT917558 CUP917558 DEL917558 DOH917558 DYD917558 EHZ917558 ERV917558 FBR917558 FLN917558 FVJ917558 GFF917558 GPB917558 GYX917558 HIT917558 HSP917558 ICL917558 IMH917558 IWD917558 JFZ917558 JPV917558 JZR917558 KJN917558 KTJ917558 LDF917558 LNB917558 LWX917558 MGT917558 MQP917558 NAL917558 NKH917558 NUD917558 ODZ917558 ONV917558 OXR917558 PHN917558 PRJ917558 QBF917558 QLB917558 QUX917558 RET917558 ROP917558 RYL917558 SIH917558 SSD917558 TBZ917558 TLV917558 TVR917558 UFN917558 UPJ917558 UZF917558 VJB917558 VSX917558 WCT917558 WMP917558 WWL917558 AD983094 JZ983094 TV983094 ADR983094 ANN983094 AXJ983094 BHF983094 BRB983094 CAX983094 CKT983094 CUP983094 DEL983094 DOH983094 DYD983094 EHZ983094 ERV983094 FBR983094 FLN983094 FVJ983094 GFF983094 GPB983094 GYX983094 HIT983094 HSP983094 ICL983094 IMH983094 IWD983094 JFZ983094 JPV983094 JZR983094 KJN983094 KTJ983094 LDF983094 LNB983094 LWX983094 MGT983094 MQP983094 NAL983094 NKH983094 NUD983094 ODZ983094 ONV983094 OXR983094 PHN983094 PRJ983094 QBF983094 QLB983094 QUX983094 RET983094 ROP983094 RYL983094 SIH983094 SSD983094 TBZ983094 TLV983094 TVR983094 UFN983094 UPJ983094 UZF983094 VJB983094 VSX983094 WCT983094 WMP983094 WWL983094 R10:R15 JN10:JN15 TJ10:TJ15 ADF10:ADF15 ANB10:ANB15 AWX10:AWX15 BGT10:BGT15 BQP10:BQP15 CAL10:CAL15 CKH10:CKH15 CUD10:CUD15 DDZ10:DDZ15 DNV10:DNV15 DXR10:DXR15 EHN10:EHN15 ERJ10:ERJ15 FBF10:FBF15 FLB10:FLB15 FUX10:FUX15 GET10:GET15 GOP10:GOP15 GYL10:GYL15 HIH10:HIH15 HSD10:HSD15 IBZ10:IBZ15 ILV10:ILV15 IVR10:IVR15 JFN10:JFN15 JPJ10:JPJ15 JZF10:JZF15 KJB10:KJB15 KSX10:KSX15 LCT10:LCT15 LMP10:LMP15 LWL10:LWL15 MGH10:MGH15 MQD10:MQD15 MZZ10:MZZ15 NJV10:NJV15 NTR10:NTR15 ODN10:ODN15 ONJ10:ONJ15 OXF10:OXF15 PHB10:PHB15 PQX10:PQX15 QAT10:QAT15 QKP10:QKP15 QUL10:QUL15 REH10:REH15 ROD10:ROD15 RXZ10:RXZ15 SHV10:SHV15 SRR10:SRR15 TBN10:TBN15 TLJ10:TLJ15 TVF10:TVF15 UFB10:UFB15 UOX10:UOX15 UYT10:UYT15 VIP10:VIP15 VSL10:VSL15 WCH10:WCH15 WMD10:WMD15 WVZ10:WVZ15 R65546:R65551 JN65546:JN65551 TJ65546:TJ65551 ADF65546:ADF65551 ANB65546:ANB65551 AWX65546:AWX65551 BGT65546:BGT65551 BQP65546:BQP65551 CAL65546:CAL65551 CKH65546:CKH65551 CUD65546:CUD65551 DDZ65546:DDZ65551 DNV65546:DNV65551 DXR65546:DXR65551 EHN65546:EHN65551 ERJ65546:ERJ65551 FBF65546:FBF65551 FLB65546:FLB65551 FUX65546:FUX65551 GET65546:GET65551 GOP65546:GOP65551 GYL65546:GYL65551 HIH65546:HIH65551 HSD65546:HSD65551 IBZ65546:IBZ65551 ILV65546:ILV65551 IVR65546:IVR65551 JFN65546:JFN65551 JPJ65546:JPJ65551 JZF65546:JZF65551 KJB65546:KJB65551 KSX65546:KSX65551 LCT65546:LCT65551 LMP65546:LMP65551 LWL65546:LWL65551 MGH65546:MGH65551 MQD65546:MQD65551 MZZ65546:MZZ65551 NJV65546:NJV65551 NTR65546:NTR65551 ODN65546:ODN65551 ONJ65546:ONJ65551 OXF65546:OXF65551 PHB65546:PHB65551 PQX65546:PQX65551 QAT65546:QAT65551 QKP65546:QKP65551 QUL65546:QUL65551 REH65546:REH65551 ROD65546:ROD65551 RXZ65546:RXZ65551 SHV65546:SHV65551 SRR65546:SRR65551 TBN65546:TBN65551 TLJ65546:TLJ65551 TVF65546:TVF65551 UFB65546:UFB65551 UOX65546:UOX65551 UYT65546:UYT65551 VIP65546:VIP65551 VSL65546:VSL65551 WCH65546:WCH65551 WMD65546:WMD65551 WVZ65546:WVZ65551 R131082:R131087 JN131082:JN131087 TJ131082:TJ131087 ADF131082:ADF131087 ANB131082:ANB131087 AWX131082:AWX131087 BGT131082:BGT131087 BQP131082:BQP131087 CAL131082:CAL131087 CKH131082:CKH131087 CUD131082:CUD131087 DDZ131082:DDZ131087 DNV131082:DNV131087 DXR131082:DXR131087 EHN131082:EHN131087 ERJ131082:ERJ131087 FBF131082:FBF131087 FLB131082:FLB131087 FUX131082:FUX131087 GET131082:GET131087 GOP131082:GOP131087 GYL131082:GYL131087 HIH131082:HIH131087 HSD131082:HSD131087 IBZ131082:IBZ131087 ILV131082:ILV131087 IVR131082:IVR131087 JFN131082:JFN131087 JPJ131082:JPJ131087 JZF131082:JZF131087 KJB131082:KJB131087 KSX131082:KSX131087 LCT131082:LCT131087 LMP131082:LMP131087 LWL131082:LWL131087 MGH131082:MGH131087 MQD131082:MQD131087 MZZ131082:MZZ131087 NJV131082:NJV131087 NTR131082:NTR131087 ODN131082:ODN131087 ONJ131082:ONJ131087 OXF131082:OXF131087 PHB131082:PHB131087 PQX131082:PQX131087 QAT131082:QAT131087 QKP131082:QKP131087 QUL131082:QUL131087 REH131082:REH131087 ROD131082:ROD131087 RXZ131082:RXZ131087 SHV131082:SHV131087 SRR131082:SRR131087 TBN131082:TBN131087 TLJ131082:TLJ131087 TVF131082:TVF131087 UFB131082:UFB131087 UOX131082:UOX131087 UYT131082:UYT131087 VIP131082:VIP131087 VSL131082:VSL131087 WCH131082:WCH131087 WMD131082:WMD131087 WVZ131082:WVZ131087 R196618:R196623 JN196618:JN196623 TJ196618:TJ196623 ADF196618:ADF196623 ANB196618:ANB196623 AWX196618:AWX196623 BGT196618:BGT196623 BQP196618:BQP196623 CAL196618:CAL196623 CKH196618:CKH196623 CUD196618:CUD196623 DDZ196618:DDZ196623 DNV196618:DNV196623 DXR196618:DXR196623 EHN196618:EHN196623 ERJ196618:ERJ196623 FBF196618:FBF196623 FLB196618:FLB196623 FUX196618:FUX196623 GET196618:GET196623 GOP196618:GOP196623 GYL196618:GYL196623 HIH196618:HIH196623 HSD196618:HSD196623 IBZ196618:IBZ196623 ILV196618:ILV196623 IVR196618:IVR196623 JFN196618:JFN196623 JPJ196618:JPJ196623 JZF196618:JZF196623 KJB196618:KJB196623 KSX196618:KSX196623 LCT196618:LCT196623 LMP196618:LMP196623 LWL196618:LWL196623 MGH196618:MGH196623 MQD196618:MQD196623 MZZ196618:MZZ196623 NJV196618:NJV196623 NTR196618:NTR196623 ODN196618:ODN196623 ONJ196618:ONJ196623 OXF196618:OXF196623 PHB196618:PHB196623 PQX196618:PQX196623 QAT196618:QAT196623 QKP196618:QKP196623 QUL196618:QUL196623 REH196618:REH196623 ROD196618:ROD196623 RXZ196618:RXZ196623 SHV196618:SHV196623 SRR196618:SRR196623 TBN196618:TBN196623 TLJ196618:TLJ196623 TVF196618:TVF196623 UFB196618:UFB196623 UOX196618:UOX196623 UYT196618:UYT196623 VIP196618:VIP196623 VSL196618:VSL196623 WCH196618:WCH196623 WMD196618:WMD196623 WVZ196618:WVZ196623 R262154:R262159 JN262154:JN262159 TJ262154:TJ262159 ADF262154:ADF262159 ANB262154:ANB262159 AWX262154:AWX262159 BGT262154:BGT262159 BQP262154:BQP262159 CAL262154:CAL262159 CKH262154:CKH262159 CUD262154:CUD262159 DDZ262154:DDZ262159 DNV262154:DNV262159 DXR262154:DXR262159 EHN262154:EHN262159 ERJ262154:ERJ262159 FBF262154:FBF262159 FLB262154:FLB262159 FUX262154:FUX262159 GET262154:GET262159 GOP262154:GOP262159 GYL262154:GYL262159 HIH262154:HIH262159 HSD262154:HSD262159 IBZ262154:IBZ262159 ILV262154:ILV262159 IVR262154:IVR262159 JFN262154:JFN262159 JPJ262154:JPJ262159 JZF262154:JZF262159 KJB262154:KJB262159 KSX262154:KSX262159 LCT262154:LCT262159 LMP262154:LMP262159 LWL262154:LWL262159 MGH262154:MGH262159 MQD262154:MQD262159 MZZ262154:MZZ262159 NJV262154:NJV262159 NTR262154:NTR262159 ODN262154:ODN262159 ONJ262154:ONJ262159 OXF262154:OXF262159 PHB262154:PHB262159 PQX262154:PQX262159 QAT262154:QAT262159 QKP262154:QKP262159 QUL262154:QUL262159 REH262154:REH262159 ROD262154:ROD262159 RXZ262154:RXZ262159 SHV262154:SHV262159 SRR262154:SRR262159 TBN262154:TBN262159 TLJ262154:TLJ262159 TVF262154:TVF262159 UFB262154:UFB262159 UOX262154:UOX262159 UYT262154:UYT262159 VIP262154:VIP262159 VSL262154:VSL262159 WCH262154:WCH262159 WMD262154:WMD262159 WVZ262154:WVZ262159 R327690:R327695 JN327690:JN327695 TJ327690:TJ327695 ADF327690:ADF327695 ANB327690:ANB327695 AWX327690:AWX327695 BGT327690:BGT327695 BQP327690:BQP327695 CAL327690:CAL327695 CKH327690:CKH327695 CUD327690:CUD327695 DDZ327690:DDZ327695 DNV327690:DNV327695 DXR327690:DXR327695 EHN327690:EHN327695 ERJ327690:ERJ327695 FBF327690:FBF327695 FLB327690:FLB327695 FUX327690:FUX327695 GET327690:GET327695 GOP327690:GOP327695 GYL327690:GYL327695 HIH327690:HIH327695 HSD327690:HSD327695 IBZ327690:IBZ327695 ILV327690:ILV327695 IVR327690:IVR327695 JFN327690:JFN327695 JPJ327690:JPJ327695 JZF327690:JZF327695 KJB327690:KJB327695 KSX327690:KSX327695 LCT327690:LCT327695 LMP327690:LMP327695 LWL327690:LWL327695 MGH327690:MGH327695 MQD327690:MQD327695 MZZ327690:MZZ327695 NJV327690:NJV327695 NTR327690:NTR327695 ODN327690:ODN327695 ONJ327690:ONJ327695 OXF327690:OXF327695 PHB327690:PHB327695 PQX327690:PQX327695 QAT327690:QAT327695 QKP327690:QKP327695 QUL327690:QUL327695 REH327690:REH327695 ROD327690:ROD327695 RXZ327690:RXZ327695 SHV327690:SHV327695 SRR327690:SRR327695 TBN327690:TBN327695 TLJ327690:TLJ327695 TVF327690:TVF327695 UFB327690:UFB327695 UOX327690:UOX327695 UYT327690:UYT327695 VIP327690:VIP327695 VSL327690:VSL327695 WCH327690:WCH327695 WMD327690:WMD327695 WVZ327690:WVZ327695 R393226:R393231 JN393226:JN393231 TJ393226:TJ393231 ADF393226:ADF393231 ANB393226:ANB393231 AWX393226:AWX393231 BGT393226:BGT393231 BQP393226:BQP393231 CAL393226:CAL393231 CKH393226:CKH393231 CUD393226:CUD393231 DDZ393226:DDZ393231 DNV393226:DNV393231 DXR393226:DXR393231 EHN393226:EHN393231 ERJ393226:ERJ393231 FBF393226:FBF393231 FLB393226:FLB393231 FUX393226:FUX393231 GET393226:GET393231 GOP393226:GOP393231 GYL393226:GYL393231 HIH393226:HIH393231 HSD393226:HSD393231 IBZ393226:IBZ393231 ILV393226:ILV393231 IVR393226:IVR393231 JFN393226:JFN393231 JPJ393226:JPJ393231 JZF393226:JZF393231 KJB393226:KJB393231 KSX393226:KSX393231 LCT393226:LCT393231 LMP393226:LMP393231 LWL393226:LWL393231 MGH393226:MGH393231 MQD393226:MQD393231 MZZ393226:MZZ393231 NJV393226:NJV393231 NTR393226:NTR393231 ODN393226:ODN393231 ONJ393226:ONJ393231 OXF393226:OXF393231 PHB393226:PHB393231 PQX393226:PQX393231 QAT393226:QAT393231 QKP393226:QKP393231 QUL393226:QUL393231 REH393226:REH393231 ROD393226:ROD393231 RXZ393226:RXZ393231 SHV393226:SHV393231 SRR393226:SRR393231 TBN393226:TBN393231 TLJ393226:TLJ393231 TVF393226:TVF393231 UFB393226:UFB393231 UOX393226:UOX393231 UYT393226:UYT393231 VIP393226:VIP393231 VSL393226:VSL393231 WCH393226:WCH393231 WMD393226:WMD393231 WVZ393226:WVZ393231 R458762:R458767 JN458762:JN458767 TJ458762:TJ458767 ADF458762:ADF458767 ANB458762:ANB458767 AWX458762:AWX458767 BGT458762:BGT458767 BQP458762:BQP458767 CAL458762:CAL458767 CKH458762:CKH458767 CUD458762:CUD458767 DDZ458762:DDZ458767 DNV458762:DNV458767 DXR458762:DXR458767 EHN458762:EHN458767 ERJ458762:ERJ458767 FBF458762:FBF458767 FLB458762:FLB458767 FUX458762:FUX458767 GET458762:GET458767 GOP458762:GOP458767 GYL458762:GYL458767 HIH458762:HIH458767 HSD458762:HSD458767 IBZ458762:IBZ458767 ILV458762:ILV458767 IVR458762:IVR458767 JFN458762:JFN458767 JPJ458762:JPJ458767 JZF458762:JZF458767 KJB458762:KJB458767 KSX458762:KSX458767 LCT458762:LCT458767 LMP458762:LMP458767 LWL458762:LWL458767 MGH458762:MGH458767 MQD458762:MQD458767 MZZ458762:MZZ458767 NJV458762:NJV458767 NTR458762:NTR458767 ODN458762:ODN458767 ONJ458762:ONJ458767 OXF458762:OXF458767 PHB458762:PHB458767 PQX458762:PQX458767 QAT458762:QAT458767 QKP458762:QKP458767 QUL458762:QUL458767 REH458762:REH458767 ROD458762:ROD458767 RXZ458762:RXZ458767 SHV458762:SHV458767 SRR458762:SRR458767 TBN458762:TBN458767 TLJ458762:TLJ458767 TVF458762:TVF458767 UFB458762:UFB458767 UOX458762:UOX458767 UYT458762:UYT458767 VIP458762:VIP458767 VSL458762:VSL458767 WCH458762:WCH458767 WMD458762:WMD458767 WVZ458762:WVZ458767 R524298:R524303 JN524298:JN524303 TJ524298:TJ524303 ADF524298:ADF524303 ANB524298:ANB524303 AWX524298:AWX524303 BGT524298:BGT524303 BQP524298:BQP524303 CAL524298:CAL524303 CKH524298:CKH524303 CUD524298:CUD524303 DDZ524298:DDZ524303 DNV524298:DNV524303 DXR524298:DXR524303 EHN524298:EHN524303 ERJ524298:ERJ524303 FBF524298:FBF524303 FLB524298:FLB524303 FUX524298:FUX524303 GET524298:GET524303 GOP524298:GOP524303 GYL524298:GYL524303 HIH524298:HIH524303 HSD524298:HSD524303 IBZ524298:IBZ524303 ILV524298:ILV524303 IVR524298:IVR524303 JFN524298:JFN524303 JPJ524298:JPJ524303 JZF524298:JZF524303 KJB524298:KJB524303 KSX524298:KSX524303 LCT524298:LCT524303 LMP524298:LMP524303 LWL524298:LWL524303 MGH524298:MGH524303 MQD524298:MQD524303 MZZ524298:MZZ524303 NJV524298:NJV524303 NTR524298:NTR524303 ODN524298:ODN524303 ONJ524298:ONJ524303 OXF524298:OXF524303 PHB524298:PHB524303 PQX524298:PQX524303 QAT524298:QAT524303 QKP524298:QKP524303 QUL524298:QUL524303 REH524298:REH524303 ROD524298:ROD524303 RXZ524298:RXZ524303 SHV524298:SHV524303 SRR524298:SRR524303 TBN524298:TBN524303 TLJ524298:TLJ524303 TVF524298:TVF524303 UFB524298:UFB524303 UOX524298:UOX524303 UYT524298:UYT524303 VIP524298:VIP524303 VSL524298:VSL524303 WCH524298:WCH524303 WMD524298:WMD524303 WVZ524298:WVZ524303 R589834:R589839 JN589834:JN589839 TJ589834:TJ589839 ADF589834:ADF589839 ANB589834:ANB589839 AWX589834:AWX589839 BGT589834:BGT589839 BQP589834:BQP589839 CAL589834:CAL589839 CKH589834:CKH589839 CUD589834:CUD589839 DDZ589834:DDZ589839 DNV589834:DNV589839 DXR589834:DXR589839 EHN589834:EHN589839 ERJ589834:ERJ589839 FBF589834:FBF589839 FLB589834:FLB589839 FUX589834:FUX589839 GET589834:GET589839 GOP589834:GOP589839 GYL589834:GYL589839 HIH589834:HIH589839 HSD589834:HSD589839 IBZ589834:IBZ589839 ILV589834:ILV589839 IVR589834:IVR589839 JFN589834:JFN589839 JPJ589834:JPJ589839 JZF589834:JZF589839 KJB589834:KJB589839 KSX589834:KSX589839 LCT589834:LCT589839 LMP589834:LMP589839 LWL589834:LWL589839 MGH589834:MGH589839 MQD589834:MQD589839 MZZ589834:MZZ589839 NJV589834:NJV589839 NTR589834:NTR589839 ODN589834:ODN589839 ONJ589834:ONJ589839 OXF589834:OXF589839 PHB589834:PHB589839 PQX589834:PQX589839 QAT589834:QAT589839 QKP589834:QKP589839 QUL589834:QUL589839 REH589834:REH589839 ROD589834:ROD589839 RXZ589834:RXZ589839 SHV589834:SHV589839 SRR589834:SRR589839 TBN589834:TBN589839 TLJ589834:TLJ589839 TVF589834:TVF589839 UFB589834:UFB589839 UOX589834:UOX589839 UYT589834:UYT589839 VIP589834:VIP589839 VSL589834:VSL589839 WCH589834:WCH589839 WMD589834:WMD589839 WVZ589834:WVZ589839 R655370:R655375 JN655370:JN655375 TJ655370:TJ655375 ADF655370:ADF655375 ANB655370:ANB655375 AWX655370:AWX655375 BGT655370:BGT655375 BQP655370:BQP655375 CAL655370:CAL655375 CKH655370:CKH655375 CUD655370:CUD655375 DDZ655370:DDZ655375 DNV655370:DNV655375 DXR655370:DXR655375 EHN655370:EHN655375 ERJ655370:ERJ655375 FBF655370:FBF655375 FLB655370:FLB655375 FUX655370:FUX655375 GET655370:GET655375 GOP655370:GOP655375 GYL655370:GYL655375 HIH655370:HIH655375 HSD655370:HSD655375 IBZ655370:IBZ655375 ILV655370:ILV655375 IVR655370:IVR655375 JFN655370:JFN655375 JPJ655370:JPJ655375 JZF655370:JZF655375 KJB655370:KJB655375 KSX655370:KSX655375 LCT655370:LCT655375 LMP655370:LMP655375 LWL655370:LWL655375 MGH655370:MGH655375 MQD655370:MQD655375 MZZ655370:MZZ655375 NJV655370:NJV655375 NTR655370:NTR655375 ODN655370:ODN655375 ONJ655370:ONJ655375 OXF655370:OXF655375 PHB655370:PHB655375 PQX655370:PQX655375 QAT655370:QAT655375 QKP655370:QKP655375 QUL655370:QUL655375 REH655370:REH655375 ROD655370:ROD655375 RXZ655370:RXZ655375 SHV655370:SHV655375 SRR655370:SRR655375 TBN655370:TBN655375 TLJ655370:TLJ655375 TVF655370:TVF655375 UFB655370:UFB655375 UOX655370:UOX655375 UYT655370:UYT655375 VIP655370:VIP655375 VSL655370:VSL655375 WCH655370:WCH655375 WMD655370:WMD655375 WVZ655370:WVZ655375 R720906:R720911 JN720906:JN720911 TJ720906:TJ720911 ADF720906:ADF720911 ANB720906:ANB720911 AWX720906:AWX720911 BGT720906:BGT720911 BQP720906:BQP720911 CAL720906:CAL720911 CKH720906:CKH720911 CUD720906:CUD720911 DDZ720906:DDZ720911 DNV720906:DNV720911 DXR720906:DXR720911 EHN720906:EHN720911 ERJ720906:ERJ720911 FBF720906:FBF720911 FLB720906:FLB720911 FUX720906:FUX720911 GET720906:GET720911 GOP720906:GOP720911 GYL720906:GYL720911 HIH720906:HIH720911 HSD720906:HSD720911 IBZ720906:IBZ720911 ILV720906:ILV720911 IVR720906:IVR720911 JFN720906:JFN720911 JPJ720906:JPJ720911 JZF720906:JZF720911 KJB720906:KJB720911 KSX720906:KSX720911 LCT720906:LCT720911 LMP720906:LMP720911 LWL720906:LWL720911 MGH720906:MGH720911 MQD720906:MQD720911 MZZ720906:MZZ720911 NJV720906:NJV720911 NTR720906:NTR720911 ODN720906:ODN720911 ONJ720906:ONJ720911 OXF720906:OXF720911 PHB720906:PHB720911 PQX720906:PQX720911 QAT720906:QAT720911 QKP720906:QKP720911 QUL720906:QUL720911 REH720906:REH720911 ROD720906:ROD720911 RXZ720906:RXZ720911 SHV720906:SHV720911 SRR720906:SRR720911 TBN720906:TBN720911 TLJ720906:TLJ720911 TVF720906:TVF720911 UFB720906:UFB720911 UOX720906:UOX720911 UYT720906:UYT720911 VIP720906:VIP720911 VSL720906:VSL720911 WCH720906:WCH720911 WMD720906:WMD720911 WVZ720906:WVZ720911 R786442:R786447 JN786442:JN786447 TJ786442:TJ786447 ADF786442:ADF786447 ANB786442:ANB786447 AWX786442:AWX786447 BGT786442:BGT786447 BQP786442:BQP786447 CAL786442:CAL786447 CKH786442:CKH786447 CUD786442:CUD786447 DDZ786442:DDZ786447 DNV786442:DNV786447 DXR786442:DXR786447 EHN786442:EHN786447 ERJ786442:ERJ786447 FBF786442:FBF786447 FLB786442:FLB786447 FUX786442:FUX786447 GET786442:GET786447 GOP786442:GOP786447 GYL786442:GYL786447 HIH786442:HIH786447 HSD786442:HSD786447 IBZ786442:IBZ786447 ILV786442:ILV786447 IVR786442:IVR786447 JFN786442:JFN786447 JPJ786442:JPJ786447 JZF786442:JZF786447 KJB786442:KJB786447 KSX786442:KSX786447 LCT786442:LCT786447 LMP786442:LMP786447 LWL786442:LWL786447 MGH786442:MGH786447 MQD786442:MQD786447 MZZ786442:MZZ786447 NJV786442:NJV786447 NTR786442:NTR786447 ODN786442:ODN786447 ONJ786442:ONJ786447 OXF786442:OXF786447 PHB786442:PHB786447 PQX786442:PQX786447 QAT786442:QAT786447 QKP786442:QKP786447 QUL786442:QUL786447 REH786442:REH786447 ROD786442:ROD786447 RXZ786442:RXZ786447 SHV786442:SHV786447 SRR786442:SRR786447 TBN786442:TBN786447 TLJ786442:TLJ786447 TVF786442:TVF786447 UFB786442:UFB786447 UOX786442:UOX786447 UYT786442:UYT786447 VIP786442:VIP786447 VSL786442:VSL786447 WCH786442:WCH786447 WMD786442:WMD786447 WVZ786442:WVZ786447 R851978:R851983 JN851978:JN851983 TJ851978:TJ851983 ADF851978:ADF851983 ANB851978:ANB851983 AWX851978:AWX851983 BGT851978:BGT851983 BQP851978:BQP851983 CAL851978:CAL851983 CKH851978:CKH851983 CUD851978:CUD851983 DDZ851978:DDZ851983 DNV851978:DNV851983 DXR851978:DXR851983 EHN851978:EHN851983 ERJ851978:ERJ851983 FBF851978:FBF851983 FLB851978:FLB851983 FUX851978:FUX851983 GET851978:GET851983 GOP851978:GOP851983 GYL851978:GYL851983 HIH851978:HIH851983 HSD851978:HSD851983 IBZ851978:IBZ851983 ILV851978:ILV851983 IVR851978:IVR851983 JFN851978:JFN851983 JPJ851978:JPJ851983 JZF851978:JZF851983 KJB851978:KJB851983 KSX851978:KSX851983 LCT851978:LCT851983 LMP851978:LMP851983 LWL851978:LWL851983 MGH851978:MGH851983 MQD851978:MQD851983 MZZ851978:MZZ851983 NJV851978:NJV851983 NTR851978:NTR851983 ODN851978:ODN851983 ONJ851978:ONJ851983 OXF851978:OXF851983 PHB851978:PHB851983 PQX851978:PQX851983 QAT851978:QAT851983 QKP851978:QKP851983 QUL851978:QUL851983 REH851978:REH851983 ROD851978:ROD851983 RXZ851978:RXZ851983 SHV851978:SHV851983 SRR851978:SRR851983 TBN851978:TBN851983 TLJ851978:TLJ851983 TVF851978:TVF851983 UFB851978:UFB851983 UOX851978:UOX851983 UYT851978:UYT851983 VIP851978:VIP851983 VSL851978:VSL851983 WCH851978:WCH851983 WMD851978:WMD851983 WVZ851978:WVZ851983 R917514:R917519 JN917514:JN917519 TJ917514:TJ917519 ADF917514:ADF917519 ANB917514:ANB917519 AWX917514:AWX917519 BGT917514:BGT917519 BQP917514:BQP917519 CAL917514:CAL917519 CKH917514:CKH917519 CUD917514:CUD917519 DDZ917514:DDZ917519 DNV917514:DNV917519 DXR917514:DXR917519 EHN917514:EHN917519 ERJ917514:ERJ917519 FBF917514:FBF917519 FLB917514:FLB917519 FUX917514:FUX917519 GET917514:GET917519 GOP917514:GOP917519 GYL917514:GYL917519 HIH917514:HIH917519 HSD917514:HSD917519 IBZ917514:IBZ917519 ILV917514:ILV917519 IVR917514:IVR917519 JFN917514:JFN917519 JPJ917514:JPJ917519 JZF917514:JZF917519 KJB917514:KJB917519 KSX917514:KSX917519 LCT917514:LCT917519 LMP917514:LMP917519 LWL917514:LWL917519 MGH917514:MGH917519 MQD917514:MQD917519 MZZ917514:MZZ917519 NJV917514:NJV917519 NTR917514:NTR917519 ODN917514:ODN917519 ONJ917514:ONJ917519 OXF917514:OXF917519 PHB917514:PHB917519 PQX917514:PQX917519 QAT917514:QAT917519 QKP917514:QKP917519 QUL917514:QUL917519 REH917514:REH917519 ROD917514:ROD917519 RXZ917514:RXZ917519 SHV917514:SHV917519 SRR917514:SRR917519 TBN917514:TBN917519 TLJ917514:TLJ917519 TVF917514:TVF917519 UFB917514:UFB917519 UOX917514:UOX917519 UYT917514:UYT917519 VIP917514:VIP917519 VSL917514:VSL917519 WCH917514:WCH917519 WMD917514:WMD917519 WVZ917514:WVZ917519 R983050:R983055 JN983050:JN983055 TJ983050:TJ983055 ADF983050:ADF983055 ANB983050:ANB983055 AWX983050:AWX983055 BGT983050:BGT983055 BQP983050:BQP983055 CAL983050:CAL983055 CKH983050:CKH983055 CUD983050:CUD983055 DDZ983050:DDZ983055 DNV983050:DNV983055 DXR983050:DXR983055 EHN983050:EHN983055 ERJ983050:ERJ983055 FBF983050:FBF983055 FLB983050:FLB983055 FUX983050:FUX983055 GET983050:GET983055 GOP983050:GOP983055 GYL983050:GYL983055 HIH983050:HIH983055 HSD983050:HSD983055 IBZ983050:IBZ983055 ILV983050:ILV983055 IVR983050:IVR983055 JFN983050:JFN983055 JPJ983050:JPJ983055 JZF983050:JZF983055 KJB983050:KJB983055 KSX983050:KSX983055 LCT983050:LCT983055 LMP983050:LMP983055 LWL983050:LWL983055 MGH983050:MGH983055 MQD983050:MQD983055 MZZ983050:MZZ983055 NJV983050:NJV983055 NTR983050:NTR983055 ODN983050:ODN983055 ONJ983050:ONJ983055 OXF983050:OXF983055 PHB983050:PHB983055 PQX983050:PQX983055 QAT983050:QAT983055 QKP983050:QKP983055 QUL983050:QUL983055 REH983050:REH983055 ROD983050:ROD983055 RXZ983050:RXZ983055 SHV983050:SHV983055 SRR983050:SRR983055 TBN983050:TBN983055 TLJ983050:TLJ983055 TVF983050:TVF983055 UFB983050:UFB983055 UOX983050:UOX983055 UYT983050:UYT983055 VIP983050:VIP983055 VSL983050:VSL983055 WCH983050:WCH983055 WMD983050:WMD983055 WVZ983050:WVZ983055 F9:F15 JB9:JB15 SX9:SX15 ACT9:ACT15 AMP9:AMP15 AWL9:AWL15 BGH9:BGH15 BQD9:BQD15 BZZ9:BZZ15 CJV9:CJV15 CTR9:CTR15 DDN9:DDN15 DNJ9:DNJ15 DXF9:DXF15 EHB9:EHB15 EQX9:EQX15 FAT9:FAT15 FKP9:FKP15 FUL9:FUL15 GEH9:GEH15 GOD9:GOD15 GXZ9:GXZ15 HHV9:HHV15 HRR9:HRR15 IBN9:IBN15 ILJ9:ILJ15 IVF9:IVF15 JFB9:JFB15 JOX9:JOX15 JYT9:JYT15 KIP9:KIP15 KSL9:KSL15 LCH9:LCH15 LMD9:LMD15 LVZ9:LVZ15 MFV9:MFV15 MPR9:MPR15 MZN9:MZN15 NJJ9:NJJ15 NTF9:NTF15 ODB9:ODB15 OMX9:OMX15 OWT9:OWT15 PGP9:PGP15 PQL9:PQL15 QAH9:QAH15 QKD9:QKD15 QTZ9:QTZ15 RDV9:RDV15 RNR9:RNR15 RXN9:RXN15 SHJ9:SHJ15 SRF9:SRF15 TBB9:TBB15 TKX9:TKX15 TUT9:TUT15 UEP9:UEP15 UOL9:UOL15 UYH9:UYH15 VID9:VID15 VRZ9:VRZ15 WBV9:WBV15 WLR9:WLR15 WVN9:WVN15 F65545:F65551 JB65545:JB65551 SX65545:SX65551 ACT65545:ACT65551 AMP65545:AMP65551 AWL65545:AWL65551 BGH65545:BGH65551 BQD65545:BQD65551 BZZ65545:BZZ65551 CJV65545:CJV65551 CTR65545:CTR65551 DDN65545:DDN65551 DNJ65545:DNJ65551 DXF65545:DXF65551 EHB65545:EHB65551 EQX65545:EQX65551 FAT65545:FAT65551 FKP65545:FKP65551 FUL65545:FUL65551 GEH65545:GEH65551 GOD65545:GOD65551 GXZ65545:GXZ65551 HHV65545:HHV65551 HRR65545:HRR65551 IBN65545:IBN65551 ILJ65545:ILJ65551 IVF65545:IVF65551 JFB65545:JFB65551 JOX65545:JOX65551 JYT65545:JYT65551 KIP65545:KIP65551 KSL65545:KSL65551 LCH65545:LCH65551 LMD65545:LMD65551 LVZ65545:LVZ65551 MFV65545:MFV65551 MPR65545:MPR65551 MZN65545:MZN65551 NJJ65545:NJJ65551 NTF65545:NTF65551 ODB65545:ODB65551 OMX65545:OMX65551 OWT65545:OWT65551 PGP65545:PGP65551 PQL65545:PQL65551 QAH65545:QAH65551 QKD65545:QKD65551 QTZ65545:QTZ65551 RDV65545:RDV65551 RNR65545:RNR65551 RXN65545:RXN65551 SHJ65545:SHJ65551 SRF65545:SRF65551 TBB65545:TBB65551 TKX65545:TKX65551 TUT65545:TUT65551 UEP65545:UEP65551 UOL65545:UOL65551 UYH65545:UYH65551 VID65545:VID65551 VRZ65545:VRZ65551 WBV65545:WBV65551 WLR65545:WLR65551 WVN65545:WVN65551 F131081:F131087 JB131081:JB131087 SX131081:SX131087 ACT131081:ACT131087 AMP131081:AMP131087 AWL131081:AWL131087 BGH131081:BGH131087 BQD131081:BQD131087 BZZ131081:BZZ131087 CJV131081:CJV131087 CTR131081:CTR131087 DDN131081:DDN131087 DNJ131081:DNJ131087 DXF131081:DXF131087 EHB131081:EHB131087 EQX131081:EQX131087 FAT131081:FAT131087 FKP131081:FKP131087 FUL131081:FUL131087 GEH131081:GEH131087 GOD131081:GOD131087 GXZ131081:GXZ131087 HHV131081:HHV131087 HRR131081:HRR131087 IBN131081:IBN131087 ILJ131081:ILJ131087 IVF131081:IVF131087 JFB131081:JFB131087 JOX131081:JOX131087 JYT131081:JYT131087 KIP131081:KIP131087 KSL131081:KSL131087 LCH131081:LCH131087 LMD131081:LMD131087 LVZ131081:LVZ131087 MFV131081:MFV131087 MPR131081:MPR131087 MZN131081:MZN131087 NJJ131081:NJJ131087 NTF131081:NTF131087 ODB131081:ODB131087 OMX131081:OMX131087 OWT131081:OWT131087 PGP131081:PGP131087 PQL131081:PQL131087 QAH131081:QAH131087 QKD131081:QKD131087 QTZ131081:QTZ131087 RDV131081:RDV131087 RNR131081:RNR131087 RXN131081:RXN131087 SHJ131081:SHJ131087 SRF131081:SRF131087 TBB131081:TBB131087 TKX131081:TKX131087 TUT131081:TUT131087 UEP131081:UEP131087 UOL131081:UOL131087 UYH131081:UYH131087 VID131081:VID131087 VRZ131081:VRZ131087 WBV131081:WBV131087 WLR131081:WLR131087 WVN131081:WVN131087 F196617:F196623 JB196617:JB196623 SX196617:SX196623 ACT196617:ACT196623 AMP196617:AMP196623 AWL196617:AWL196623 BGH196617:BGH196623 BQD196617:BQD196623 BZZ196617:BZZ196623 CJV196617:CJV196623 CTR196617:CTR196623 DDN196617:DDN196623 DNJ196617:DNJ196623 DXF196617:DXF196623 EHB196617:EHB196623 EQX196617:EQX196623 FAT196617:FAT196623 FKP196617:FKP196623 FUL196617:FUL196623 GEH196617:GEH196623 GOD196617:GOD196623 GXZ196617:GXZ196623 HHV196617:HHV196623 HRR196617:HRR196623 IBN196617:IBN196623 ILJ196617:ILJ196623 IVF196617:IVF196623 JFB196617:JFB196623 JOX196617:JOX196623 JYT196617:JYT196623 KIP196617:KIP196623 KSL196617:KSL196623 LCH196617:LCH196623 LMD196617:LMD196623 LVZ196617:LVZ196623 MFV196617:MFV196623 MPR196617:MPR196623 MZN196617:MZN196623 NJJ196617:NJJ196623 NTF196617:NTF196623 ODB196617:ODB196623 OMX196617:OMX196623 OWT196617:OWT196623 PGP196617:PGP196623 PQL196617:PQL196623 QAH196617:QAH196623 QKD196617:QKD196623 QTZ196617:QTZ196623 RDV196617:RDV196623 RNR196617:RNR196623 RXN196617:RXN196623 SHJ196617:SHJ196623 SRF196617:SRF196623 TBB196617:TBB196623 TKX196617:TKX196623 TUT196617:TUT196623 UEP196617:UEP196623 UOL196617:UOL196623 UYH196617:UYH196623 VID196617:VID196623 VRZ196617:VRZ196623 WBV196617:WBV196623 WLR196617:WLR196623 WVN196617:WVN196623 F262153:F262159 JB262153:JB262159 SX262153:SX262159 ACT262153:ACT262159 AMP262153:AMP262159 AWL262153:AWL262159 BGH262153:BGH262159 BQD262153:BQD262159 BZZ262153:BZZ262159 CJV262153:CJV262159 CTR262153:CTR262159 DDN262153:DDN262159 DNJ262153:DNJ262159 DXF262153:DXF262159 EHB262153:EHB262159 EQX262153:EQX262159 FAT262153:FAT262159 FKP262153:FKP262159 FUL262153:FUL262159 GEH262153:GEH262159 GOD262153:GOD262159 GXZ262153:GXZ262159 HHV262153:HHV262159 HRR262153:HRR262159 IBN262153:IBN262159 ILJ262153:ILJ262159 IVF262153:IVF262159 JFB262153:JFB262159 JOX262153:JOX262159 JYT262153:JYT262159 KIP262153:KIP262159 KSL262153:KSL262159 LCH262153:LCH262159 LMD262153:LMD262159 LVZ262153:LVZ262159 MFV262153:MFV262159 MPR262153:MPR262159 MZN262153:MZN262159 NJJ262153:NJJ262159 NTF262153:NTF262159 ODB262153:ODB262159 OMX262153:OMX262159 OWT262153:OWT262159 PGP262153:PGP262159 PQL262153:PQL262159 QAH262153:QAH262159 QKD262153:QKD262159 QTZ262153:QTZ262159 RDV262153:RDV262159 RNR262153:RNR262159 RXN262153:RXN262159 SHJ262153:SHJ262159 SRF262153:SRF262159 TBB262153:TBB262159 TKX262153:TKX262159 TUT262153:TUT262159 UEP262153:UEP262159 UOL262153:UOL262159 UYH262153:UYH262159 VID262153:VID262159 VRZ262153:VRZ262159 WBV262153:WBV262159 WLR262153:WLR262159 WVN262153:WVN262159 F327689:F327695 JB327689:JB327695 SX327689:SX327695 ACT327689:ACT327695 AMP327689:AMP327695 AWL327689:AWL327695 BGH327689:BGH327695 BQD327689:BQD327695 BZZ327689:BZZ327695 CJV327689:CJV327695 CTR327689:CTR327695 DDN327689:DDN327695 DNJ327689:DNJ327695 DXF327689:DXF327695 EHB327689:EHB327695 EQX327689:EQX327695 FAT327689:FAT327695 FKP327689:FKP327695 FUL327689:FUL327695 GEH327689:GEH327695 GOD327689:GOD327695 GXZ327689:GXZ327695 HHV327689:HHV327695 HRR327689:HRR327695 IBN327689:IBN327695 ILJ327689:ILJ327695 IVF327689:IVF327695 JFB327689:JFB327695 JOX327689:JOX327695 JYT327689:JYT327695 KIP327689:KIP327695 KSL327689:KSL327695 LCH327689:LCH327695 LMD327689:LMD327695 LVZ327689:LVZ327695 MFV327689:MFV327695 MPR327689:MPR327695 MZN327689:MZN327695 NJJ327689:NJJ327695 NTF327689:NTF327695 ODB327689:ODB327695 OMX327689:OMX327695 OWT327689:OWT327695 PGP327689:PGP327695 PQL327689:PQL327695 QAH327689:QAH327695 QKD327689:QKD327695 QTZ327689:QTZ327695 RDV327689:RDV327695 RNR327689:RNR327695 RXN327689:RXN327695 SHJ327689:SHJ327695 SRF327689:SRF327695 TBB327689:TBB327695 TKX327689:TKX327695 TUT327689:TUT327695 UEP327689:UEP327695 UOL327689:UOL327695 UYH327689:UYH327695 VID327689:VID327695 VRZ327689:VRZ327695 WBV327689:WBV327695 WLR327689:WLR327695 WVN327689:WVN327695 F393225:F393231 JB393225:JB393231 SX393225:SX393231 ACT393225:ACT393231 AMP393225:AMP393231 AWL393225:AWL393231 BGH393225:BGH393231 BQD393225:BQD393231 BZZ393225:BZZ393231 CJV393225:CJV393231 CTR393225:CTR393231 DDN393225:DDN393231 DNJ393225:DNJ393231 DXF393225:DXF393231 EHB393225:EHB393231 EQX393225:EQX393231 FAT393225:FAT393231 FKP393225:FKP393231 FUL393225:FUL393231 GEH393225:GEH393231 GOD393225:GOD393231 GXZ393225:GXZ393231 HHV393225:HHV393231 HRR393225:HRR393231 IBN393225:IBN393231 ILJ393225:ILJ393231 IVF393225:IVF393231 JFB393225:JFB393231 JOX393225:JOX393231 JYT393225:JYT393231 KIP393225:KIP393231 KSL393225:KSL393231 LCH393225:LCH393231 LMD393225:LMD393231 LVZ393225:LVZ393231 MFV393225:MFV393231 MPR393225:MPR393231 MZN393225:MZN393231 NJJ393225:NJJ393231 NTF393225:NTF393231 ODB393225:ODB393231 OMX393225:OMX393231 OWT393225:OWT393231 PGP393225:PGP393231 PQL393225:PQL393231 QAH393225:QAH393231 QKD393225:QKD393231 QTZ393225:QTZ393231 RDV393225:RDV393231 RNR393225:RNR393231 RXN393225:RXN393231 SHJ393225:SHJ393231 SRF393225:SRF393231 TBB393225:TBB393231 TKX393225:TKX393231 TUT393225:TUT393231 UEP393225:UEP393231 UOL393225:UOL393231 UYH393225:UYH393231 VID393225:VID393231 VRZ393225:VRZ393231 WBV393225:WBV393231 WLR393225:WLR393231 WVN393225:WVN393231 F458761:F458767 JB458761:JB458767 SX458761:SX458767 ACT458761:ACT458767 AMP458761:AMP458767 AWL458761:AWL458767 BGH458761:BGH458767 BQD458761:BQD458767 BZZ458761:BZZ458767 CJV458761:CJV458767 CTR458761:CTR458767 DDN458761:DDN458767 DNJ458761:DNJ458767 DXF458761:DXF458767 EHB458761:EHB458767 EQX458761:EQX458767 FAT458761:FAT458767 FKP458761:FKP458767 FUL458761:FUL458767 GEH458761:GEH458767 GOD458761:GOD458767 GXZ458761:GXZ458767 HHV458761:HHV458767 HRR458761:HRR458767 IBN458761:IBN458767 ILJ458761:ILJ458767 IVF458761:IVF458767 JFB458761:JFB458767 JOX458761:JOX458767 JYT458761:JYT458767 KIP458761:KIP458767 KSL458761:KSL458767 LCH458761:LCH458767 LMD458761:LMD458767 LVZ458761:LVZ458767 MFV458761:MFV458767 MPR458761:MPR458767 MZN458761:MZN458767 NJJ458761:NJJ458767 NTF458761:NTF458767 ODB458761:ODB458767 OMX458761:OMX458767 OWT458761:OWT458767 PGP458761:PGP458767 PQL458761:PQL458767 QAH458761:QAH458767 QKD458761:QKD458767 QTZ458761:QTZ458767 RDV458761:RDV458767 RNR458761:RNR458767 RXN458761:RXN458767 SHJ458761:SHJ458767 SRF458761:SRF458767 TBB458761:TBB458767 TKX458761:TKX458767 TUT458761:TUT458767 UEP458761:UEP458767 UOL458761:UOL458767 UYH458761:UYH458767 VID458761:VID458767 VRZ458761:VRZ458767 WBV458761:WBV458767 WLR458761:WLR458767 WVN458761:WVN458767 F524297:F524303 JB524297:JB524303 SX524297:SX524303 ACT524297:ACT524303 AMP524297:AMP524303 AWL524297:AWL524303 BGH524297:BGH524303 BQD524297:BQD524303 BZZ524297:BZZ524303 CJV524297:CJV524303 CTR524297:CTR524303 DDN524297:DDN524303 DNJ524297:DNJ524303 DXF524297:DXF524303 EHB524297:EHB524303 EQX524297:EQX524303 FAT524297:FAT524303 FKP524297:FKP524303 FUL524297:FUL524303 GEH524297:GEH524303 GOD524297:GOD524303 GXZ524297:GXZ524303 HHV524297:HHV524303 HRR524297:HRR524303 IBN524297:IBN524303 ILJ524297:ILJ524303 IVF524297:IVF524303 JFB524297:JFB524303 JOX524297:JOX524303 JYT524297:JYT524303 KIP524297:KIP524303 KSL524297:KSL524303 LCH524297:LCH524303 LMD524297:LMD524303 LVZ524297:LVZ524303 MFV524297:MFV524303 MPR524297:MPR524303 MZN524297:MZN524303 NJJ524297:NJJ524303 NTF524297:NTF524303 ODB524297:ODB524303 OMX524297:OMX524303 OWT524297:OWT524303 PGP524297:PGP524303 PQL524297:PQL524303 QAH524297:QAH524303 QKD524297:QKD524303 QTZ524297:QTZ524303 RDV524297:RDV524303 RNR524297:RNR524303 RXN524297:RXN524303 SHJ524297:SHJ524303 SRF524297:SRF524303 TBB524297:TBB524303 TKX524297:TKX524303 TUT524297:TUT524303 UEP524297:UEP524303 UOL524297:UOL524303 UYH524297:UYH524303 VID524297:VID524303 VRZ524297:VRZ524303 WBV524297:WBV524303 WLR524297:WLR524303 WVN524297:WVN524303 F589833:F589839 JB589833:JB589839 SX589833:SX589839 ACT589833:ACT589839 AMP589833:AMP589839 AWL589833:AWL589839 BGH589833:BGH589839 BQD589833:BQD589839 BZZ589833:BZZ589839 CJV589833:CJV589839 CTR589833:CTR589839 DDN589833:DDN589839 DNJ589833:DNJ589839 DXF589833:DXF589839 EHB589833:EHB589839 EQX589833:EQX589839 FAT589833:FAT589839 FKP589833:FKP589839 FUL589833:FUL589839 GEH589833:GEH589839 GOD589833:GOD589839 GXZ589833:GXZ589839 HHV589833:HHV589839 HRR589833:HRR589839 IBN589833:IBN589839 ILJ589833:ILJ589839 IVF589833:IVF589839 JFB589833:JFB589839 JOX589833:JOX589839 JYT589833:JYT589839 KIP589833:KIP589839 KSL589833:KSL589839 LCH589833:LCH589839 LMD589833:LMD589839 LVZ589833:LVZ589839 MFV589833:MFV589839 MPR589833:MPR589839 MZN589833:MZN589839 NJJ589833:NJJ589839 NTF589833:NTF589839 ODB589833:ODB589839 OMX589833:OMX589839 OWT589833:OWT589839 PGP589833:PGP589839 PQL589833:PQL589839 QAH589833:QAH589839 QKD589833:QKD589839 QTZ589833:QTZ589839 RDV589833:RDV589839 RNR589833:RNR589839 RXN589833:RXN589839 SHJ589833:SHJ589839 SRF589833:SRF589839 TBB589833:TBB589839 TKX589833:TKX589839 TUT589833:TUT589839 UEP589833:UEP589839 UOL589833:UOL589839 UYH589833:UYH589839 VID589833:VID589839 VRZ589833:VRZ589839 WBV589833:WBV589839 WLR589833:WLR589839 WVN589833:WVN589839 F655369:F655375 JB655369:JB655375 SX655369:SX655375 ACT655369:ACT655375 AMP655369:AMP655375 AWL655369:AWL655375 BGH655369:BGH655375 BQD655369:BQD655375 BZZ655369:BZZ655375 CJV655369:CJV655375 CTR655369:CTR655375 DDN655369:DDN655375 DNJ655369:DNJ655375 DXF655369:DXF655375 EHB655369:EHB655375 EQX655369:EQX655375 FAT655369:FAT655375 FKP655369:FKP655375 FUL655369:FUL655375 GEH655369:GEH655375 GOD655369:GOD655375 GXZ655369:GXZ655375 HHV655369:HHV655375 HRR655369:HRR655375 IBN655369:IBN655375 ILJ655369:ILJ655375 IVF655369:IVF655375 JFB655369:JFB655375 JOX655369:JOX655375 JYT655369:JYT655375 KIP655369:KIP655375 KSL655369:KSL655375 LCH655369:LCH655375 LMD655369:LMD655375 LVZ655369:LVZ655375 MFV655369:MFV655375 MPR655369:MPR655375 MZN655369:MZN655375 NJJ655369:NJJ655375 NTF655369:NTF655375 ODB655369:ODB655375 OMX655369:OMX655375 OWT655369:OWT655375 PGP655369:PGP655375 PQL655369:PQL655375 QAH655369:QAH655375 QKD655369:QKD655375 QTZ655369:QTZ655375 RDV655369:RDV655375 RNR655369:RNR655375 RXN655369:RXN655375 SHJ655369:SHJ655375 SRF655369:SRF655375 TBB655369:TBB655375 TKX655369:TKX655375 TUT655369:TUT655375 UEP655369:UEP655375 UOL655369:UOL655375 UYH655369:UYH655375 VID655369:VID655375 VRZ655369:VRZ655375 WBV655369:WBV655375 WLR655369:WLR655375 WVN655369:WVN655375 F720905:F720911 JB720905:JB720911 SX720905:SX720911 ACT720905:ACT720911 AMP720905:AMP720911 AWL720905:AWL720911 BGH720905:BGH720911 BQD720905:BQD720911 BZZ720905:BZZ720911 CJV720905:CJV720911 CTR720905:CTR720911 DDN720905:DDN720911 DNJ720905:DNJ720911 DXF720905:DXF720911 EHB720905:EHB720911 EQX720905:EQX720911 FAT720905:FAT720911 FKP720905:FKP720911 FUL720905:FUL720911 GEH720905:GEH720911 GOD720905:GOD720911 GXZ720905:GXZ720911 HHV720905:HHV720911 HRR720905:HRR720911 IBN720905:IBN720911 ILJ720905:ILJ720911 IVF720905:IVF720911 JFB720905:JFB720911 JOX720905:JOX720911 JYT720905:JYT720911 KIP720905:KIP720911 KSL720905:KSL720911 LCH720905:LCH720911 LMD720905:LMD720911 LVZ720905:LVZ720911 MFV720905:MFV720911 MPR720905:MPR720911 MZN720905:MZN720911 NJJ720905:NJJ720911 NTF720905:NTF720911 ODB720905:ODB720911 OMX720905:OMX720911 OWT720905:OWT720911 PGP720905:PGP720911 PQL720905:PQL720911 QAH720905:QAH720911 QKD720905:QKD720911 QTZ720905:QTZ720911 RDV720905:RDV720911 RNR720905:RNR720911 RXN720905:RXN720911 SHJ720905:SHJ720911 SRF720905:SRF720911 TBB720905:TBB720911 TKX720905:TKX720911 TUT720905:TUT720911 UEP720905:UEP720911 UOL720905:UOL720911 UYH720905:UYH720911 VID720905:VID720911 VRZ720905:VRZ720911 WBV720905:WBV720911 WLR720905:WLR720911 WVN720905:WVN720911 F786441:F786447 JB786441:JB786447 SX786441:SX786447 ACT786441:ACT786447 AMP786441:AMP786447 AWL786441:AWL786447 BGH786441:BGH786447 BQD786441:BQD786447 BZZ786441:BZZ786447 CJV786441:CJV786447 CTR786441:CTR786447 DDN786441:DDN786447 DNJ786441:DNJ786447 DXF786441:DXF786447 EHB786441:EHB786447 EQX786441:EQX786447 FAT786441:FAT786447 FKP786441:FKP786447 FUL786441:FUL786447 GEH786441:GEH786447 GOD786441:GOD786447 GXZ786441:GXZ786447 HHV786441:HHV786447 HRR786441:HRR786447 IBN786441:IBN786447 ILJ786441:ILJ786447 IVF786441:IVF786447 JFB786441:JFB786447 JOX786441:JOX786447 JYT786441:JYT786447 KIP786441:KIP786447 KSL786441:KSL786447 LCH786441:LCH786447 LMD786441:LMD786447 LVZ786441:LVZ786447 MFV786441:MFV786447 MPR786441:MPR786447 MZN786441:MZN786447 NJJ786441:NJJ786447 NTF786441:NTF786447 ODB786441:ODB786447 OMX786441:OMX786447 OWT786441:OWT786447 PGP786441:PGP786447 PQL786441:PQL786447 QAH786441:QAH786447 QKD786441:QKD786447 QTZ786441:QTZ786447 RDV786441:RDV786447 RNR786441:RNR786447 RXN786441:RXN786447 SHJ786441:SHJ786447 SRF786441:SRF786447 TBB786441:TBB786447 TKX786441:TKX786447 TUT786441:TUT786447 UEP786441:UEP786447 UOL786441:UOL786447 UYH786441:UYH786447 VID786441:VID786447 VRZ786441:VRZ786447 WBV786441:WBV786447 WLR786441:WLR786447 WVN786441:WVN786447 F851977:F851983 JB851977:JB851983 SX851977:SX851983 ACT851977:ACT851983 AMP851977:AMP851983 AWL851977:AWL851983 BGH851977:BGH851983 BQD851977:BQD851983 BZZ851977:BZZ851983 CJV851977:CJV851983 CTR851977:CTR851983 DDN851977:DDN851983 DNJ851977:DNJ851983 DXF851977:DXF851983 EHB851977:EHB851983 EQX851977:EQX851983 FAT851977:FAT851983 FKP851977:FKP851983 FUL851977:FUL851983 GEH851977:GEH851983 GOD851977:GOD851983 GXZ851977:GXZ851983 HHV851977:HHV851983 HRR851977:HRR851983 IBN851977:IBN851983 ILJ851977:ILJ851983 IVF851977:IVF851983 JFB851977:JFB851983 JOX851977:JOX851983 JYT851977:JYT851983 KIP851977:KIP851983 KSL851977:KSL851983 LCH851977:LCH851983 LMD851977:LMD851983 LVZ851977:LVZ851983 MFV851977:MFV851983 MPR851977:MPR851983 MZN851977:MZN851983 NJJ851977:NJJ851983 NTF851977:NTF851983 ODB851977:ODB851983 OMX851977:OMX851983 OWT851977:OWT851983 PGP851977:PGP851983 PQL851977:PQL851983 QAH851977:QAH851983 QKD851977:QKD851983 QTZ851977:QTZ851983 RDV851977:RDV851983 RNR851977:RNR851983 RXN851977:RXN851983 SHJ851977:SHJ851983 SRF851977:SRF851983 TBB851977:TBB851983 TKX851977:TKX851983 TUT851977:TUT851983 UEP851977:UEP851983 UOL851977:UOL851983 UYH851977:UYH851983 VID851977:VID851983 VRZ851977:VRZ851983 WBV851977:WBV851983 WLR851977:WLR851983 WVN851977:WVN851983 F917513:F917519 JB917513:JB917519 SX917513:SX917519 ACT917513:ACT917519 AMP917513:AMP917519 AWL917513:AWL917519 BGH917513:BGH917519 BQD917513:BQD917519 BZZ917513:BZZ917519 CJV917513:CJV917519 CTR917513:CTR917519 DDN917513:DDN917519 DNJ917513:DNJ917519 DXF917513:DXF917519 EHB917513:EHB917519 EQX917513:EQX917519 FAT917513:FAT917519 FKP917513:FKP917519 FUL917513:FUL917519 GEH917513:GEH917519 GOD917513:GOD917519 GXZ917513:GXZ917519 HHV917513:HHV917519 HRR917513:HRR917519 IBN917513:IBN917519 ILJ917513:ILJ917519 IVF917513:IVF917519 JFB917513:JFB917519 JOX917513:JOX917519 JYT917513:JYT917519 KIP917513:KIP917519 KSL917513:KSL917519 LCH917513:LCH917519 LMD917513:LMD917519 LVZ917513:LVZ917519 MFV917513:MFV917519 MPR917513:MPR917519 MZN917513:MZN917519 NJJ917513:NJJ917519 NTF917513:NTF917519 ODB917513:ODB917519 OMX917513:OMX917519 OWT917513:OWT917519 PGP917513:PGP917519 PQL917513:PQL917519 QAH917513:QAH917519 QKD917513:QKD917519 QTZ917513:QTZ917519 RDV917513:RDV917519 RNR917513:RNR917519 RXN917513:RXN917519 SHJ917513:SHJ917519 SRF917513:SRF917519 TBB917513:TBB917519 TKX917513:TKX917519 TUT917513:TUT917519 UEP917513:UEP917519 UOL917513:UOL917519 UYH917513:UYH917519 VID917513:VID917519 VRZ917513:VRZ917519 WBV917513:WBV917519 WLR917513:WLR917519 WVN917513:WVN917519 F983049:F983055 JB983049:JB983055 SX983049:SX983055 ACT983049:ACT983055 AMP983049:AMP983055 AWL983049:AWL983055 BGH983049:BGH983055 BQD983049:BQD983055 BZZ983049:BZZ983055 CJV983049:CJV983055 CTR983049:CTR983055 DDN983049:DDN983055 DNJ983049:DNJ983055 DXF983049:DXF983055 EHB983049:EHB983055 EQX983049:EQX983055 FAT983049:FAT983055 FKP983049:FKP983055 FUL983049:FUL983055 GEH983049:GEH983055 GOD983049:GOD983055 GXZ983049:GXZ983055 HHV983049:HHV983055 HRR983049:HRR983055 IBN983049:IBN983055 ILJ983049:ILJ983055 IVF983049:IVF983055 JFB983049:JFB983055 JOX983049:JOX983055 JYT983049:JYT983055 KIP983049:KIP983055 KSL983049:KSL983055 LCH983049:LCH983055 LMD983049:LMD983055 LVZ983049:LVZ983055 MFV983049:MFV983055 MPR983049:MPR983055 MZN983049:MZN983055 NJJ983049:NJJ983055 NTF983049:NTF983055 ODB983049:ODB983055 OMX983049:OMX983055 OWT983049:OWT983055 PGP983049:PGP983055 PQL983049:PQL983055 QAH983049:QAH983055 QKD983049:QKD983055 QTZ983049:QTZ983055 RDV983049:RDV983055 RNR983049:RNR983055 RXN983049:RXN983055 SHJ983049:SHJ983055 SRF983049:SRF983055 TBB983049:TBB983055 TKX983049:TKX983055 TUT983049:TUT983055 UEP983049:UEP983055 UOL983049:UOL983055 UYH983049:UYH983055 VID983049:VID983055 VRZ983049:VRZ983055 WBV983049:WBV983055 WLR983049:WLR983055 WVN983049:WVN983055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E5078-F3EF-466C-A194-328C2A6596D2}">
  <sheetPr>
    <tabColor rgb="FFFFFF00"/>
    <pageSetUpPr fitToPage="1"/>
  </sheetPr>
  <dimension ref="B1:AD123"/>
  <sheetViews>
    <sheetView view="pageBreakPreview" zoomScaleNormal="100" zoomScaleSheetLayoutView="100" workbookViewId="0"/>
  </sheetViews>
  <sheetFormatPr defaultColWidth="3.44140625" defaultRowHeight="13.2"/>
  <cols>
    <col min="1" max="1" width="1.21875" style="3" customWidth="1"/>
    <col min="2" max="2" width="3.109375" style="616" customWidth="1"/>
    <col min="3" max="5" width="3.109375" style="3" customWidth="1"/>
    <col min="6" max="6" width="3.33203125" style="3" customWidth="1"/>
    <col min="7" max="25" width="3.109375" style="3" customWidth="1"/>
    <col min="26" max="30" width="3.21875" style="3" customWidth="1"/>
    <col min="31" max="31" width="1.21875" style="3" customWidth="1"/>
    <col min="32" max="256" width="3.44140625" style="3"/>
    <col min="257" max="257" width="1.21875" style="3" customWidth="1"/>
    <col min="258" max="261" width="3.109375" style="3" customWidth="1"/>
    <col min="262" max="262" width="3.33203125" style="3" customWidth="1"/>
    <col min="263" max="281" width="3.109375" style="3" customWidth="1"/>
    <col min="282" max="286" width="3.21875" style="3" customWidth="1"/>
    <col min="287" max="287" width="1.21875" style="3" customWidth="1"/>
    <col min="288" max="512" width="3.44140625" style="3"/>
    <col min="513" max="513" width="1.21875" style="3" customWidth="1"/>
    <col min="514" max="517" width="3.109375" style="3" customWidth="1"/>
    <col min="518" max="518" width="3.33203125" style="3" customWidth="1"/>
    <col min="519" max="537" width="3.109375" style="3" customWidth="1"/>
    <col min="538" max="542" width="3.21875" style="3" customWidth="1"/>
    <col min="543" max="543" width="1.21875" style="3" customWidth="1"/>
    <col min="544" max="768" width="3.44140625" style="3"/>
    <col min="769" max="769" width="1.21875" style="3" customWidth="1"/>
    <col min="770" max="773" width="3.109375" style="3" customWidth="1"/>
    <col min="774" max="774" width="3.33203125" style="3" customWidth="1"/>
    <col min="775" max="793" width="3.109375" style="3" customWidth="1"/>
    <col min="794" max="798" width="3.21875" style="3" customWidth="1"/>
    <col min="799" max="799" width="1.21875" style="3" customWidth="1"/>
    <col min="800" max="1024" width="3.44140625" style="3"/>
    <col min="1025" max="1025" width="1.21875" style="3" customWidth="1"/>
    <col min="1026" max="1029" width="3.109375" style="3" customWidth="1"/>
    <col min="1030" max="1030" width="3.33203125" style="3" customWidth="1"/>
    <col min="1031" max="1049" width="3.109375" style="3" customWidth="1"/>
    <col min="1050" max="1054" width="3.21875" style="3" customWidth="1"/>
    <col min="1055" max="1055" width="1.21875" style="3" customWidth="1"/>
    <col min="1056" max="1280" width="3.44140625" style="3"/>
    <col min="1281" max="1281" width="1.21875" style="3" customWidth="1"/>
    <col min="1282" max="1285" width="3.109375" style="3" customWidth="1"/>
    <col min="1286" max="1286" width="3.33203125" style="3" customWidth="1"/>
    <col min="1287" max="1305" width="3.109375" style="3" customWidth="1"/>
    <col min="1306" max="1310" width="3.21875" style="3" customWidth="1"/>
    <col min="1311" max="1311" width="1.21875" style="3" customWidth="1"/>
    <col min="1312" max="1536" width="3.44140625" style="3"/>
    <col min="1537" max="1537" width="1.21875" style="3" customWidth="1"/>
    <col min="1538" max="1541" width="3.109375" style="3" customWidth="1"/>
    <col min="1542" max="1542" width="3.33203125" style="3" customWidth="1"/>
    <col min="1543" max="1561" width="3.109375" style="3" customWidth="1"/>
    <col min="1562" max="1566" width="3.21875" style="3" customWidth="1"/>
    <col min="1567" max="1567" width="1.21875" style="3" customWidth="1"/>
    <col min="1568" max="1792" width="3.44140625" style="3"/>
    <col min="1793" max="1793" width="1.21875" style="3" customWidth="1"/>
    <col min="1794" max="1797" width="3.109375" style="3" customWidth="1"/>
    <col min="1798" max="1798" width="3.33203125" style="3" customWidth="1"/>
    <col min="1799" max="1817" width="3.109375" style="3" customWidth="1"/>
    <col min="1818" max="1822" width="3.21875" style="3" customWidth="1"/>
    <col min="1823" max="1823" width="1.21875" style="3" customWidth="1"/>
    <col min="1824" max="2048" width="3.44140625" style="3"/>
    <col min="2049" max="2049" width="1.21875" style="3" customWidth="1"/>
    <col min="2050" max="2053" width="3.109375" style="3" customWidth="1"/>
    <col min="2054" max="2054" width="3.33203125" style="3" customWidth="1"/>
    <col min="2055" max="2073" width="3.109375" style="3" customWidth="1"/>
    <col min="2074" max="2078" width="3.21875" style="3" customWidth="1"/>
    <col min="2079" max="2079" width="1.21875" style="3" customWidth="1"/>
    <col min="2080" max="2304" width="3.44140625" style="3"/>
    <col min="2305" max="2305" width="1.21875" style="3" customWidth="1"/>
    <col min="2306" max="2309" width="3.109375" style="3" customWidth="1"/>
    <col min="2310" max="2310" width="3.33203125" style="3" customWidth="1"/>
    <col min="2311" max="2329" width="3.109375" style="3" customWidth="1"/>
    <col min="2330" max="2334" width="3.21875" style="3" customWidth="1"/>
    <col min="2335" max="2335" width="1.21875" style="3" customWidth="1"/>
    <col min="2336" max="2560" width="3.44140625" style="3"/>
    <col min="2561" max="2561" width="1.21875" style="3" customWidth="1"/>
    <col min="2562" max="2565" width="3.109375" style="3" customWidth="1"/>
    <col min="2566" max="2566" width="3.33203125" style="3" customWidth="1"/>
    <col min="2567" max="2585" width="3.109375" style="3" customWidth="1"/>
    <col min="2586" max="2590" width="3.21875" style="3" customWidth="1"/>
    <col min="2591" max="2591" width="1.21875" style="3" customWidth="1"/>
    <col min="2592" max="2816" width="3.44140625" style="3"/>
    <col min="2817" max="2817" width="1.21875" style="3" customWidth="1"/>
    <col min="2818" max="2821" width="3.109375" style="3" customWidth="1"/>
    <col min="2822" max="2822" width="3.33203125" style="3" customWidth="1"/>
    <col min="2823" max="2841" width="3.109375" style="3" customWidth="1"/>
    <col min="2842" max="2846" width="3.21875" style="3" customWidth="1"/>
    <col min="2847" max="2847" width="1.21875" style="3" customWidth="1"/>
    <col min="2848" max="3072" width="3.44140625" style="3"/>
    <col min="3073" max="3073" width="1.21875" style="3" customWidth="1"/>
    <col min="3074" max="3077" width="3.109375" style="3" customWidth="1"/>
    <col min="3078" max="3078" width="3.33203125" style="3" customWidth="1"/>
    <col min="3079" max="3097" width="3.109375" style="3" customWidth="1"/>
    <col min="3098" max="3102" width="3.21875" style="3" customWidth="1"/>
    <col min="3103" max="3103" width="1.21875" style="3" customWidth="1"/>
    <col min="3104" max="3328" width="3.44140625" style="3"/>
    <col min="3329" max="3329" width="1.21875" style="3" customWidth="1"/>
    <col min="3330" max="3333" width="3.109375" style="3" customWidth="1"/>
    <col min="3334" max="3334" width="3.33203125" style="3" customWidth="1"/>
    <col min="3335" max="3353" width="3.109375" style="3" customWidth="1"/>
    <col min="3354" max="3358" width="3.21875" style="3" customWidth="1"/>
    <col min="3359" max="3359" width="1.21875" style="3" customWidth="1"/>
    <col min="3360" max="3584" width="3.44140625" style="3"/>
    <col min="3585" max="3585" width="1.21875" style="3" customWidth="1"/>
    <col min="3586" max="3589" width="3.109375" style="3" customWidth="1"/>
    <col min="3590" max="3590" width="3.33203125" style="3" customWidth="1"/>
    <col min="3591" max="3609" width="3.109375" style="3" customWidth="1"/>
    <col min="3610" max="3614" width="3.21875" style="3" customWidth="1"/>
    <col min="3615" max="3615" width="1.21875" style="3" customWidth="1"/>
    <col min="3616" max="3840" width="3.44140625" style="3"/>
    <col min="3841" max="3841" width="1.21875" style="3" customWidth="1"/>
    <col min="3842" max="3845" width="3.109375" style="3" customWidth="1"/>
    <col min="3846" max="3846" width="3.33203125" style="3" customWidth="1"/>
    <col min="3847" max="3865" width="3.109375" style="3" customWidth="1"/>
    <col min="3866" max="3870" width="3.21875" style="3" customWidth="1"/>
    <col min="3871" max="3871" width="1.21875" style="3" customWidth="1"/>
    <col min="3872" max="4096" width="3.44140625" style="3"/>
    <col min="4097" max="4097" width="1.21875" style="3" customWidth="1"/>
    <col min="4098" max="4101" width="3.109375" style="3" customWidth="1"/>
    <col min="4102" max="4102" width="3.33203125" style="3" customWidth="1"/>
    <col min="4103" max="4121" width="3.109375" style="3" customWidth="1"/>
    <col min="4122" max="4126" width="3.21875" style="3" customWidth="1"/>
    <col min="4127" max="4127" width="1.21875" style="3" customWidth="1"/>
    <col min="4128" max="4352" width="3.44140625" style="3"/>
    <col min="4353" max="4353" width="1.21875" style="3" customWidth="1"/>
    <col min="4354" max="4357" width="3.109375" style="3" customWidth="1"/>
    <col min="4358" max="4358" width="3.33203125" style="3" customWidth="1"/>
    <col min="4359" max="4377" width="3.109375" style="3" customWidth="1"/>
    <col min="4378" max="4382" width="3.21875" style="3" customWidth="1"/>
    <col min="4383" max="4383" width="1.21875" style="3" customWidth="1"/>
    <col min="4384" max="4608" width="3.44140625" style="3"/>
    <col min="4609" max="4609" width="1.21875" style="3" customWidth="1"/>
    <col min="4610" max="4613" width="3.109375" style="3" customWidth="1"/>
    <col min="4614" max="4614" width="3.33203125" style="3" customWidth="1"/>
    <col min="4615" max="4633" width="3.109375" style="3" customWidth="1"/>
    <col min="4634" max="4638" width="3.21875" style="3" customWidth="1"/>
    <col min="4639" max="4639" width="1.21875" style="3" customWidth="1"/>
    <col min="4640" max="4864" width="3.44140625" style="3"/>
    <col min="4865" max="4865" width="1.21875" style="3" customWidth="1"/>
    <col min="4866" max="4869" width="3.109375" style="3" customWidth="1"/>
    <col min="4870" max="4870" width="3.33203125" style="3" customWidth="1"/>
    <col min="4871" max="4889" width="3.109375" style="3" customWidth="1"/>
    <col min="4890" max="4894" width="3.21875" style="3" customWidth="1"/>
    <col min="4895" max="4895" width="1.21875" style="3" customWidth="1"/>
    <col min="4896" max="5120" width="3.44140625" style="3"/>
    <col min="5121" max="5121" width="1.21875" style="3" customWidth="1"/>
    <col min="5122" max="5125" width="3.109375" style="3" customWidth="1"/>
    <col min="5126" max="5126" width="3.33203125" style="3" customWidth="1"/>
    <col min="5127" max="5145" width="3.109375" style="3" customWidth="1"/>
    <col min="5146" max="5150" width="3.21875" style="3" customWidth="1"/>
    <col min="5151" max="5151" width="1.21875" style="3" customWidth="1"/>
    <col min="5152" max="5376" width="3.44140625" style="3"/>
    <col min="5377" max="5377" width="1.21875" style="3" customWidth="1"/>
    <col min="5378" max="5381" width="3.109375" style="3" customWidth="1"/>
    <col min="5382" max="5382" width="3.33203125" style="3" customWidth="1"/>
    <col min="5383" max="5401" width="3.109375" style="3" customWidth="1"/>
    <col min="5402" max="5406" width="3.21875" style="3" customWidth="1"/>
    <col min="5407" max="5407" width="1.21875" style="3" customWidth="1"/>
    <col min="5408" max="5632" width="3.44140625" style="3"/>
    <col min="5633" max="5633" width="1.21875" style="3" customWidth="1"/>
    <col min="5634" max="5637" width="3.109375" style="3" customWidth="1"/>
    <col min="5638" max="5638" width="3.33203125" style="3" customWidth="1"/>
    <col min="5639" max="5657" width="3.109375" style="3" customWidth="1"/>
    <col min="5658" max="5662" width="3.21875" style="3" customWidth="1"/>
    <col min="5663" max="5663" width="1.21875" style="3" customWidth="1"/>
    <col min="5664" max="5888" width="3.44140625" style="3"/>
    <col min="5889" max="5889" width="1.21875" style="3" customWidth="1"/>
    <col min="5890" max="5893" width="3.109375" style="3" customWidth="1"/>
    <col min="5894" max="5894" width="3.33203125" style="3" customWidth="1"/>
    <col min="5895" max="5913" width="3.109375" style="3" customWidth="1"/>
    <col min="5914" max="5918" width="3.21875" style="3" customWidth="1"/>
    <col min="5919" max="5919" width="1.21875" style="3" customWidth="1"/>
    <col min="5920" max="6144" width="3.44140625" style="3"/>
    <col min="6145" max="6145" width="1.21875" style="3" customWidth="1"/>
    <col min="6146" max="6149" width="3.109375" style="3" customWidth="1"/>
    <col min="6150" max="6150" width="3.33203125" style="3" customWidth="1"/>
    <col min="6151" max="6169" width="3.109375" style="3" customWidth="1"/>
    <col min="6170" max="6174" width="3.21875" style="3" customWidth="1"/>
    <col min="6175" max="6175" width="1.21875" style="3" customWidth="1"/>
    <col min="6176" max="6400" width="3.44140625" style="3"/>
    <col min="6401" max="6401" width="1.21875" style="3" customWidth="1"/>
    <col min="6402" max="6405" width="3.109375" style="3" customWidth="1"/>
    <col min="6406" max="6406" width="3.33203125" style="3" customWidth="1"/>
    <col min="6407" max="6425" width="3.109375" style="3" customWidth="1"/>
    <col min="6426" max="6430" width="3.21875" style="3" customWidth="1"/>
    <col min="6431" max="6431" width="1.21875" style="3" customWidth="1"/>
    <col min="6432" max="6656" width="3.44140625" style="3"/>
    <col min="6657" max="6657" width="1.21875" style="3" customWidth="1"/>
    <col min="6658" max="6661" width="3.109375" style="3" customWidth="1"/>
    <col min="6662" max="6662" width="3.33203125" style="3" customWidth="1"/>
    <col min="6663" max="6681" width="3.109375" style="3" customWidth="1"/>
    <col min="6682" max="6686" width="3.21875" style="3" customWidth="1"/>
    <col min="6687" max="6687" width="1.21875" style="3" customWidth="1"/>
    <col min="6688" max="6912" width="3.44140625" style="3"/>
    <col min="6913" max="6913" width="1.21875" style="3" customWidth="1"/>
    <col min="6914" max="6917" width="3.109375" style="3" customWidth="1"/>
    <col min="6918" max="6918" width="3.33203125" style="3" customWidth="1"/>
    <col min="6919" max="6937" width="3.109375" style="3" customWidth="1"/>
    <col min="6938" max="6942" width="3.21875" style="3" customWidth="1"/>
    <col min="6943" max="6943" width="1.21875" style="3" customWidth="1"/>
    <col min="6944" max="7168" width="3.44140625" style="3"/>
    <col min="7169" max="7169" width="1.21875" style="3" customWidth="1"/>
    <col min="7170" max="7173" width="3.109375" style="3" customWidth="1"/>
    <col min="7174" max="7174" width="3.33203125" style="3" customWidth="1"/>
    <col min="7175" max="7193" width="3.109375" style="3" customWidth="1"/>
    <col min="7194" max="7198" width="3.21875" style="3" customWidth="1"/>
    <col min="7199" max="7199" width="1.21875" style="3" customWidth="1"/>
    <col min="7200" max="7424" width="3.44140625" style="3"/>
    <col min="7425" max="7425" width="1.21875" style="3" customWidth="1"/>
    <col min="7426" max="7429" width="3.109375" style="3" customWidth="1"/>
    <col min="7430" max="7430" width="3.33203125" style="3" customWidth="1"/>
    <col min="7431" max="7449" width="3.109375" style="3" customWidth="1"/>
    <col min="7450" max="7454" width="3.21875" style="3" customWidth="1"/>
    <col min="7455" max="7455" width="1.21875" style="3" customWidth="1"/>
    <col min="7456" max="7680" width="3.44140625" style="3"/>
    <col min="7681" max="7681" width="1.21875" style="3" customWidth="1"/>
    <col min="7682" max="7685" width="3.109375" style="3" customWidth="1"/>
    <col min="7686" max="7686" width="3.33203125" style="3" customWidth="1"/>
    <col min="7687" max="7705" width="3.109375" style="3" customWidth="1"/>
    <col min="7706" max="7710" width="3.21875" style="3" customWidth="1"/>
    <col min="7711" max="7711" width="1.21875" style="3" customWidth="1"/>
    <col min="7712" max="7936" width="3.44140625" style="3"/>
    <col min="7937" max="7937" width="1.21875" style="3" customWidth="1"/>
    <col min="7938" max="7941" width="3.109375" style="3" customWidth="1"/>
    <col min="7942" max="7942" width="3.33203125" style="3" customWidth="1"/>
    <col min="7943" max="7961" width="3.109375" style="3" customWidth="1"/>
    <col min="7962" max="7966" width="3.21875" style="3" customWidth="1"/>
    <col min="7967" max="7967" width="1.21875" style="3" customWidth="1"/>
    <col min="7968" max="8192" width="3.44140625" style="3"/>
    <col min="8193" max="8193" width="1.21875" style="3" customWidth="1"/>
    <col min="8194" max="8197" width="3.109375" style="3" customWidth="1"/>
    <col min="8198" max="8198" width="3.33203125" style="3" customWidth="1"/>
    <col min="8199" max="8217" width="3.109375" style="3" customWidth="1"/>
    <col min="8218" max="8222" width="3.21875" style="3" customWidth="1"/>
    <col min="8223" max="8223" width="1.21875" style="3" customWidth="1"/>
    <col min="8224" max="8448" width="3.44140625" style="3"/>
    <col min="8449" max="8449" width="1.21875" style="3" customWidth="1"/>
    <col min="8450" max="8453" width="3.109375" style="3" customWidth="1"/>
    <col min="8454" max="8454" width="3.33203125" style="3" customWidth="1"/>
    <col min="8455" max="8473" width="3.109375" style="3" customWidth="1"/>
    <col min="8474" max="8478" width="3.21875" style="3" customWidth="1"/>
    <col min="8479" max="8479" width="1.21875" style="3" customWidth="1"/>
    <col min="8480" max="8704" width="3.44140625" style="3"/>
    <col min="8705" max="8705" width="1.21875" style="3" customWidth="1"/>
    <col min="8706" max="8709" width="3.109375" style="3" customWidth="1"/>
    <col min="8710" max="8710" width="3.33203125" style="3" customWidth="1"/>
    <col min="8711" max="8729" width="3.109375" style="3" customWidth="1"/>
    <col min="8730" max="8734" width="3.21875" style="3" customWidth="1"/>
    <col min="8735" max="8735" width="1.21875" style="3" customWidth="1"/>
    <col min="8736" max="8960" width="3.44140625" style="3"/>
    <col min="8961" max="8961" width="1.21875" style="3" customWidth="1"/>
    <col min="8962" max="8965" width="3.109375" style="3" customWidth="1"/>
    <col min="8966" max="8966" width="3.33203125" style="3" customWidth="1"/>
    <col min="8967" max="8985" width="3.109375" style="3" customWidth="1"/>
    <col min="8986" max="8990" width="3.21875" style="3" customWidth="1"/>
    <col min="8991" max="8991" width="1.21875" style="3" customWidth="1"/>
    <col min="8992" max="9216" width="3.44140625" style="3"/>
    <col min="9217" max="9217" width="1.21875" style="3" customWidth="1"/>
    <col min="9218" max="9221" width="3.109375" style="3" customWidth="1"/>
    <col min="9222" max="9222" width="3.33203125" style="3" customWidth="1"/>
    <col min="9223" max="9241" width="3.109375" style="3" customWidth="1"/>
    <col min="9242" max="9246" width="3.21875" style="3" customWidth="1"/>
    <col min="9247" max="9247" width="1.21875" style="3" customWidth="1"/>
    <col min="9248" max="9472" width="3.44140625" style="3"/>
    <col min="9473" max="9473" width="1.21875" style="3" customWidth="1"/>
    <col min="9474" max="9477" width="3.109375" style="3" customWidth="1"/>
    <col min="9478" max="9478" width="3.33203125" style="3" customWidth="1"/>
    <col min="9479" max="9497" width="3.109375" style="3" customWidth="1"/>
    <col min="9498" max="9502" width="3.21875" style="3" customWidth="1"/>
    <col min="9503" max="9503" width="1.21875" style="3" customWidth="1"/>
    <col min="9504" max="9728" width="3.44140625" style="3"/>
    <col min="9729" max="9729" width="1.21875" style="3" customWidth="1"/>
    <col min="9730" max="9733" width="3.109375" style="3" customWidth="1"/>
    <col min="9734" max="9734" width="3.33203125" style="3" customWidth="1"/>
    <col min="9735" max="9753" width="3.109375" style="3" customWidth="1"/>
    <col min="9754" max="9758" width="3.21875" style="3" customWidth="1"/>
    <col min="9759" max="9759" width="1.21875" style="3" customWidth="1"/>
    <col min="9760" max="9984" width="3.44140625" style="3"/>
    <col min="9985" max="9985" width="1.21875" style="3" customWidth="1"/>
    <col min="9986" max="9989" width="3.109375" style="3" customWidth="1"/>
    <col min="9990" max="9990" width="3.33203125" style="3" customWidth="1"/>
    <col min="9991" max="10009" width="3.109375" style="3" customWidth="1"/>
    <col min="10010" max="10014" width="3.21875" style="3" customWidth="1"/>
    <col min="10015" max="10015" width="1.21875" style="3" customWidth="1"/>
    <col min="10016" max="10240" width="3.44140625" style="3"/>
    <col min="10241" max="10241" width="1.21875" style="3" customWidth="1"/>
    <col min="10242" max="10245" width="3.109375" style="3" customWidth="1"/>
    <col min="10246" max="10246" width="3.33203125" style="3" customWidth="1"/>
    <col min="10247" max="10265" width="3.109375" style="3" customWidth="1"/>
    <col min="10266" max="10270" width="3.21875" style="3" customWidth="1"/>
    <col min="10271" max="10271" width="1.21875" style="3" customWidth="1"/>
    <col min="10272" max="10496" width="3.44140625" style="3"/>
    <col min="10497" max="10497" width="1.21875" style="3" customWidth="1"/>
    <col min="10498" max="10501" width="3.109375" style="3" customWidth="1"/>
    <col min="10502" max="10502" width="3.33203125" style="3" customWidth="1"/>
    <col min="10503" max="10521" width="3.109375" style="3" customWidth="1"/>
    <col min="10522" max="10526" width="3.21875" style="3" customWidth="1"/>
    <col min="10527" max="10527" width="1.21875" style="3" customWidth="1"/>
    <col min="10528" max="10752" width="3.44140625" style="3"/>
    <col min="10753" max="10753" width="1.21875" style="3" customWidth="1"/>
    <col min="10754" max="10757" width="3.109375" style="3" customWidth="1"/>
    <col min="10758" max="10758" width="3.33203125" style="3" customWidth="1"/>
    <col min="10759" max="10777" width="3.109375" style="3" customWidth="1"/>
    <col min="10778" max="10782" width="3.21875" style="3" customWidth="1"/>
    <col min="10783" max="10783" width="1.21875" style="3" customWidth="1"/>
    <col min="10784" max="11008" width="3.44140625" style="3"/>
    <col min="11009" max="11009" width="1.21875" style="3" customWidth="1"/>
    <col min="11010" max="11013" width="3.109375" style="3" customWidth="1"/>
    <col min="11014" max="11014" width="3.33203125" style="3" customWidth="1"/>
    <col min="11015" max="11033" width="3.109375" style="3" customWidth="1"/>
    <col min="11034" max="11038" width="3.21875" style="3" customWidth="1"/>
    <col min="11039" max="11039" width="1.21875" style="3" customWidth="1"/>
    <col min="11040" max="11264" width="3.44140625" style="3"/>
    <col min="11265" max="11265" width="1.21875" style="3" customWidth="1"/>
    <col min="11266" max="11269" width="3.109375" style="3" customWidth="1"/>
    <col min="11270" max="11270" width="3.33203125" style="3" customWidth="1"/>
    <col min="11271" max="11289" width="3.109375" style="3" customWidth="1"/>
    <col min="11290" max="11294" width="3.21875" style="3" customWidth="1"/>
    <col min="11295" max="11295" width="1.21875" style="3" customWidth="1"/>
    <col min="11296" max="11520" width="3.44140625" style="3"/>
    <col min="11521" max="11521" width="1.21875" style="3" customWidth="1"/>
    <col min="11522" max="11525" width="3.109375" style="3" customWidth="1"/>
    <col min="11526" max="11526" width="3.33203125" style="3" customWidth="1"/>
    <col min="11527" max="11545" width="3.109375" style="3" customWidth="1"/>
    <col min="11546" max="11550" width="3.21875" style="3" customWidth="1"/>
    <col min="11551" max="11551" width="1.21875" style="3" customWidth="1"/>
    <col min="11552" max="11776" width="3.44140625" style="3"/>
    <col min="11777" max="11777" width="1.21875" style="3" customWidth="1"/>
    <col min="11778" max="11781" width="3.109375" style="3" customWidth="1"/>
    <col min="11782" max="11782" width="3.33203125" style="3" customWidth="1"/>
    <col min="11783" max="11801" width="3.109375" style="3" customWidth="1"/>
    <col min="11802" max="11806" width="3.21875" style="3" customWidth="1"/>
    <col min="11807" max="11807" width="1.21875" style="3" customWidth="1"/>
    <col min="11808" max="12032" width="3.44140625" style="3"/>
    <col min="12033" max="12033" width="1.21875" style="3" customWidth="1"/>
    <col min="12034" max="12037" width="3.109375" style="3" customWidth="1"/>
    <col min="12038" max="12038" width="3.33203125" style="3" customWidth="1"/>
    <col min="12039" max="12057" width="3.109375" style="3" customWidth="1"/>
    <col min="12058" max="12062" width="3.21875" style="3" customWidth="1"/>
    <col min="12063" max="12063" width="1.21875" style="3" customWidth="1"/>
    <col min="12064" max="12288" width="3.44140625" style="3"/>
    <col min="12289" max="12289" width="1.21875" style="3" customWidth="1"/>
    <col min="12290" max="12293" width="3.109375" style="3" customWidth="1"/>
    <col min="12294" max="12294" width="3.33203125" style="3" customWidth="1"/>
    <col min="12295" max="12313" width="3.109375" style="3" customWidth="1"/>
    <col min="12314" max="12318" width="3.21875" style="3" customWidth="1"/>
    <col min="12319" max="12319" width="1.21875" style="3" customWidth="1"/>
    <col min="12320" max="12544" width="3.44140625" style="3"/>
    <col min="12545" max="12545" width="1.21875" style="3" customWidth="1"/>
    <col min="12546" max="12549" width="3.109375" style="3" customWidth="1"/>
    <col min="12550" max="12550" width="3.33203125" style="3" customWidth="1"/>
    <col min="12551" max="12569" width="3.109375" style="3" customWidth="1"/>
    <col min="12570" max="12574" width="3.21875" style="3" customWidth="1"/>
    <col min="12575" max="12575" width="1.21875" style="3" customWidth="1"/>
    <col min="12576" max="12800" width="3.44140625" style="3"/>
    <col min="12801" max="12801" width="1.21875" style="3" customWidth="1"/>
    <col min="12802" max="12805" width="3.109375" style="3" customWidth="1"/>
    <col min="12806" max="12806" width="3.33203125" style="3" customWidth="1"/>
    <col min="12807" max="12825" width="3.109375" style="3" customWidth="1"/>
    <col min="12826" max="12830" width="3.21875" style="3" customWidth="1"/>
    <col min="12831" max="12831" width="1.21875" style="3" customWidth="1"/>
    <col min="12832" max="13056" width="3.44140625" style="3"/>
    <col min="13057" max="13057" width="1.21875" style="3" customWidth="1"/>
    <col min="13058" max="13061" width="3.109375" style="3" customWidth="1"/>
    <col min="13062" max="13062" width="3.33203125" style="3" customWidth="1"/>
    <col min="13063" max="13081" width="3.109375" style="3" customWidth="1"/>
    <col min="13082" max="13086" width="3.21875" style="3" customWidth="1"/>
    <col min="13087" max="13087" width="1.21875" style="3" customWidth="1"/>
    <col min="13088" max="13312" width="3.44140625" style="3"/>
    <col min="13313" max="13313" width="1.21875" style="3" customWidth="1"/>
    <col min="13314" max="13317" width="3.109375" style="3" customWidth="1"/>
    <col min="13318" max="13318" width="3.33203125" style="3" customWidth="1"/>
    <col min="13319" max="13337" width="3.109375" style="3" customWidth="1"/>
    <col min="13338" max="13342" width="3.21875" style="3" customWidth="1"/>
    <col min="13343" max="13343" width="1.21875" style="3" customWidth="1"/>
    <col min="13344" max="13568" width="3.44140625" style="3"/>
    <col min="13569" max="13569" width="1.21875" style="3" customWidth="1"/>
    <col min="13570" max="13573" width="3.109375" style="3" customWidth="1"/>
    <col min="13574" max="13574" width="3.33203125" style="3" customWidth="1"/>
    <col min="13575" max="13593" width="3.109375" style="3" customWidth="1"/>
    <col min="13594" max="13598" width="3.21875" style="3" customWidth="1"/>
    <col min="13599" max="13599" width="1.21875" style="3" customWidth="1"/>
    <col min="13600" max="13824" width="3.44140625" style="3"/>
    <col min="13825" max="13825" width="1.21875" style="3" customWidth="1"/>
    <col min="13826" max="13829" width="3.109375" style="3" customWidth="1"/>
    <col min="13830" max="13830" width="3.33203125" style="3" customWidth="1"/>
    <col min="13831" max="13849" width="3.109375" style="3" customWidth="1"/>
    <col min="13850" max="13854" width="3.21875" style="3" customWidth="1"/>
    <col min="13855" max="13855" width="1.21875" style="3" customWidth="1"/>
    <col min="13856" max="14080" width="3.44140625" style="3"/>
    <col min="14081" max="14081" width="1.21875" style="3" customWidth="1"/>
    <col min="14082" max="14085" width="3.109375" style="3" customWidth="1"/>
    <col min="14086" max="14086" width="3.33203125" style="3" customWidth="1"/>
    <col min="14087" max="14105" width="3.109375" style="3" customWidth="1"/>
    <col min="14106" max="14110" width="3.21875" style="3" customWidth="1"/>
    <col min="14111" max="14111" width="1.21875" style="3" customWidth="1"/>
    <col min="14112" max="14336" width="3.44140625" style="3"/>
    <col min="14337" max="14337" width="1.21875" style="3" customWidth="1"/>
    <col min="14338" max="14341" width="3.109375" style="3" customWidth="1"/>
    <col min="14342" max="14342" width="3.33203125" style="3" customWidth="1"/>
    <col min="14343" max="14361" width="3.109375" style="3" customWidth="1"/>
    <col min="14362" max="14366" width="3.21875" style="3" customWidth="1"/>
    <col min="14367" max="14367" width="1.21875" style="3" customWidth="1"/>
    <col min="14368" max="14592" width="3.44140625" style="3"/>
    <col min="14593" max="14593" width="1.21875" style="3" customWidth="1"/>
    <col min="14594" max="14597" width="3.109375" style="3" customWidth="1"/>
    <col min="14598" max="14598" width="3.33203125" style="3" customWidth="1"/>
    <col min="14599" max="14617" width="3.109375" style="3" customWidth="1"/>
    <col min="14618" max="14622" width="3.21875" style="3" customWidth="1"/>
    <col min="14623" max="14623" width="1.21875" style="3" customWidth="1"/>
    <col min="14624" max="14848" width="3.44140625" style="3"/>
    <col min="14849" max="14849" width="1.21875" style="3" customWidth="1"/>
    <col min="14850" max="14853" width="3.109375" style="3" customWidth="1"/>
    <col min="14854" max="14854" width="3.33203125" style="3" customWidth="1"/>
    <col min="14855" max="14873" width="3.109375" style="3" customWidth="1"/>
    <col min="14874" max="14878" width="3.21875" style="3" customWidth="1"/>
    <col min="14879" max="14879" width="1.21875" style="3" customWidth="1"/>
    <col min="14880" max="15104" width="3.44140625" style="3"/>
    <col min="15105" max="15105" width="1.21875" style="3" customWidth="1"/>
    <col min="15106" max="15109" width="3.109375" style="3" customWidth="1"/>
    <col min="15110" max="15110" width="3.33203125" style="3" customWidth="1"/>
    <col min="15111" max="15129" width="3.109375" style="3" customWidth="1"/>
    <col min="15130" max="15134" width="3.21875" style="3" customWidth="1"/>
    <col min="15135" max="15135" width="1.21875" style="3" customWidth="1"/>
    <col min="15136" max="15360" width="3.44140625" style="3"/>
    <col min="15361" max="15361" width="1.21875" style="3" customWidth="1"/>
    <col min="15362" max="15365" width="3.109375" style="3" customWidth="1"/>
    <col min="15366" max="15366" width="3.33203125" style="3" customWidth="1"/>
    <col min="15367" max="15385" width="3.109375" style="3" customWidth="1"/>
    <col min="15386" max="15390" width="3.21875" style="3" customWidth="1"/>
    <col min="15391" max="15391" width="1.21875" style="3" customWidth="1"/>
    <col min="15392" max="15616" width="3.44140625" style="3"/>
    <col min="15617" max="15617" width="1.21875" style="3" customWidth="1"/>
    <col min="15618" max="15621" width="3.109375" style="3" customWidth="1"/>
    <col min="15622" max="15622" width="3.33203125" style="3" customWidth="1"/>
    <col min="15623" max="15641" width="3.109375" style="3" customWidth="1"/>
    <col min="15642" max="15646" width="3.21875" style="3" customWidth="1"/>
    <col min="15647" max="15647" width="1.21875" style="3" customWidth="1"/>
    <col min="15648" max="15872" width="3.44140625" style="3"/>
    <col min="15873" max="15873" width="1.21875" style="3" customWidth="1"/>
    <col min="15874" max="15877" width="3.109375" style="3" customWidth="1"/>
    <col min="15878" max="15878" width="3.33203125" style="3" customWidth="1"/>
    <col min="15879" max="15897" width="3.109375" style="3" customWidth="1"/>
    <col min="15898" max="15902" width="3.21875" style="3" customWidth="1"/>
    <col min="15903" max="15903" width="1.21875" style="3" customWidth="1"/>
    <col min="15904" max="16128" width="3.44140625" style="3"/>
    <col min="16129" max="16129" width="1.21875" style="3" customWidth="1"/>
    <col min="16130" max="16133" width="3.109375" style="3" customWidth="1"/>
    <col min="16134" max="16134" width="3.33203125" style="3" customWidth="1"/>
    <col min="16135" max="16153" width="3.109375" style="3" customWidth="1"/>
    <col min="16154" max="16158" width="3.21875" style="3" customWidth="1"/>
    <col min="16159" max="16159" width="1.21875" style="3" customWidth="1"/>
    <col min="16160" max="16384" width="3.44140625" style="3"/>
  </cols>
  <sheetData>
    <row r="1" spans="2:30" s="1" customFormat="1" ht="6.75" customHeight="1"/>
    <row r="2" spans="2:30" s="1" customFormat="1">
      <c r="B2" s="1" t="s">
        <v>1804</v>
      </c>
    </row>
    <row r="3" spans="2:30" s="1" customFormat="1">
      <c r="U3" s="45" t="s">
        <v>544</v>
      </c>
      <c r="V3" s="1575"/>
      <c r="W3" s="1575"/>
      <c r="X3" s="45" t="s">
        <v>34</v>
      </c>
      <c r="Y3" s="1575"/>
      <c r="Z3" s="1575"/>
      <c r="AA3" s="45" t="s">
        <v>392</v>
      </c>
      <c r="AB3" s="1575"/>
      <c r="AC3" s="1575"/>
      <c r="AD3" s="45" t="s">
        <v>241</v>
      </c>
    </row>
    <row r="4" spans="2:30" s="1" customFormat="1" ht="5.25" customHeight="1">
      <c r="AD4" s="45"/>
    </row>
    <row r="5" spans="2:30" s="1" customFormat="1">
      <c r="B5" s="1575" t="s">
        <v>808</v>
      </c>
      <c r="C5" s="1575"/>
      <c r="D5" s="1575"/>
      <c r="E5" s="1575"/>
      <c r="F5" s="1575"/>
      <c r="G5" s="1575"/>
      <c r="H5" s="1575"/>
      <c r="I5" s="1575"/>
      <c r="J5" s="1575"/>
      <c r="K5" s="1575"/>
      <c r="L5" s="1575"/>
      <c r="M5" s="1575"/>
      <c r="N5" s="1575"/>
      <c r="O5" s="1575"/>
      <c r="P5" s="1575"/>
      <c r="Q5" s="1575"/>
      <c r="R5" s="1575"/>
      <c r="S5" s="1575"/>
      <c r="T5" s="1575"/>
      <c r="U5" s="1575"/>
      <c r="V5" s="1575"/>
      <c r="W5" s="1575"/>
      <c r="X5" s="1575"/>
      <c r="Y5" s="1575"/>
      <c r="Z5" s="1575"/>
      <c r="AA5" s="1575"/>
      <c r="AB5" s="1575"/>
      <c r="AC5" s="1575"/>
      <c r="AD5" s="1575"/>
    </row>
    <row r="6" spans="2:30" s="1" customFormat="1">
      <c r="B6" s="1575" t="s">
        <v>1805</v>
      </c>
      <c r="C6" s="1575"/>
      <c r="D6" s="1575"/>
      <c r="E6" s="1575"/>
      <c r="F6" s="1575"/>
      <c r="G6" s="1575"/>
      <c r="H6" s="1575"/>
      <c r="I6" s="1575"/>
      <c r="J6" s="1575"/>
      <c r="K6" s="1575"/>
      <c r="L6" s="1575"/>
      <c r="M6" s="1575"/>
      <c r="N6" s="1575"/>
      <c r="O6" s="1575"/>
      <c r="P6" s="1575"/>
      <c r="Q6" s="1575"/>
      <c r="R6" s="1575"/>
      <c r="S6" s="1575"/>
      <c r="T6" s="1575"/>
      <c r="U6" s="1575"/>
      <c r="V6" s="1575"/>
      <c r="W6" s="1575"/>
      <c r="X6" s="1575"/>
      <c r="Y6" s="1575"/>
      <c r="Z6" s="1575"/>
      <c r="AA6" s="1575"/>
      <c r="AB6" s="1575"/>
      <c r="AC6" s="1575"/>
      <c r="AD6" s="1575"/>
    </row>
    <row r="7" spans="2:30" s="1" customFormat="1" ht="6" customHeight="1"/>
    <row r="8" spans="2:30" s="1" customFormat="1" ht="21.75" customHeight="1">
      <c r="B8" s="1861" t="s">
        <v>196</v>
      </c>
      <c r="C8" s="1861"/>
      <c r="D8" s="1861"/>
      <c r="E8" s="1861"/>
      <c r="F8" s="1789"/>
      <c r="G8" s="1862"/>
      <c r="H8" s="1863"/>
      <c r="I8" s="1863"/>
      <c r="J8" s="1863"/>
      <c r="K8" s="1863"/>
      <c r="L8" s="1863"/>
      <c r="M8" s="1863"/>
      <c r="N8" s="1863"/>
      <c r="O8" s="1863"/>
      <c r="P8" s="1863"/>
      <c r="Q8" s="1863"/>
      <c r="R8" s="1863"/>
      <c r="S8" s="1863"/>
      <c r="T8" s="1863"/>
      <c r="U8" s="1863"/>
      <c r="V8" s="1863"/>
      <c r="W8" s="1863"/>
      <c r="X8" s="1863"/>
      <c r="Y8" s="1863"/>
      <c r="Z8" s="1863"/>
      <c r="AA8" s="1863"/>
      <c r="AB8" s="1863"/>
      <c r="AC8" s="1863"/>
      <c r="AD8" s="1864"/>
    </row>
    <row r="9" spans="2:30" ht="21.75" customHeight="1">
      <c r="B9" s="1789" t="s">
        <v>93</v>
      </c>
      <c r="C9" s="1790"/>
      <c r="D9" s="1790"/>
      <c r="E9" s="1790"/>
      <c r="F9" s="1790"/>
      <c r="G9" s="719" t="s">
        <v>121</v>
      </c>
      <c r="H9" s="639" t="s">
        <v>1173</v>
      </c>
      <c r="I9" s="639"/>
      <c r="J9" s="639"/>
      <c r="K9" s="639"/>
      <c r="L9" s="640" t="s">
        <v>121</v>
      </c>
      <c r="M9" s="639" t="s">
        <v>1174</v>
      </c>
      <c r="N9" s="639"/>
      <c r="O9" s="639"/>
      <c r="P9" s="639"/>
      <c r="Q9" s="640" t="s">
        <v>121</v>
      </c>
      <c r="R9" s="639" t="s">
        <v>1175</v>
      </c>
      <c r="S9" s="642"/>
      <c r="T9" s="642"/>
      <c r="U9" s="642"/>
      <c r="V9" s="642"/>
      <c r="W9" s="642"/>
      <c r="X9" s="642"/>
      <c r="Y9" s="642"/>
      <c r="Z9" s="642"/>
      <c r="AA9" s="642"/>
      <c r="AB9" s="642"/>
      <c r="AC9" s="642"/>
      <c r="AD9" s="741"/>
    </row>
    <row r="10" spans="2:30" ht="21.75" customHeight="1">
      <c r="B10" s="1803" t="s">
        <v>810</v>
      </c>
      <c r="C10" s="1804"/>
      <c r="D10" s="1804"/>
      <c r="E10" s="1804"/>
      <c r="F10" s="1805"/>
      <c r="G10" s="641" t="s">
        <v>121</v>
      </c>
      <c r="H10" s="1" t="s">
        <v>1806</v>
      </c>
      <c r="I10" s="2"/>
      <c r="J10" s="2"/>
      <c r="K10" s="2"/>
      <c r="L10" s="2"/>
      <c r="M10" s="2"/>
      <c r="N10" s="2"/>
      <c r="O10" s="2"/>
      <c r="P10" s="2"/>
      <c r="Q10" s="2"/>
      <c r="R10" s="641" t="s">
        <v>121</v>
      </c>
      <c r="S10" s="1" t="s">
        <v>1807</v>
      </c>
      <c r="T10" s="745"/>
      <c r="U10" s="745"/>
      <c r="V10" s="745"/>
      <c r="W10" s="745"/>
      <c r="X10" s="745"/>
      <c r="Y10" s="745"/>
      <c r="Z10" s="745"/>
      <c r="AA10" s="745"/>
      <c r="AB10" s="745"/>
      <c r="AC10" s="745"/>
      <c r="AD10" s="746"/>
    </row>
    <row r="11" spans="2:30" ht="21.75" customHeight="1">
      <c r="B11" s="1806"/>
      <c r="C11" s="1807"/>
      <c r="D11" s="1807"/>
      <c r="E11" s="1807"/>
      <c r="F11" s="1808"/>
      <c r="G11" s="641" t="s">
        <v>121</v>
      </c>
      <c r="H11" s="8" t="s">
        <v>1808</v>
      </c>
      <c r="I11" s="645"/>
      <c r="J11" s="645"/>
      <c r="K11" s="645"/>
      <c r="L11" s="645"/>
      <c r="M11" s="645"/>
      <c r="N11" s="645"/>
      <c r="O11" s="645"/>
      <c r="P11" s="645"/>
      <c r="Q11" s="645"/>
      <c r="R11" s="645"/>
      <c r="S11" s="647"/>
      <c r="T11" s="647"/>
      <c r="U11" s="647"/>
      <c r="V11" s="647"/>
      <c r="W11" s="647"/>
      <c r="X11" s="647"/>
      <c r="Y11" s="647"/>
      <c r="Z11" s="647"/>
      <c r="AA11" s="647"/>
      <c r="AB11" s="647"/>
      <c r="AC11" s="647"/>
      <c r="AD11" s="748"/>
    </row>
    <row r="12" spans="2:30">
      <c r="B12" s="1803" t="s">
        <v>811</v>
      </c>
      <c r="C12" s="1804"/>
      <c r="D12" s="1804"/>
      <c r="E12" s="1804"/>
      <c r="F12" s="1805"/>
      <c r="G12" s="881" t="s">
        <v>1809</v>
      </c>
      <c r="H12" s="882"/>
      <c r="I12" s="882"/>
      <c r="J12" s="882"/>
      <c r="K12" s="882"/>
      <c r="L12" s="882"/>
      <c r="M12" s="882"/>
      <c r="N12" s="882"/>
      <c r="O12" s="882"/>
      <c r="P12" s="882"/>
      <c r="Q12" s="882"/>
      <c r="R12" s="882"/>
      <c r="S12" s="882"/>
      <c r="T12" s="882"/>
      <c r="U12" s="882"/>
      <c r="V12" s="882"/>
      <c r="W12" s="882"/>
      <c r="X12" s="882"/>
      <c r="Y12" s="882"/>
      <c r="Z12" s="882"/>
      <c r="AA12" s="882"/>
      <c r="AB12" s="882"/>
      <c r="AC12" s="882"/>
      <c r="AD12" s="883"/>
    </row>
    <row r="13" spans="2:30" ht="31.5" customHeight="1">
      <c r="B13" s="1846"/>
      <c r="C13" s="1847"/>
      <c r="D13" s="1847"/>
      <c r="E13" s="1847"/>
      <c r="F13" s="1848"/>
      <c r="G13" s="655" t="s">
        <v>121</v>
      </c>
      <c r="H13" s="1" t="s">
        <v>1627</v>
      </c>
      <c r="I13" s="2"/>
      <c r="J13" s="2"/>
      <c r="K13" s="2"/>
      <c r="L13" s="2"/>
      <c r="M13" s="2"/>
      <c r="N13" s="2"/>
      <c r="O13" s="2"/>
      <c r="P13" s="2"/>
      <c r="Q13" s="2"/>
      <c r="R13" s="641" t="s">
        <v>121</v>
      </c>
      <c r="S13" s="1" t="s">
        <v>1628</v>
      </c>
      <c r="T13" s="745"/>
      <c r="U13" s="745"/>
      <c r="V13" s="745"/>
      <c r="W13" s="745"/>
      <c r="X13" s="745"/>
      <c r="Y13" s="745"/>
      <c r="Z13" s="745"/>
      <c r="AA13" s="745"/>
      <c r="AB13" s="745"/>
      <c r="AC13" s="745"/>
      <c r="AD13" s="746"/>
    </row>
    <row r="14" spans="2:30">
      <c r="B14" s="1846"/>
      <c r="C14" s="1847"/>
      <c r="D14" s="1847"/>
      <c r="E14" s="1847"/>
      <c r="F14" s="1848"/>
      <c r="G14" s="625" t="s">
        <v>1810</v>
      </c>
      <c r="H14" s="1"/>
      <c r="I14" s="2"/>
      <c r="J14" s="2"/>
      <c r="K14" s="2"/>
      <c r="L14" s="2"/>
      <c r="M14" s="2"/>
      <c r="N14" s="2"/>
      <c r="O14" s="2"/>
      <c r="P14" s="2"/>
      <c r="Q14" s="2"/>
      <c r="R14" s="2"/>
      <c r="S14" s="1"/>
      <c r="T14" s="745"/>
      <c r="U14" s="745"/>
      <c r="V14" s="745"/>
      <c r="W14" s="745"/>
      <c r="X14" s="745"/>
      <c r="Y14" s="745"/>
      <c r="Z14" s="745"/>
      <c r="AA14" s="745"/>
      <c r="AB14" s="745"/>
      <c r="AC14" s="745"/>
      <c r="AD14" s="746"/>
    </row>
    <row r="15" spans="2:30" ht="31.5" customHeight="1">
      <c r="B15" s="1806"/>
      <c r="C15" s="1807"/>
      <c r="D15" s="1807"/>
      <c r="E15" s="1807"/>
      <c r="F15" s="1808"/>
      <c r="G15" s="747" t="s">
        <v>121</v>
      </c>
      <c r="H15" s="8" t="s">
        <v>1629</v>
      </c>
      <c r="I15" s="645"/>
      <c r="J15" s="645"/>
      <c r="K15" s="645"/>
      <c r="L15" s="645"/>
      <c r="M15" s="645"/>
      <c r="N15" s="645"/>
      <c r="O15" s="645"/>
      <c r="P15" s="645"/>
      <c r="Q15" s="645"/>
      <c r="R15" s="646" t="s">
        <v>121</v>
      </c>
      <c r="S15" s="8" t="s">
        <v>1811</v>
      </c>
      <c r="T15" s="647"/>
      <c r="U15" s="647"/>
      <c r="V15" s="647"/>
      <c r="W15" s="647"/>
      <c r="X15" s="647"/>
      <c r="Y15" s="647"/>
      <c r="Z15" s="647"/>
      <c r="AA15" s="647"/>
      <c r="AB15" s="647"/>
      <c r="AC15" s="647"/>
      <c r="AD15" s="748"/>
    </row>
    <row r="16" spans="2:30" s="1" customFormat="1" ht="7.5" customHeight="1"/>
    <row r="17" spans="2:30" s="1" customFormat="1">
      <c r="B17" s="1590" t="s">
        <v>1812</v>
      </c>
      <c r="C17" s="1591"/>
      <c r="D17" s="1591"/>
      <c r="E17" s="1591"/>
      <c r="F17" s="1601"/>
      <c r="G17" s="1849"/>
      <c r="H17" s="1850"/>
      <c r="I17" s="1850"/>
      <c r="J17" s="1850"/>
      <c r="K17" s="1850"/>
      <c r="L17" s="1850"/>
      <c r="M17" s="1850"/>
      <c r="N17" s="1850"/>
      <c r="O17" s="1850"/>
      <c r="P17" s="1850"/>
      <c r="Q17" s="1850"/>
      <c r="R17" s="1850"/>
      <c r="S17" s="1850"/>
      <c r="T17" s="1850"/>
      <c r="U17" s="1850"/>
      <c r="V17" s="1850"/>
      <c r="W17" s="1850"/>
      <c r="X17" s="1850"/>
      <c r="Y17" s="1851"/>
      <c r="Z17" s="41"/>
      <c r="AA17" s="884" t="s">
        <v>1118</v>
      </c>
      <c r="AB17" s="884" t="s">
        <v>440</v>
      </c>
      <c r="AC17" s="884" t="s">
        <v>674</v>
      </c>
      <c r="AD17" s="23"/>
    </row>
    <row r="18" spans="2:30" s="1" customFormat="1" ht="27" customHeight="1">
      <c r="B18" s="1596"/>
      <c r="C18" s="1597"/>
      <c r="D18" s="1597"/>
      <c r="E18" s="1597"/>
      <c r="F18" s="1602"/>
      <c r="G18" s="1852" t="s">
        <v>1813</v>
      </c>
      <c r="H18" s="1853"/>
      <c r="I18" s="1853"/>
      <c r="J18" s="1853"/>
      <c r="K18" s="1853"/>
      <c r="L18" s="1853"/>
      <c r="M18" s="1853"/>
      <c r="N18" s="1853"/>
      <c r="O18" s="1853"/>
      <c r="P18" s="1853"/>
      <c r="Q18" s="1853"/>
      <c r="R18" s="1853"/>
      <c r="S18" s="1853"/>
      <c r="T18" s="1853"/>
      <c r="U18" s="1853"/>
      <c r="V18" s="1853"/>
      <c r="W18" s="1853"/>
      <c r="X18" s="1853"/>
      <c r="Y18" s="1854"/>
      <c r="Z18" s="602"/>
      <c r="AA18" s="641" t="s">
        <v>121</v>
      </c>
      <c r="AB18" s="641" t="s">
        <v>440</v>
      </c>
      <c r="AC18" s="641" t="s">
        <v>121</v>
      </c>
      <c r="AD18" s="667"/>
    </row>
    <row r="19" spans="2:30" s="1" customFormat="1" ht="27" customHeight="1">
      <c r="B19" s="1596"/>
      <c r="C19" s="1597"/>
      <c r="D19" s="1597"/>
      <c r="E19" s="1597"/>
      <c r="F19" s="1602"/>
      <c r="G19" s="1855" t="s">
        <v>1814</v>
      </c>
      <c r="H19" s="1856"/>
      <c r="I19" s="1856"/>
      <c r="J19" s="1856"/>
      <c r="K19" s="1856"/>
      <c r="L19" s="1856"/>
      <c r="M19" s="1856"/>
      <c r="N19" s="1856"/>
      <c r="O19" s="1856"/>
      <c r="P19" s="1856"/>
      <c r="Q19" s="1856"/>
      <c r="R19" s="1856"/>
      <c r="S19" s="1856"/>
      <c r="T19" s="1856"/>
      <c r="U19" s="1856"/>
      <c r="V19" s="1856"/>
      <c r="W19" s="1856"/>
      <c r="X19" s="1856"/>
      <c r="Y19" s="1857"/>
      <c r="Z19" s="625"/>
      <c r="AA19" s="641" t="s">
        <v>121</v>
      </c>
      <c r="AB19" s="641" t="s">
        <v>440</v>
      </c>
      <c r="AC19" s="641" t="s">
        <v>121</v>
      </c>
      <c r="AD19" s="617"/>
    </row>
    <row r="20" spans="2:30" s="1" customFormat="1" ht="27" customHeight="1">
      <c r="B20" s="1603"/>
      <c r="C20" s="1604"/>
      <c r="D20" s="1604"/>
      <c r="E20" s="1604"/>
      <c r="F20" s="1605"/>
      <c r="G20" s="1858" t="s">
        <v>1815</v>
      </c>
      <c r="H20" s="1859"/>
      <c r="I20" s="1859"/>
      <c r="J20" s="1859"/>
      <c r="K20" s="1859"/>
      <c r="L20" s="1859"/>
      <c r="M20" s="1859"/>
      <c r="N20" s="1859"/>
      <c r="O20" s="1859"/>
      <c r="P20" s="1859"/>
      <c r="Q20" s="1859"/>
      <c r="R20" s="1859"/>
      <c r="S20" s="1859"/>
      <c r="T20" s="1859"/>
      <c r="U20" s="1859"/>
      <c r="V20" s="1859"/>
      <c r="W20" s="1859"/>
      <c r="X20" s="1859"/>
      <c r="Y20" s="1860"/>
      <c r="Z20" s="630"/>
      <c r="AA20" s="646" t="s">
        <v>121</v>
      </c>
      <c r="AB20" s="646" t="s">
        <v>440</v>
      </c>
      <c r="AC20" s="646" t="s">
        <v>121</v>
      </c>
      <c r="AD20" s="632"/>
    </row>
    <row r="21" spans="2:30" s="1" customFormat="1" ht="6" customHeight="1"/>
    <row r="22" spans="2:30" s="1" customFormat="1">
      <c r="B22" s="1" t="s">
        <v>1816</v>
      </c>
    </row>
    <row r="23" spans="2:30" s="1" customFormat="1">
      <c r="B23" s="1" t="s">
        <v>813</v>
      </c>
      <c r="AC23" s="2"/>
      <c r="AD23" s="2"/>
    </row>
    <row r="24" spans="2:30" s="1" customFormat="1" ht="6" customHeight="1"/>
    <row r="25" spans="2:30" s="1" customFormat="1" ht="4.5" customHeight="1">
      <c r="B25" s="1837" t="s">
        <v>824</v>
      </c>
      <c r="C25" s="1838"/>
      <c r="D25" s="1824" t="s">
        <v>1817</v>
      </c>
      <c r="E25" s="1825"/>
      <c r="F25" s="1826"/>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1839"/>
      <c r="C26" s="1840"/>
      <c r="D26" s="1827"/>
      <c r="E26" s="1828"/>
      <c r="F26" s="1829"/>
      <c r="G26" s="408"/>
      <c r="H26" s="1" t="s">
        <v>825</v>
      </c>
      <c r="Z26" s="408"/>
      <c r="AA26" s="653" t="s">
        <v>1118</v>
      </c>
      <c r="AB26" s="653" t="s">
        <v>440</v>
      </c>
      <c r="AC26" s="653" t="s">
        <v>674</v>
      </c>
      <c r="AD26" s="783"/>
    </row>
    <row r="27" spans="2:30" s="1" customFormat="1" ht="18" customHeight="1">
      <c r="B27" s="1839"/>
      <c r="C27" s="1840"/>
      <c r="D27" s="1827"/>
      <c r="E27" s="1828"/>
      <c r="F27" s="1829"/>
      <c r="G27" s="408"/>
      <c r="I27" s="613" t="s">
        <v>107</v>
      </c>
      <c r="J27" s="1833" t="s">
        <v>1818</v>
      </c>
      <c r="K27" s="1834"/>
      <c r="L27" s="1834"/>
      <c r="M27" s="1834"/>
      <c r="N27" s="1834"/>
      <c r="O27" s="1834"/>
      <c r="P27" s="1834"/>
      <c r="Q27" s="1834"/>
      <c r="R27" s="1834"/>
      <c r="S27" s="1834"/>
      <c r="T27" s="1834"/>
      <c r="U27" s="1794"/>
      <c r="V27" s="1580"/>
      <c r="W27" s="11" t="s">
        <v>89</v>
      </c>
      <c r="Z27" s="408"/>
      <c r="AC27" s="2"/>
      <c r="AD27" s="617"/>
    </row>
    <row r="28" spans="2:30" s="1" customFormat="1" ht="30" customHeight="1">
      <c r="B28" s="1839"/>
      <c r="C28" s="1840"/>
      <c r="D28" s="1827"/>
      <c r="E28" s="1828"/>
      <c r="F28" s="1829"/>
      <c r="G28" s="408"/>
      <c r="I28" s="784" t="s">
        <v>104</v>
      </c>
      <c r="J28" s="1835" t="s">
        <v>1819</v>
      </c>
      <c r="K28" s="1836"/>
      <c r="L28" s="1836"/>
      <c r="M28" s="1836"/>
      <c r="N28" s="1836"/>
      <c r="O28" s="1836"/>
      <c r="P28" s="1836"/>
      <c r="Q28" s="1836"/>
      <c r="R28" s="1836"/>
      <c r="S28" s="1836"/>
      <c r="T28" s="1836"/>
      <c r="U28" s="1794"/>
      <c r="V28" s="1580"/>
      <c r="W28" s="424" t="s">
        <v>89</v>
      </c>
      <c r="Y28" s="773"/>
      <c r="Z28" s="625"/>
      <c r="AA28" s="641" t="s">
        <v>121</v>
      </c>
      <c r="AB28" s="641" t="s">
        <v>440</v>
      </c>
      <c r="AC28" s="641" t="s">
        <v>121</v>
      </c>
      <c r="AD28" s="617"/>
    </row>
    <row r="29" spans="2:30" s="1" customFormat="1" ht="6" customHeight="1">
      <c r="B29" s="1839"/>
      <c r="C29" s="1840"/>
      <c r="D29" s="1827"/>
      <c r="E29" s="1828"/>
      <c r="F29" s="1829"/>
      <c r="G29" s="409"/>
      <c r="H29" s="8"/>
      <c r="I29" s="8"/>
      <c r="J29" s="8"/>
      <c r="K29" s="8"/>
      <c r="L29" s="8"/>
      <c r="M29" s="8"/>
      <c r="N29" s="8"/>
      <c r="O29" s="8"/>
      <c r="P29" s="8"/>
      <c r="Q29" s="8"/>
      <c r="R29" s="8"/>
      <c r="S29" s="8"/>
      <c r="T29" s="786"/>
      <c r="U29" s="791"/>
      <c r="V29" s="612"/>
      <c r="W29" s="8"/>
      <c r="X29" s="8"/>
      <c r="Y29" s="8"/>
      <c r="Z29" s="409"/>
      <c r="AA29" s="8"/>
      <c r="AB29" s="8"/>
      <c r="AC29" s="645"/>
      <c r="AD29" s="632"/>
    </row>
    <row r="30" spans="2:30" s="1" customFormat="1" ht="4.5" customHeight="1">
      <c r="B30" s="1839"/>
      <c r="C30" s="1840"/>
      <c r="D30" s="1824" t="s">
        <v>1820</v>
      </c>
      <c r="E30" s="1825"/>
      <c r="F30" s="1826"/>
      <c r="G30" s="6"/>
      <c r="H30" s="7"/>
      <c r="I30" s="7"/>
      <c r="J30" s="7"/>
      <c r="K30" s="7"/>
      <c r="L30" s="7"/>
      <c r="M30" s="7"/>
      <c r="N30" s="7"/>
      <c r="O30" s="7"/>
      <c r="P30" s="7"/>
      <c r="Q30" s="7"/>
      <c r="R30" s="7"/>
      <c r="S30" s="7"/>
      <c r="T30" s="7"/>
      <c r="U30" s="611"/>
      <c r="V30" s="611"/>
      <c r="W30" s="7"/>
      <c r="X30" s="7"/>
      <c r="Y30" s="7"/>
      <c r="Z30" s="6"/>
      <c r="AA30" s="7"/>
      <c r="AB30" s="7"/>
      <c r="AC30" s="22"/>
      <c r="AD30" s="23"/>
    </row>
    <row r="31" spans="2:30" s="1" customFormat="1" ht="15.75" customHeight="1">
      <c r="B31" s="1839"/>
      <c r="C31" s="1840"/>
      <c r="D31" s="1827"/>
      <c r="E31" s="1828"/>
      <c r="F31" s="1829"/>
      <c r="G31" s="408"/>
      <c r="H31" s="1" t="s">
        <v>1821</v>
      </c>
      <c r="U31" s="12"/>
      <c r="V31" s="12"/>
      <c r="Z31" s="408"/>
      <c r="AA31" s="653" t="s">
        <v>1118</v>
      </c>
      <c r="AB31" s="653" t="s">
        <v>440</v>
      </c>
      <c r="AC31" s="653" t="s">
        <v>674</v>
      </c>
      <c r="AD31" s="783"/>
    </row>
    <row r="32" spans="2:30" s="1" customFormat="1" ht="30" customHeight="1">
      <c r="B32" s="1839"/>
      <c r="C32" s="1840"/>
      <c r="D32" s="1827"/>
      <c r="E32" s="1828"/>
      <c r="F32" s="1829"/>
      <c r="G32" s="408"/>
      <c r="I32" s="613" t="s">
        <v>107</v>
      </c>
      <c r="J32" s="1833" t="s">
        <v>1822</v>
      </c>
      <c r="K32" s="1834"/>
      <c r="L32" s="1834"/>
      <c r="M32" s="1834"/>
      <c r="N32" s="1834"/>
      <c r="O32" s="1834"/>
      <c r="P32" s="1834"/>
      <c r="Q32" s="1834"/>
      <c r="R32" s="1834"/>
      <c r="S32" s="1834"/>
      <c r="T32" s="1834"/>
      <c r="U32" s="1794"/>
      <c r="V32" s="1580"/>
      <c r="W32" s="11" t="s">
        <v>89</v>
      </c>
      <c r="Z32" s="408"/>
      <c r="AC32" s="2"/>
      <c r="AD32" s="617"/>
    </row>
    <row r="33" spans="2:30" s="1" customFormat="1" ht="18" customHeight="1">
      <c r="B33" s="1839"/>
      <c r="C33" s="1840"/>
      <c r="D33" s="1827"/>
      <c r="E33" s="1828"/>
      <c r="F33" s="1829"/>
      <c r="G33" s="408"/>
      <c r="I33" s="784" t="s">
        <v>104</v>
      </c>
      <c r="J33" s="1835" t="s">
        <v>1823</v>
      </c>
      <c r="K33" s="1836"/>
      <c r="L33" s="1836"/>
      <c r="M33" s="1836"/>
      <c r="N33" s="1836"/>
      <c r="O33" s="1836"/>
      <c r="P33" s="1836"/>
      <c r="Q33" s="1836"/>
      <c r="R33" s="1836"/>
      <c r="S33" s="1836"/>
      <c r="T33" s="1836"/>
      <c r="U33" s="1794"/>
      <c r="V33" s="1580"/>
      <c r="W33" s="424" t="s">
        <v>89</v>
      </c>
      <c r="Y33" s="773"/>
      <c r="Z33" s="625"/>
      <c r="AA33" s="641" t="s">
        <v>121</v>
      </c>
      <c r="AB33" s="641" t="s">
        <v>440</v>
      </c>
      <c r="AC33" s="641" t="s">
        <v>121</v>
      </c>
      <c r="AD33" s="617"/>
    </row>
    <row r="34" spans="2:30" s="1" customFormat="1" ht="6" customHeight="1">
      <c r="B34" s="1839"/>
      <c r="C34" s="1840"/>
      <c r="D34" s="1830"/>
      <c r="E34" s="1831"/>
      <c r="F34" s="1832"/>
      <c r="G34" s="409"/>
      <c r="H34" s="8"/>
      <c r="I34" s="8"/>
      <c r="J34" s="8"/>
      <c r="K34" s="8"/>
      <c r="L34" s="8"/>
      <c r="M34" s="8"/>
      <c r="N34" s="8"/>
      <c r="O34" s="8"/>
      <c r="P34" s="8"/>
      <c r="Q34" s="8"/>
      <c r="R34" s="8"/>
      <c r="S34" s="8"/>
      <c r="T34" s="786"/>
      <c r="U34" s="791"/>
      <c r="V34" s="612"/>
      <c r="W34" s="8"/>
      <c r="X34" s="8"/>
      <c r="Y34" s="8"/>
      <c r="Z34" s="409"/>
      <c r="AA34" s="8"/>
      <c r="AB34" s="8"/>
      <c r="AC34" s="645"/>
      <c r="AD34" s="632"/>
    </row>
    <row r="35" spans="2:30" s="1" customFormat="1" ht="4.5" customHeight="1">
      <c r="B35" s="1839"/>
      <c r="C35" s="1840"/>
      <c r="D35" s="1824" t="s">
        <v>1824</v>
      </c>
      <c r="E35" s="1825"/>
      <c r="F35" s="1826"/>
      <c r="G35" s="6"/>
      <c r="H35" s="7"/>
      <c r="I35" s="7"/>
      <c r="J35" s="7"/>
      <c r="K35" s="7"/>
      <c r="L35" s="7"/>
      <c r="M35" s="7"/>
      <c r="N35" s="7"/>
      <c r="O35" s="7"/>
      <c r="P35" s="7"/>
      <c r="Q35" s="7"/>
      <c r="R35" s="7"/>
      <c r="S35" s="7"/>
      <c r="T35" s="7"/>
      <c r="U35" s="611"/>
      <c r="V35" s="611"/>
      <c r="W35" s="7"/>
      <c r="X35" s="7"/>
      <c r="Y35" s="7"/>
      <c r="Z35" s="6"/>
      <c r="AA35" s="7"/>
      <c r="AB35" s="7"/>
      <c r="AC35" s="22"/>
      <c r="AD35" s="23"/>
    </row>
    <row r="36" spans="2:30" s="1" customFormat="1" ht="15.75" customHeight="1">
      <c r="B36" s="1839"/>
      <c r="C36" s="1840"/>
      <c r="D36" s="1827"/>
      <c r="E36" s="1828"/>
      <c r="F36" s="1829"/>
      <c r="G36" s="408"/>
      <c r="H36" s="1" t="s">
        <v>825</v>
      </c>
      <c r="U36" s="12"/>
      <c r="V36" s="12"/>
      <c r="Z36" s="408"/>
      <c r="AA36" s="653" t="s">
        <v>1118</v>
      </c>
      <c r="AB36" s="653" t="s">
        <v>440</v>
      </c>
      <c r="AC36" s="653" t="s">
        <v>674</v>
      </c>
      <c r="AD36" s="783"/>
    </row>
    <row r="37" spans="2:30" s="1" customFormat="1" ht="27" customHeight="1">
      <c r="B37" s="1839"/>
      <c r="C37" s="1840"/>
      <c r="D37" s="1827"/>
      <c r="E37" s="1828"/>
      <c r="F37" s="1829"/>
      <c r="G37" s="408"/>
      <c r="I37" s="613" t="s">
        <v>107</v>
      </c>
      <c r="J37" s="1833" t="s">
        <v>1825</v>
      </c>
      <c r="K37" s="1834"/>
      <c r="L37" s="1834"/>
      <c r="M37" s="1834"/>
      <c r="N37" s="1834"/>
      <c r="O37" s="1834"/>
      <c r="P37" s="1834"/>
      <c r="Q37" s="1834"/>
      <c r="R37" s="1834"/>
      <c r="S37" s="1834"/>
      <c r="T37" s="1834"/>
      <c r="U37" s="1794"/>
      <c r="V37" s="1580"/>
      <c r="W37" s="11" t="s">
        <v>89</v>
      </c>
      <c r="Z37" s="408"/>
      <c r="AC37" s="2"/>
      <c r="AD37" s="617"/>
    </row>
    <row r="38" spans="2:30" s="1" customFormat="1" ht="27" customHeight="1">
      <c r="B38" s="1841"/>
      <c r="C38" s="1842"/>
      <c r="D38" s="1830"/>
      <c r="E38" s="1831"/>
      <c r="F38" s="1831"/>
      <c r="G38" s="408"/>
      <c r="I38" s="613" t="s">
        <v>104</v>
      </c>
      <c r="J38" s="1835" t="s">
        <v>1819</v>
      </c>
      <c r="K38" s="1836"/>
      <c r="L38" s="1836"/>
      <c r="M38" s="1836"/>
      <c r="N38" s="1836"/>
      <c r="O38" s="1836"/>
      <c r="P38" s="1836"/>
      <c r="Q38" s="1836"/>
      <c r="R38" s="1836"/>
      <c r="S38" s="1836"/>
      <c r="T38" s="1836"/>
      <c r="U38" s="1794"/>
      <c r="V38" s="1580"/>
      <c r="W38" s="8" t="s">
        <v>89</v>
      </c>
      <c r="X38" s="408"/>
      <c r="Y38" s="773"/>
      <c r="Z38" s="625"/>
      <c r="AA38" s="641" t="s">
        <v>121</v>
      </c>
      <c r="AB38" s="641" t="s">
        <v>440</v>
      </c>
      <c r="AC38" s="641" t="s">
        <v>121</v>
      </c>
      <c r="AD38" s="617"/>
    </row>
    <row r="39" spans="2:30" s="1" customFormat="1" ht="6" customHeight="1">
      <c r="B39" s="1841"/>
      <c r="C39" s="1845"/>
      <c r="D39" s="1830"/>
      <c r="E39" s="1831"/>
      <c r="F39" s="1832"/>
      <c r="G39" s="409"/>
      <c r="H39" s="8"/>
      <c r="I39" s="8"/>
      <c r="J39" s="8"/>
      <c r="K39" s="8"/>
      <c r="L39" s="8"/>
      <c r="M39" s="8"/>
      <c r="N39" s="8"/>
      <c r="O39" s="8"/>
      <c r="P39" s="8"/>
      <c r="Q39" s="8"/>
      <c r="R39" s="8"/>
      <c r="S39" s="8"/>
      <c r="T39" s="786"/>
      <c r="U39" s="791"/>
      <c r="V39" s="612"/>
      <c r="W39" s="8"/>
      <c r="X39" s="8"/>
      <c r="Y39" s="8"/>
      <c r="Z39" s="409"/>
      <c r="AA39" s="8"/>
      <c r="AB39" s="8"/>
      <c r="AC39" s="645"/>
      <c r="AD39" s="632"/>
    </row>
    <row r="40" spans="2:30" s="1" customFormat="1" ht="9" customHeight="1">
      <c r="B40" s="599"/>
      <c r="C40" s="599"/>
      <c r="D40" s="599"/>
      <c r="E40" s="599"/>
      <c r="F40" s="599"/>
      <c r="T40" s="773"/>
      <c r="U40" s="792"/>
      <c r="V40" s="12"/>
      <c r="AC40" s="2"/>
      <c r="AD40" s="2"/>
    </row>
    <row r="41" spans="2:30" s="1" customFormat="1">
      <c r="B41" s="1" t="s">
        <v>820</v>
      </c>
      <c r="U41" s="12"/>
      <c r="V41" s="12"/>
      <c r="AC41" s="2"/>
      <c r="AD41" s="2"/>
    </row>
    <row r="42" spans="2:30" s="1" customFormat="1" ht="6" customHeight="1">
      <c r="U42" s="12"/>
      <c r="V42" s="12"/>
    </row>
    <row r="43" spans="2:30" s="1" customFormat="1" ht="4.5" customHeight="1">
      <c r="B43" s="1837" t="s">
        <v>824</v>
      </c>
      <c r="C43" s="1838"/>
      <c r="D43" s="1824" t="s">
        <v>1817</v>
      </c>
      <c r="E43" s="1825"/>
      <c r="F43" s="1826"/>
      <c r="G43" s="6"/>
      <c r="H43" s="7"/>
      <c r="I43" s="7"/>
      <c r="J43" s="7"/>
      <c r="K43" s="7"/>
      <c r="L43" s="7"/>
      <c r="M43" s="7"/>
      <c r="N43" s="7"/>
      <c r="O43" s="7"/>
      <c r="P43" s="7"/>
      <c r="Q43" s="7"/>
      <c r="R43" s="7"/>
      <c r="S43" s="7"/>
      <c r="T43" s="7"/>
      <c r="U43" s="611"/>
      <c r="V43" s="611"/>
      <c r="W43" s="7"/>
      <c r="X43" s="7"/>
      <c r="Y43" s="7"/>
      <c r="Z43" s="6"/>
      <c r="AA43" s="7"/>
      <c r="AB43" s="7"/>
      <c r="AC43" s="22"/>
      <c r="AD43" s="23"/>
    </row>
    <row r="44" spans="2:30" s="1" customFormat="1" ht="15.75" customHeight="1">
      <c r="B44" s="1839"/>
      <c r="C44" s="1840"/>
      <c r="D44" s="1827"/>
      <c r="E44" s="1828"/>
      <c r="F44" s="1829"/>
      <c r="G44" s="408"/>
      <c r="H44" s="1" t="s">
        <v>825</v>
      </c>
      <c r="U44" s="12"/>
      <c r="V44" s="12"/>
      <c r="Z44" s="408"/>
      <c r="AA44" s="653" t="s">
        <v>1118</v>
      </c>
      <c r="AB44" s="653" t="s">
        <v>440</v>
      </c>
      <c r="AC44" s="653" t="s">
        <v>674</v>
      </c>
      <c r="AD44" s="783"/>
    </row>
    <row r="45" spans="2:30" s="1" customFormat="1" ht="18" customHeight="1">
      <c r="B45" s="1839"/>
      <c r="C45" s="1840"/>
      <c r="D45" s="1827"/>
      <c r="E45" s="1828"/>
      <c r="F45" s="1829"/>
      <c r="G45" s="408"/>
      <c r="I45" s="613" t="s">
        <v>107</v>
      </c>
      <c r="J45" s="1833" t="s">
        <v>1818</v>
      </c>
      <c r="K45" s="1834"/>
      <c r="L45" s="1834"/>
      <c r="M45" s="1834"/>
      <c r="N45" s="1834"/>
      <c r="O45" s="1834"/>
      <c r="P45" s="1834"/>
      <c r="Q45" s="1834"/>
      <c r="R45" s="1834"/>
      <c r="S45" s="1834"/>
      <c r="T45" s="1834"/>
      <c r="U45" s="1794"/>
      <c r="V45" s="1580"/>
      <c r="W45" s="11" t="s">
        <v>89</v>
      </c>
      <c r="Z45" s="408"/>
      <c r="AC45" s="2"/>
      <c r="AD45" s="617"/>
    </row>
    <row r="46" spans="2:30" s="1" customFormat="1" ht="30" customHeight="1">
      <c r="B46" s="1839"/>
      <c r="C46" s="1840"/>
      <c r="D46" s="1827"/>
      <c r="E46" s="1828"/>
      <c r="F46" s="1829"/>
      <c r="G46" s="408"/>
      <c r="I46" s="784" t="s">
        <v>104</v>
      </c>
      <c r="J46" s="1835" t="s">
        <v>1826</v>
      </c>
      <c r="K46" s="1836"/>
      <c r="L46" s="1836"/>
      <c r="M46" s="1836"/>
      <c r="N46" s="1836"/>
      <c r="O46" s="1836"/>
      <c r="P46" s="1836"/>
      <c r="Q46" s="1836"/>
      <c r="R46" s="1836"/>
      <c r="S46" s="1836"/>
      <c r="T46" s="1836"/>
      <c r="U46" s="1794"/>
      <c r="V46" s="1580"/>
      <c r="W46" s="424" t="s">
        <v>89</v>
      </c>
      <c r="Y46" s="773"/>
      <c r="Z46" s="625"/>
      <c r="AA46" s="641" t="s">
        <v>121</v>
      </c>
      <c r="AB46" s="641" t="s">
        <v>440</v>
      </c>
      <c r="AC46" s="641" t="s">
        <v>121</v>
      </c>
      <c r="AD46" s="617"/>
    </row>
    <row r="47" spans="2:30" s="1" customFormat="1" ht="6" customHeight="1">
      <c r="B47" s="1839"/>
      <c r="C47" s="1840"/>
      <c r="D47" s="1827"/>
      <c r="E47" s="1828"/>
      <c r="F47" s="1829"/>
      <c r="G47" s="409"/>
      <c r="H47" s="8"/>
      <c r="I47" s="8"/>
      <c r="J47" s="8"/>
      <c r="K47" s="8"/>
      <c r="L47" s="8"/>
      <c r="M47" s="8"/>
      <c r="N47" s="8"/>
      <c r="O47" s="8"/>
      <c r="P47" s="8"/>
      <c r="Q47" s="8"/>
      <c r="R47" s="8"/>
      <c r="S47" s="8"/>
      <c r="T47" s="786"/>
      <c r="U47" s="791"/>
      <c r="V47" s="612"/>
      <c r="W47" s="8"/>
      <c r="X47" s="8"/>
      <c r="Y47" s="8"/>
      <c r="Z47" s="409"/>
      <c r="AA47" s="8"/>
      <c r="AB47" s="8"/>
      <c r="AC47" s="645"/>
      <c r="AD47" s="632"/>
    </row>
    <row r="48" spans="2:30" s="1" customFormat="1" ht="4.5" customHeight="1">
      <c r="B48" s="1839"/>
      <c r="C48" s="1840"/>
      <c r="D48" s="1824" t="s">
        <v>1820</v>
      </c>
      <c r="E48" s="1825"/>
      <c r="F48" s="1826"/>
      <c r="G48" s="408"/>
      <c r="T48" s="773"/>
      <c r="U48" s="792"/>
      <c r="V48" s="12"/>
      <c r="Z48" s="408"/>
      <c r="AC48" s="2"/>
      <c r="AD48" s="617"/>
    </row>
    <row r="49" spans="2:30" s="1" customFormat="1" ht="15.75" customHeight="1">
      <c r="B49" s="1839"/>
      <c r="C49" s="1840"/>
      <c r="D49" s="1827"/>
      <c r="E49" s="1828"/>
      <c r="F49" s="1829"/>
      <c r="G49" s="408"/>
      <c r="H49" s="1" t="s">
        <v>1821</v>
      </c>
      <c r="U49" s="12"/>
      <c r="V49" s="12"/>
      <c r="Z49" s="408"/>
      <c r="AA49" s="653" t="s">
        <v>1118</v>
      </c>
      <c r="AB49" s="653" t="s">
        <v>440</v>
      </c>
      <c r="AC49" s="653" t="s">
        <v>674</v>
      </c>
      <c r="AD49" s="783"/>
    </row>
    <row r="50" spans="2:30" s="1" customFormat="1" ht="27" customHeight="1">
      <c r="B50" s="1839"/>
      <c r="C50" s="1840"/>
      <c r="D50" s="1827"/>
      <c r="E50" s="1828"/>
      <c r="F50" s="1829"/>
      <c r="G50" s="408"/>
      <c r="I50" s="613" t="s">
        <v>107</v>
      </c>
      <c r="J50" s="1833" t="s">
        <v>1822</v>
      </c>
      <c r="K50" s="1843"/>
      <c r="L50" s="1843"/>
      <c r="M50" s="1843"/>
      <c r="N50" s="1843"/>
      <c r="O50" s="1843"/>
      <c r="P50" s="1843"/>
      <c r="Q50" s="1843"/>
      <c r="R50" s="1843"/>
      <c r="S50" s="1843"/>
      <c r="T50" s="1844"/>
      <c r="U50" s="1794"/>
      <c r="V50" s="1580"/>
      <c r="W50" s="11" t="s">
        <v>89</v>
      </c>
      <c r="Z50" s="408"/>
      <c r="AC50" s="2"/>
      <c r="AD50" s="617"/>
    </row>
    <row r="51" spans="2:30" s="1" customFormat="1" ht="18" customHeight="1">
      <c r="B51" s="1839"/>
      <c r="C51" s="1840"/>
      <c r="D51" s="1827"/>
      <c r="E51" s="1828"/>
      <c r="F51" s="1829"/>
      <c r="G51" s="408"/>
      <c r="I51" s="784" t="s">
        <v>104</v>
      </c>
      <c r="J51" s="1835" t="s">
        <v>1827</v>
      </c>
      <c r="K51" s="1836"/>
      <c r="L51" s="1836"/>
      <c r="M51" s="1836"/>
      <c r="N51" s="1836"/>
      <c r="O51" s="1836"/>
      <c r="P51" s="1836"/>
      <c r="Q51" s="1836"/>
      <c r="R51" s="1836"/>
      <c r="S51" s="1836"/>
      <c r="T51" s="1836"/>
      <c r="U51" s="1794"/>
      <c r="V51" s="1580"/>
      <c r="W51" s="424" t="s">
        <v>89</v>
      </c>
      <c r="Y51" s="773"/>
      <c r="Z51" s="625"/>
      <c r="AA51" s="641" t="s">
        <v>121</v>
      </c>
      <c r="AB51" s="641" t="s">
        <v>440</v>
      </c>
      <c r="AC51" s="641" t="s">
        <v>121</v>
      </c>
      <c r="AD51" s="617"/>
    </row>
    <row r="52" spans="2:30" s="1" customFormat="1" ht="6" customHeight="1">
      <c r="B52" s="1839"/>
      <c r="C52" s="1840"/>
      <c r="D52" s="1830"/>
      <c r="E52" s="1831"/>
      <c r="F52" s="1832"/>
      <c r="G52" s="408"/>
      <c r="T52" s="773"/>
      <c r="U52" s="792"/>
      <c r="V52" s="12"/>
      <c r="Z52" s="408"/>
      <c r="AC52" s="2"/>
      <c r="AD52" s="617"/>
    </row>
    <row r="53" spans="2:30" s="1" customFormat="1" ht="4.5" customHeight="1">
      <c r="B53" s="1839"/>
      <c r="C53" s="1840"/>
      <c r="D53" s="1824" t="s">
        <v>1824</v>
      </c>
      <c r="E53" s="1825"/>
      <c r="F53" s="1826"/>
      <c r="G53" s="6"/>
      <c r="H53" s="7"/>
      <c r="I53" s="7"/>
      <c r="J53" s="7"/>
      <c r="K53" s="7"/>
      <c r="L53" s="7"/>
      <c r="M53" s="7"/>
      <c r="N53" s="7"/>
      <c r="O53" s="7"/>
      <c r="P53" s="7"/>
      <c r="Q53" s="7"/>
      <c r="R53" s="7"/>
      <c r="S53" s="7"/>
      <c r="T53" s="7"/>
      <c r="U53" s="611"/>
      <c r="V53" s="611"/>
      <c r="W53" s="7"/>
      <c r="X53" s="7"/>
      <c r="Y53" s="7"/>
      <c r="Z53" s="6"/>
      <c r="AA53" s="7"/>
      <c r="AB53" s="7"/>
      <c r="AC53" s="22"/>
      <c r="AD53" s="23"/>
    </row>
    <row r="54" spans="2:30" s="1" customFormat="1" ht="15.75" customHeight="1">
      <c r="B54" s="1839"/>
      <c r="C54" s="1840"/>
      <c r="D54" s="1827"/>
      <c r="E54" s="1828"/>
      <c r="F54" s="1829"/>
      <c r="G54" s="408"/>
      <c r="H54" s="1" t="s">
        <v>825</v>
      </c>
      <c r="U54" s="12"/>
      <c r="V54" s="12"/>
      <c r="Z54" s="408"/>
      <c r="AA54" s="653" t="s">
        <v>1118</v>
      </c>
      <c r="AB54" s="653" t="s">
        <v>440</v>
      </c>
      <c r="AC54" s="653" t="s">
        <v>674</v>
      </c>
      <c r="AD54" s="783"/>
    </row>
    <row r="55" spans="2:30" s="1" customFormat="1" ht="30" customHeight="1">
      <c r="B55" s="1839"/>
      <c r="C55" s="1840"/>
      <c r="D55" s="1827"/>
      <c r="E55" s="1828"/>
      <c r="F55" s="1829"/>
      <c r="G55" s="408"/>
      <c r="I55" s="613" t="s">
        <v>107</v>
      </c>
      <c r="J55" s="1833" t="s">
        <v>1825</v>
      </c>
      <c r="K55" s="1834"/>
      <c r="L55" s="1834"/>
      <c r="M55" s="1834"/>
      <c r="N55" s="1834"/>
      <c r="O55" s="1834"/>
      <c r="P55" s="1834"/>
      <c r="Q55" s="1834"/>
      <c r="R55" s="1834"/>
      <c r="S55" s="1834"/>
      <c r="T55" s="1834"/>
      <c r="U55" s="1794"/>
      <c r="V55" s="1580"/>
      <c r="W55" s="11" t="s">
        <v>89</v>
      </c>
      <c r="Z55" s="408"/>
      <c r="AC55" s="2"/>
      <c r="AD55" s="617"/>
    </row>
    <row r="56" spans="2:30" s="1" customFormat="1" ht="27" customHeight="1">
      <c r="B56" s="1839"/>
      <c r="C56" s="1840"/>
      <c r="D56" s="1827"/>
      <c r="E56" s="1828"/>
      <c r="F56" s="1829"/>
      <c r="G56" s="408"/>
      <c r="I56" s="784" t="s">
        <v>104</v>
      </c>
      <c r="J56" s="1835" t="s">
        <v>1826</v>
      </c>
      <c r="K56" s="1836"/>
      <c r="L56" s="1836"/>
      <c r="M56" s="1836"/>
      <c r="N56" s="1836"/>
      <c r="O56" s="1836"/>
      <c r="P56" s="1836"/>
      <c r="Q56" s="1836"/>
      <c r="R56" s="1836"/>
      <c r="S56" s="1836"/>
      <c r="T56" s="1836"/>
      <c r="U56" s="1794"/>
      <c r="V56" s="1580"/>
      <c r="W56" s="424" t="s">
        <v>89</v>
      </c>
      <c r="Y56" s="773"/>
      <c r="Z56" s="625"/>
      <c r="AA56" s="641" t="s">
        <v>121</v>
      </c>
      <c r="AB56" s="641" t="s">
        <v>440</v>
      </c>
      <c r="AC56" s="641" t="s">
        <v>121</v>
      </c>
      <c r="AD56" s="617"/>
    </row>
    <row r="57" spans="2:30" s="1" customFormat="1" ht="3.75" customHeight="1">
      <c r="B57" s="1841"/>
      <c r="C57" s="1842"/>
      <c r="D57" s="1830"/>
      <c r="E57" s="1831"/>
      <c r="F57" s="1832"/>
      <c r="G57" s="409"/>
      <c r="H57" s="8"/>
      <c r="I57" s="8"/>
      <c r="J57" s="8"/>
      <c r="K57" s="8"/>
      <c r="L57" s="8"/>
      <c r="M57" s="8"/>
      <c r="N57" s="8"/>
      <c r="O57" s="8"/>
      <c r="P57" s="8"/>
      <c r="Q57" s="8"/>
      <c r="R57" s="8"/>
      <c r="S57" s="8"/>
      <c r="T57" s="786"/>
      <c r="U57" s="786"/>
      <c r="V57" s="8"/>
      <c r="W57" s="8"/>
      <c r="X57" s="8"/>
      <c r="Y57" s="8"/>
      <c r="Z57" s="409"/>
      <c r="AA57" s="8"/>
      <c r="AB57" s="8"/>
      <c r="AC57" s="645"/>
      <c r="AD57" s="632"/>
    </row>
    <row r="58" spans="2:30" s="1" customFormat="1" ht="3.75" customHeight="1">
      <c r="B58" s="599"/>
      <c r="C58" s="599"/>
      <c r="D58" s="599"/>
      <c r="E58" s="599"/>
      <c r="F58" s="599"/>
      <c r="T58" s="773"/>
      <c r="U58" s="773"/>
    </row>
    <row r="59" spans="2:30" s="1" customFormat="1" ht="13.5" customHeight="1">
      <c r="B59" s="1821" t="s">
        <v>1828</v>
      </c>
      <c r="C59" s="1822"/>
      <c r="D59" s="774" t="s">
        <v>1550</v>
      </c>
      <c r="E59" s="774"/>
      <c r="F59" s="774"/>
      <c r="G59" s="774"/>
      <c r="H59" s="774"/>
      <c r="I59" s="774"/>
      <c r="J59" s="774"/>
      <c r="K59" s="774"/>
      <c r="L59" s="774"/>
      <c r="M59" s="774"/>
      <c r="N59" s="774"/>
      <c r="O59" s="774"/>
      <c r="P59" s="774"/>
      <c r="Q59" s="774"/>
      <c r="R59" s="774"/>
      <c r="S59" s="774"/>
      <c r="T59" s="774"/>
      <c r="U59" s="774"/>
      <c r="V59" s="774"/>
      <c r="W59" s="774"/>
      <c r="X59" s="774"/>
      <c r="Y59" s="774"/>
      <c r="Z59" s="774"/>
      <c r="AA59" s="774"/>
      <c r="AB59" s="774"/>
      <c r="AC59" s="774"/>
      <c r="AD59" s="774"/>
    </row>
    <row r="60" spans="2:30" s="1" customFormat="1">
      <c r="B60" s="1822"/>
      <c r="C60" s="1822"/>
      <c r="D60" s="1823"/>
      <c r="E60" s="1823"/>
      <c r="F60" s="1823"/>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row>
    <row r="122" spans="3:7">
      <c r="C122" s="59"/>
      <c r="D122" s="59"/>
      <c r="E122" s="59"/>
      <c r="F122" s="59"/>
      <c r="G122" s="59"/>
    </row>
    <row r="123" spans="3:7">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3"/>
  <printOptions horizontalCentered="1"/>
  <pageMargins left="0.70866141732283472" right="0.39370078740157483" top="0.51181102362204722" bottom="0.35433070866141736" header="0.31496062992125984" footer="0.31496062992125984"/>
  <pageSetup paperSize="9"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D55044E-DB5A-446A-951D-6A2AD1931373}">
          <x14:formula1>
            <xm:f>"□,■"</xm:f>
          </x14:formula1>
          <xm:sqref>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R10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G65549 JC65549 SY65549 ACU65549 AMQ65549 AWM65549 BGI65549 BQE65549 CAA65549 CJW65549 CTS65549 DDO65549 DNK65549 DXG65549 EHC65549 EQY65549 FAU65549 FKQ65549 FUM65549 GEI65549 GOE65549 GYA65549 HHW65549 HRS65549 IBO65549 ILK65549 IVG65549 JFC65549 JOY65549 JYU65549 KIQ65549 KSM65549 LCI65549 LME65549 LWA65549 MFW65549 MPS65549 MZO65549 NJK65549 NTG65549 ODC65549 OMY65549 OWU65549 PGQ65549 PQM65549 QAI65549 QKE65549 QUA65549 RDW65549 RNS65549 RXO65549 SHK65549 SRG65549 TBC65549 TKY65549 TUU65549 UEQ65549 UOM65549 UYI65549 VIE65549 VSA65549 WBW65549 WLS65549 WVO65549 G131085 JC131085 SY131085 ACU131085 AMQ131085 AWM131085 BGI131085 BQE131085 CAA131085 CJW131085 CTS131085 DDO131085 DNK131085 DXG131085 EHC131085 EQY131085 FAU131085 FKQ131085 FUM131085 GEI131085 GOE131085 GYA131085 HHW131085 HRS131085 IBO131085 ILK131085 IVG131085 JFC131085 JOY131085 JYU131085 KIQ131085 KSM131085 LCI131085 LME131085 LWA131085 MFW131085 MPS131085 MZO131085 NJK131085 NTG131085 ODC131085 OMY131085 OWU131085 PGQ131085 PQM131085 QAI131085 QKE131085 QUA131085 RDW131085 RNS131085 RXO131085 SHK131085 SRG131085 TBC131085 TKY131085 TUU131085 UEQ131085 UOM131085 UYI131085 VIE131085 VSA131085 WBW131085 WLS131085 WVO131085 G196621 JC196621 SY196621 ACU196621 AMQ196621 AWM196621 BGI196621 BQE196621 CAA196621 CJW196621 CTS196621 DDO196621 DNK196621 DXG196621 EHC196621 EQY196621 FAU196621 FKQ196621 FUM196621 GEI196621 GOE196621 GYA196621 HHW196621 HRS196621 IBO196621 ILK196621 IVG196621 JFC196621 JOY196621 JYU196621 KIQ196621 KSM196621 LCI196621 LME196621 LWA196621 MFW196621 MPS196621 MZO196621 NJK196621 NTG196621 ODC196621 OMY196621 OWU196621 PGQ196621 PQM196621 QAI196621 QKE196621 QUA196621 RDW196621 RNS196621 RXO196621 SHK196621 SRG196621 TBC196621 TKY196621 TUU196621 UEQ196621 UOM196621 UYI196621 VIE196621 VSA196621 WBW196621 WLS196621 WVO196621 G262157 JC262157 SY262157 ACU262157 AMQ262157 AWM262157 BGI262157 BQE262157 CAA262157 CJW262157 CTS262157 DDO262157 DNK262157 DXG262157 EHC262157 EQY262157 FAU262157 FKQ262157 FUM262157 GEI262157 GOE262157 GYA262157 HHW262157 HRS262157 IBO262157 ILK262157 IVG262157 JFC262157 JOY262157 JYU262157 KIQ262157 KSM262157 LCI262157 LME262157 LWA262157 MFW262157 MPS262157 MZO262157 NJK262157 NTG262157 ODC262157 OMY262157 OWU262157 PGQ262157 PQM262157 QAI262157 QKE262157 QUA262157 RDW262157 RNS262157 RXO262157 SHK262157 SRG262157 TBC262157 TKY262157 TUU262157 UEQ262157 UOM262157 UYI262157 VIE262157 VSA262157 WBW262157 WLS262157 WVO262157 G327693 JC327693 SY327693 ACU327693 AMQ327693 AWM327693 BGI327693 BQE327693 CAA327693 CJW327693 CTS327693 DDO327693 DNK327693 DXG327693 EHC327693 EQY327693 FAU327693 FKQ327693 FUM327693 GEI327693 GOE327693 GYA327693 HHW327693 HRS327693 IBO327693 ILK327693 IVG327693 JFC327693 JOY327693 JYU327693 KIQ327693 KSM327693 LCI327693 LME327693 LWA327693 MFW327693 MPS327693 MZO327693 NJK327693 NTG327693 ODC327693 OMY327693 OWU327693 PGQ327693 PQM327693 QAI327693 QKE327693 QUA327693 RDW327693 RNS327693 RXO327693 SHK327693 SRG327693 TBC327693 TKY327693 TUU327693 UEQ327693 UOM327693 UYI327693 VIE327693 VSA327693 WBW327693 WLS327693 WVO327693 G393229 JC393229 SY393229 ACU393229 AMQ393229 AWM393229 BGI393229 BQE393229 CAA393229 CJW393229 CTS393229 DDO393229 DNK393229 DXG393229 EHC393229 EQY393229 FAU393229 FKQ393229 FUM393229 GEI393229 GOE393229 GYA393229 HHW393229 HRS393229 IBO393229 ILK393229 IVG393229 JFC393229 JOY393229 JYU393229 KIQ393229 KSM393229 LCI393229 LME393229 LWA393229 MFW393229 MPS393229 MZO393229 NJK393229 NTG393229 ODC393229 OMY393229 OWU393229 PGQ393229 PQM393229 QAI393229 QKE393229 QUA393229 RDW393229 RNS393229 RXO393229 SHK393229 SRG393229 TBC393229 TKY393229 TUU393229 UEQ393229 UOM393229 UYI393229 VIE393229 VSA393229 WBW393229 WLS393229 WVO393229 G458765 JC458765 SY458765 ACU458765 AMQ458765 AWM458765 BGI458765 BQE458765 CAA458765 CJW458765 CTS458765 DDO458765 DNK458765 DXG458765 EHC458765 EQY458765 FAU458765 FKQ458765 FUM458765 GEI458765 GOE458765 GYA458765 HHW458765 HRS458765 IBO458765 ILK458765 IVG458765 JFC458765 JOY458765 JYU458765 KIQ458765 KSM458765 LCI458765 LME458765 LWA458765 MFW458765 MPS458765 MZO458765 NJK458765 NTG458765 ODC458765 OMY458765 OWU458765 PGQ458765 PQM458765 QAI458765 QKE458765 QUA458765 RDW458765 RNS458765 RXO458765 SHK458765 SRG458765 TBC458765 TKY458765 TUU458765 UEQ458765 UOM458765 UYI458765 VIE458765 VSA458765 WBW458765 WLS458765 WVO458765 G524301 JC524301 SY524301 ACU524301 AMQ524301 AWM524301 BGI524301 BQE524301 CAA524301 CJW524301 CTS524301 DDO524301 DNK524301 DXG524301 EHC524301 EQY524301 FAU524301 FKQ524301 FUM524301 GEI524301 GOE524301 GYA524301 HHW524301 HRS524301 IBO524301 ILK524301 IVG524301 JFC524301 JOY524301 JYU524301 KIQ524301 KSM524301 LCI524301 LME524301 LWA524301 MFW524301 MPS524301 MZO524301 NJK524301 NTG524301 ODC524301 OMY524301 OWU524301 PGQ524301 PQM524301 QAI524301 QKE524301 QUA524301 RDW524301 RNS524301 RXO524301 SHK524301 SRG524301 TBC524301 TKY524301 TUU524301 UEQ524301 UOM524301 UYI524301 VIE524301 VSA524301 WBW524301 WLS524301 WVO524301 G589837 JC589837 SY589837 ACU589837 AMQ589837 AWM589837 BGI589837 BQE589837 CAA589837 CJW589837 CTS589837 DDO589837 DNK589837 DXG589837 EHC589837 EQY589837 FAU589837 FKQ589837 FUM589837 GEI589837 GOE589837 GYA589837 HHW589837 HRS589837 IBO589837 ILK589837 IVG589837 JFC589837 JOY589837 JYU589837 KIQ589837 KSM589837 LCI589837 LME589837 LWA589837 MFW589837 MPS589837 MZO589837 NJK589837 NTG589837 ODC589837 OMY589837 OWU589837 PGQ589837 PQM589837 QAI589837 QKE589837 QUA589837 RDW589837 RNS589837 RXO589837 SHK589837 SRG589837 TBC589837 TKY589837 TUU589837 UEQ589837 UOM589837 UYI589837 VIE589837 VSA589837 WBW589837 WLS589837 WVO589837 G655373 JC655373 SY655373 ACU655373 AMQ655373 AWM655373 BGI655373 BQE655373 CAA655373 CJW655373 CTS655373 DDO655373 DNK655373 DXG655373 EHC655373 EQY655373 FAU655373 FKQ655373 FUM655373 GEI655373 GOE655373 GYA655373 HHW655373 HRS655373 IBO655373 ILK655373 IVG655373 JFC655373 JOY655373 JYU655373 KIQ655373 KSM655373 LCI655373 LME655373 LWA655373 MFW655373 MPS655373 MZO655373 NJK655373 NTG655373 ODC655373 OMY655373 OWU655373 PGQ655373 PQM655373 QAI655373 QKE655373 QUA655373 RDW655373 RNS655373 RXO655373 SHK655373 SRG655373 TBC655373 TKY655373 TUU655373 UEQ655373 UOM655373 UYI655373 VIE655373 VSA655373 WBW655373 WLS655373 WVO655373 G720909 JC720909 SY720909 ACU720909 AMQ720909 AWM720909 BGI720909 BQE720909 CAA720909 CJW720909 CTS720909 DDO720909 DNK720909 DXG720909 EHC720909 EQY720909 FAU720909 FKQ720909 FUM720909 GEI720909 GOE720909 GYA720909 HHW720909 HRS720909 IBO720909 ILK720909 IVG720909 JFC720909 JOY720909 JYU720909 KIQ720909 KSM720909 LCI720909 LME720909 LWA720909 MFW720909 MPS720909 MZO720909 NJK720909 NTG720909 ODC720909 OMY720909 OWU720909 PGQ720909 PQM720909 QAI720909 QKE720909 QUA720909 RDW720909 RNS720909 RXO720909 SHK720909 SRG720909 TBC720909 TKY720909 TUU720909 UEQ720909 UOM720909 UYI720909 VIE720909 VSA720909 WBW720909 WLS720909 WVO720909 G786445 JC786445 SY786445 ACU786445 AMQ786445 AWM786445 BGI786445 BQE786445 CAA786445 CJW786445 CTS786445 DDO786445 DNK786445 DXG786445 EHC786445 EQY786445 FAU786445 FKQ786445 FUM786445 GEI786445 GOE786445 GYA786445 HHW786445 HRS786445 IBO786445 ILK786445 IVG786445 JFC786445 JOY786445 JYU786445 KIQ786445 KSM786445 LCI786445 LME786445 LWA786445 MFW786445 MPS786445 MZO786445 NJK786445 NTG786445 ODC786445 OMY786445 OWU786445 PGQ786445 PQM786445 QAI786445 QKE786445 QUA786445 RDW786445 RNS786445 RXO786445 SHK786445 SRG786445 TBC786445 TKY786445 TUU786445 UEQ786445 UOM786445 UYI786445 VIE786445 VSA786445 WBW786445 WLS786445 WVO786445 G851981 JC851981 SY851981 ACU851981 AMQ851981 AWM851981 BGI851981 BQE851981 CAA851981 CJW851981 CTS851981 DDO851981 DNK851981 DXG851981 EHC851981 EQY851981 FAU851981 FKQ851981 FUM851981 GEI851981 GOE851981 GYA851981 HHW851981 HRS851981 IBO851981 ILK851981 IVG851981 JFC851981 JOY851981 JYU851981 KIQ851981 KSM851981 LCI851981 LME851981 LWA851981 MFW851981 MPS851981 MZO851981 NJK851981 NTG851981 ODC851981 OMY851981 OWU851981 PGQ851981 PQM851981 QAI851981 QKE851981 QUA851981 RDW851981 RNS851981 RXO851981 SHK851981 SRG851981 TBC851981 TKY851981 TUU851981 UEQ851981 UOM851981 UYI851981 VIE851981 VSA851981 WBW851981 WLS851981 WVO851981 G917517 JC917517 SY917517 ACU917517 AMQ917517 AWM917517 BGI917517 BQE917517 CAA917517 CJW917517 CTS917517 DDO917517 DNK917517 DXG917517 EHC917517 EQY917517 FAU917517 FKQ917517 FUM917517 GEI917517 GOE917517 GYA917517 HHW917517 HRS917517 IBO917517 ILK917517 IVG917517 JFC917517 JOY917517 JYU917517 KIQ917517 KSM917517 LCI917517 LME917517 LWA917517 MFW917517 MPS917517 MZO917517 NJK917517 NTG917517 ODC917517 OMY917517 OWU917517 PGQ917517 PQM917517 QAI917517 QKE917517 QUA917517 RDW917517 RNS917517 RXO917517 SHK917517 SRG917517 TBC917517 TKY917517 TUU917517 UEQ917517 UOM917517 UYI917517 VIE917517 VSA917517 WBW917517 WLS917517 WVO917517 G983053 JC983053 SY983053 ACU983053 AMQ983053 AWM983053 BGI983053 BQE983053 CAA983053 CJW983053 CTS983053 DDO983053 DNK983053 DXG983053 EHC983053 EQY983053 FAU983053 FKQ983053 FUM983053 GEI983053 GOE983053 GYA983053 HHW983053 HRS983053 IBO983053 ILK983053 IVG983053 JFC983053 JOY983053 JYU983053 KIQ983053 KSM983053 LCI983053 LME983053 LWA983053 MFW983053 MPS983053 MZO983053 NJK983053 NTG983053 ODC983053 OMY983053 OWU983053 PGQ983053 PQM983053 QAI983053 QKE983053 QUA983053 RDW983053 RNS983053 RXO983053 SHK983053 SRG983053 TBC983053 TKY983053 TUU983053 UEQ983053 UOM983053 UYI983053 VIE983053 VSA983053 WBW983053 WLS983053 WVO983053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AA18:AA20 JW18:JW20 TS18:TS20 ADO18:ADO20 ANK18:ANK20 AXG18:AXG20 BHC18:BHC20 BQY18:BQY20 CAU18:CAU20 CKQ18:CKQ20 CUM18:CUM20 DEI18:DEI20 DOE18:DOE20 DYA18:DYA20 EHW18:EHW20 ERS18:ERS20 FBO18:FBO20 FLK18:FLK20 FVG18:FVG20 GFC18:GFC20 GOY18:GOY20 GYU18:GYU20 HIQ18:HIQ20 HSM18:HSM20 ICI18:ICI20 IME18:IME20 IWA18:IWA20 JFW18:JFW20 JPS18:JPS20 JZO18:JZO20 KJK18:KJK20 KTG18:KTG20 LDC18:LDC20 LMY18:LMY20 LWU18:LWU20 MGQ18:MGQ20 MQM18:MQM20 NAI18:NAI20 NKE18:NKE20 NUA18:NUA20 ODW18:ODW20 ONS18:ONS20 OXO18:OXO20 PHK18:PHK20 PRG18:PRG20 QBC18:QBC20 QKY18:QKY20 QUU18:QUU20 REQ18:REQ20 ROM18:ROM20 RYI18:RYI20 SIE18:SIE20 SSA18:SSA20 TBW18:TBW20 TLS18:TLS20 TVO18:TVO20 UFK18:UFK20 UPG18:UPG20 UZC18:UZC20 VIY18:VIY20 VSU18:VSU20 WCQ18:WCQ20 WMM18:WMM20 WWI18:WWI20 AA65554:AA65556 JW65554:JW65556 TS65554:TS65556 ADO65554:ADO65556 ANK65554:ANK65556 AXG65554:AXG65556 BHC65554:BHC65556 BQY65554:BQY65556 CAU65554:CAU65556 CKQ65554:CKQ65556 CUM65554:CUM65556 DEI65554:DEI65556 DOE65554:DOE65556 DYA65554:DYA65556 EHW65554:EHW65556 ERS65554:ERS65556 FBO65554:FBO65556 FLK65554:FLK65556 FVG65554:FVG65556 GFC65554:GFC65556 GOY65554:GOY65556 GYU65554:GYU65556 HIQ65554:HIQ65556 HSM65554:HSM65556 ICI65554:ICI65556 IME65554:IME65556 IWA65554:IWA65556 JFW65554:JFW65556 JPS65554:JPS65556 JZO65554:JZO65556 KJK65554:KJK65556 KTG65554:KTG65556 LDC65554:LDC65556 LMY65554:LMY65556 LWU65554:LWU65556 MGQ65554:MGQ65556 MQM65554:MQM65556 NAI65554:NAI65556 NKE65554:NKE65556 NUA65554:NUA65556 ODW65554:ODW65556 ONS65554:ONS65556 OXO65554:OXO65556 PHK65554:PHK65556 PRG65554:PRG65556 QBC65554:QBC65556 QKY65554:QKY65556 QUU65554:QUU65556 REQ65554:REQ65556 ROM65554:ROM65556 RYI65554:RYI65556 SIE65554:SIE65556 SSA65554:SSA65556 TBW65554:TBW65556 TLS65554:TLS65556 TVO65554:TVO65556 UFK65554:UFK65556 UPG65554:UPG65556 UZC65554:UZC65556 VIY65554:VIY65556 VSU65554:VSU65556 WCQ65554:WCQ65556 WMM65554:WMM65556 WWI65554:WWI65556 AA131090:AA131092 JW131090:JW131092 TS131090:TS131092 ADO131090:ADO131092 ANK131090:ANK131092 AXG131090:AXG131092 BHC131090:BHC131092 BQY131090:BQY131092 CAU131090:CAU131092 CKQ131090:CKQ131092 CUM131090:CUM131092 DEI131090:DEI131092 DOE131090:DOE131092 DYA131090:DYA131092 EHW131090:EHW131092 ERS131090:ERS131092 FBO131090:FBO131092 FLK131090:FLK131092 FVG131090:FVG131092 GFC131090:GFC131092 GOY131090:GOY131092 GYU131090:GYU131092 HIQ131090:HIQ131092 HSM131090:HSM131092 ICI131090:ICI131092 IME131090:IME131092 IWA131090:IWA131092 JFW131090:JFW131092 JPS131090:JPS131092 JZO131090:JZO131092 KJK131090:KJK131092 KTG131090:KTG131092 LDC131090:LDC131092 LMY131090:LMY131092 LWU131090:LWU131092 MGQ131090:MGQ131092 MQM131090:MQM131092 NAI131090:NAI131092 NKE131090:NKE131092 NUA131090:NUA131092 ODW131090:ODW131092 ONS131090:ONS131092 OXO131090:OXO131092 PHK131090:PHK131092 PRG131090:PRG131092 QBC131090:QBC131092 QKY131090:QKY131092 QUU131090:QUU131092 REQ131090:REQ131092 ROM131090:ROM131092 RYI131090:RYI131092 SIE131090:SIE131092 SSA131090:SSA131092 TBW131090:TBW131092 TLS131090:TLS131092 TVO131090:TVO131092 UFK131090:UFK131092 UPG131090:UPG131092 UZC131090:UZC131092 VIY131090:VIY131092 VSU131090:VSU131092 WCQ131090:WCQ131092 WMM131090:WMM131092 WWI131090:WWI131092 AA196626:AA196628 JW196626:JW196628 TS196626:TS196628 ADO196626:ADO196628 ANK196626:ANK196628 AXG196626:AXG196628 BHC196626:BHC196628 BQY196626:BQY196628 CAU196626:CAU196628 CKQ196626:CKQ196628 CUM196626:CUM196628 DEI196626:DEI196628 DOE196626:DOE196628 DYA196626:DYA196628 EHW196626:EHW196628 ERS196626:ERS196628 FBO196626:FBO196628 FLK196626:FLK196628 FVG196626:FVG196628 GFC196626:GFC196628 GOY196626:GOY196628 GYU196626:GYU196628 HIQ196626:HIQ196628 HSM196626:HSM196628 ICI196626:ICI196628 IME196626:IME196628 IWA196626:IWA196628 JFW196626:JFW196628 JPS196626:JPS196628 JZO196626:JZO196628 KJK196626:KJK196628 KTG196626:KTG196628 LDC196626:LDC196628 LMY196626:LMY196628 LWU196626:LWU196628 MGQ196626:MGQ196628 MQM196626:MQM196628 NAI196626:NAI196628 NKE196626:NKE196628 NUA196626:NUA196628 ODW196626:ODW196628 ONS196626:ONS196628 OXO196626:OXO196628 PHK196626:PHK196628 PRG196626:PRG196628 QBC196626:QBC196628 QKY196626:QKY196628 QUU196626:QUU196628 REQ196626:REQ196628 ROM196626:ROM196628 RYI196626:RYI196628 SIE196626:SIE196628 SSA196626:SSA196628 TBW196626:TBW196628 TLS196626:TLS196628 TVO196626:TVO196628 UFK196626:UFK196628 UPG196626:UPG196628 UZC196626:UZC196628 VIY196626:VIY196628 VSU196626:VSU196628 WCQ196626:WCQ196628 WMM196626:WMM196628 WWI196626:WWI196628 AA262162:AA262164 JW262162:JW262164 TS262162:TS262164 ADO262162:ADO262164 ANK262162:ANK262164 AXG262162:AXG262164 BHC262162:BHC262164 BQY262162:BQY262164 CAU262162:CAU262164 CKQ262162:CKQ262164 CUM262162:CUM262164 DEI262162:DEI262164 DOE262162:DOE262164 DYA262162:DYA262164 EHW262162:EHW262164 ERS262162:ERS262164 FBO262162:FBO262164 FLK262162:FLK262164 FVG262162:FVG262164 GFC262162:GFC262164 GOY262162:GOY262164 GYU262162:GYU262164 HIQ262162:HIQ262164 HSM262162:HSM262164 ICI262162:ICI262164 IME262162:IME262164 IWA262162:IWA262164 JFW262162:JFW262164 JPS262162:JPS262164 JZO262162:JZO262164 KJK262162:KJK262164 KTG262162:KTG262164 LDC262162:LDC262164 LMY262162:LMY262164 LWU262162:LWU262164 MGQ262162:MGQ262164 MQM262162:MQM262164 NAI262162:NAI262164 NKE262162:NKE262164 NUA262162:NUA262164 ODW262162:ODW262164 ONS262162:ONS262164 OXO262162:OXO262164 PHK262162:PHK262164 PRG262162:PRG262164 QBC262162:QBC262164 QKY262162:QKY262164 QUU262162:QUU262164 REQ262162:REQ262164 ROM262162:ROM262164 RYI262162:RYI262164 SIE262162:SIE262164 SSA262162:SSA262164 TBW262162:TBW262164 TLS262162:TLS262164 TVO262162:TVO262164 UFK262162:UFK262164 UPG262162:UPG262164 UZC262162:UZC262164 VIY262162:VIY262164 VSU262162:VSU262164 WCQ262162:WCQ262164 WMM262162:WMM262164 WWI262162:WWI262164 AA327698:AA327700 JW327698:JW327700 TS327698:TS327700 ADO327698:ADO327700 ANK327698:ANK327700 AXG327698:AXG327700 BHC327698:BHC327700 BQY327698:BQY327700 CAU327698:CAU327700 CKQ327698:CKQ327700 CUM327698:CUM327700 DEI327698:DEI327700 DOE327698:DOE327700 DYA327698:DYA327700 EHW327698:EHW327700 ERS327698:ERS327700 FBO327698:FBO327700 FLK327698:FLK327700 FVG327698:FVG327700 GFC327698:GFC327700 GOY327698:GOY327700 GYU327698:GYU327700 HIQ327698:HIQ327700 HSM327698:HSM327700 ICI327698:ICI327700 IME327698:IME327700 IWA327698:IWA327700 JFW327698:JFW327700 JPS327698:JPS327700 JZO327698:JZO327700 KJK327698:KJK327700 KTG327698:KTG327700 LDC327698:LDC327700 LMY327698:LMY327700 LWU327698:LWU327700 MGQ327698:MGQ327700 MQM327698:MQM327700 NAI327698:NAI327700 NKE327698:NKE327700 NUA327698:NUA327700 ODW327698:ODW327700 ONS327698:ONS327700 OXO327698:OXO327700 PHK327698:PHK327700 PRG327698:PRG327700 QBC327698:QBC327700 QKY327698:QKY327700 QUU327698:QUU327700 REQ327698:REQ327700 ROM327698:ROM327700 RYI327698:RYI327700 SIE327698:SIE327700 SSA327698:SSA327700 TBW327698:TBW327700 TLS327698:TLS327700 TVO327698:TVO327700 UFK327698:UFK327700 UPG327698:UPG327700 UZC327698:UZC327700 VIY327698:VIY327700 VSU327698:VSU327700 WCQ327698:WCQ327700 WMM327698:WMM327700 WWI327698:WWI327700 AA393234:AA393236 JW393234:JW393236 TS393234:TS393236 ADO393234:ADO393236 ANK393234:ANK393236 AXG393234:AXG393236 BHC393234:BHC393236 BQY393234:BQY393236 CAU393234:CAU393236 CKQ393234:CKQ393236 CUM393234:CUM393236 DEI393234:DEI393236 DOE393234:DOE393236 DYA393234:DYA393236 EHW393234:EHW393236 ERS393234:ERS393236 FBO393234:FBO393236 FLK393234:FLK393236 FVG393234:FVG393236 GFC393234:GFC393236 GOY393234:GOY393236 GYU393234:GYU393236 HIQ393234:HIQ393236 HSM393234:HSM393236 ICI393234:ICI393236 IME393234:IME393236 IWA393234:IWA393236 JFW393234:JFW393236 JPS393234:JPS393236 JZO393234:JZO393236 KJK393234:KJK393236 KTG393234:KTG393236 LDC393234:LDC393236 LMY393234:LMY393236 LWU393234:LWU393236 MGQ393234:MGQ393236 MQM393234:MQM393236 NAI393234:NAI393236 NKE393234:NKE393236 NUA393234:NUA393236 ODW393234:ODW393236 ONS393234:ONS393236 OXO393234:OXO393236 PHK393234:PHK393236 PRG393234:PRG393236 QBC393234:QBC393236 QKY393234:QKY393236 QUU393234:QUU393236 REQ393234:REQ393236 ROM393234:ROM393236 RYI393234:RYI393236 SIE393234:SIE393236 SSA393234:SSA393236 TBW393234:TBW393236 TLS393234:TLS393236 TVO393234:TVO393236 UFK393234:UFK393236 UPG393234:UPG393236 UZC393234:UZC393236 VIY393234:VIY393236 VSU393234:VSU393236 WCQ393234:WCQ393236 WMM393234:WMM393236 WWI393234:WWI393236 AA458770:AA458772 JW458770:JW458772 TS458770:TS458772 ADO458770:ADO458772 ANK458770:ANK458772 AXG458770:AXG458772 BHC458770:BHC458772 BQY458770:BQY458772 CAU458770:CAU458772 CKQ458770:CKQ458772 CUM458770:CUM458772 DEI458770:DEI458772 DOE458770:DOE458772 DYA458770:DYA458772 EHW458770:EHW458772 ERS458770:ERS458772 FBO458770:FBO458772 FLK458770:FLK458772 FVG458770:FVG458772 GFC458770:GFC458772 GOY458770:GOY458772 GYU458770:GYU458772 HIQ458770:HIQ458772 HSM458770:HSM458772 ICI458770:ICI458772 IME458770:IME458772 IWA458770:IWA458772 JFW458770:JFW458772 JPS458770:JPS458772 JZO458770:JZO458772 KJK458770:KJK458772 KTG458770:KTG458772 LDC458770:LDC458772 LMY458770:LMY458772 LWU458770:LWU458772 MGQ458770:MGQ458772 MQM458770:MQM458772 NAI458770:NAI458772 NKE458770:NKE458772 NUA458770:NUA458772 ODW458770:ODW458772 ONS458770:ONS458772 OXO458770:OXO458772 PHK458770:PHK458772 PRG458770:PRG458772 QBC458770:QBC458772 QKY458770:QKY458772 QUU458770:QUU458772 REQ458770:REQ458772 ROM458770:ROM458772 RYI458770:RYI458772 SIE458770:SIE458772 SSA458770:SSA458772 TBW458770:TBW458772 TLS458770:TLS458772 TVO458770:TVO458772 UFK458770:UFK458772 UPG458770:UPG458772 UZC458770:UZC458772 VIY458770:VIY458772 VSU458770:VSU458772 WCQ458770:WCQ458772 WMM458770:WMM458772 WWI458770:WWI458772 AA524306:AA524308 JW524306:JW524308 TS524306:TS524308 ADO524306:ADO524308 ANK524306:ANK524308 AXG524306:AXG524308 BHC524306:BHC524308 BQY524306:BQY524308 CAU524306:CAU524308 CKQ524306:CKQ524308 CUM524306:CUM524308 DEI524306:DEI524308 DOE524306:DOE524308 DYA524306:DYA524308 EHW524306:EHW524308 ERS524306:ERS524308 FBO524306:FBO524308 FLK524306:FLK524308 FVG524306:FVG524308 GFC524306:GFC524308 GOY524306:GOY524308 GYU524306:GYU524308 HIQ524306:HIQ524308 HSM524306:HSM524308 ICI524306:ICI524308 IME524306:IME524308 IWA524306:IWA524308 JFW524306:JFW524308 JPS524306:JPS524308 JZO524306:JZO524308 KJK524306:KJK524308 KTG524306:KTG524308 LDC524306:LDC524308 LMY524306:LMY524308 LWU524306:LWU524308 MGQ524306:MGQ524308 MQM524306:MQM524308 NAI524306:NAI524308 NKE524306:NKE524308 NUA524306:NUA524308 ODW524306:ODW524308 ONS524306:ONS524308 OXO524306:OXO524308 PHK524306:PHK524308 PRG524306:PRG524308 QBC524306:QBC524308 QKY524306:QKY524308 QUU524306:QUU524308 REQ524306:REQ524308 ROM524306:ROM524308 RYI524306:RYI524308 SIE524306:SIE524308 SSA524306:SSA524308 TBW524306:TBW524308 TLS524306:TLS524308 TVO524306:TVO524308 UFK524306:UFK524308 UPG524306:UPG524308 UZC524306:UZC524308 VIY524306:VIY524308 VSU524306:VSU524308 WCQ524306:WCQ524308 WMM524306:WMM524308 WWI524306:WWI524308 AA589842:AA589844 JW589842:JW589844 TS589842:TS589844 ADO589842:ADO589844 ANK589842:ANK589844 AXG589842:AXG589844 BHC589842:BHC589844 BQY589842:BQY589844 CAU589842:CAU589844 CKQ589842:CKQ589844 CUM589842:CUM589844 DEI589842:DEI589844 DOE589842:DOE589844 DYA589842:DYA589844 EHW589842:EHW589844 ERS589842:ERS589844 FBO589842:FBO589844 FLK589842:FLK589844 FVG589842:FVG589844 GFC589842:GFC589844 GOY589842:GOY589844 GYU589842:GYU589844 HIQ589842:HIQ589844 HSM589842:HSM589844 ICI589842:ICI589844 IME589842:IME589844 IWA589842:IWA589844 JFW589842:JFW589844 JPS589842:JPS589844 JZO589842:JZO589844 KJK589842:KJK589844 KTG589842:KTG589844 LDC589842:LDC589844 LMY589842:LMY589844 LWU589842:LWU589844 MGQ589842:MGQ589844 MQM589842:MQM589844 NAI589842:NAI589844 NKE589842:NKE589844 NUA589842:NUA589844 ODW589842:ODW589844 ONS589842:ONS589844 OXO589842:OXO589844 PHK589842:PHK589844 PRG589842:PRG589844 QBC589842:QBC589844 QKY589842:QKY589844 QUU589842:QUU589844 REQ589842:REQ589844 ROM589842:ROM589844 RYI589842:RYI589844 SIE589842:SIE589844 SSA589842:SSA589844 TBW589842:TBW589844 TLS589842:TLS589844 TVO589842:TVO589844 UFK589842:UFK589844 UPG589842:UPG589844 UZC589842:UZC589844 VIY589842:VIY589844 VSU589842:VSU589844 WCQ589842:WCQ589844 WMM589842:WMM589844 WWI589842:WWI589844 AA655378:AA655380 JW655378:JW655380 TS655378:TS655380 ADO655378:ADO655380 ANK655378:ANK655380 AXG655378:AXG655380 BHC655378:BHC655380 BQY655378:BQY655380 CAU655378:CAU655380 CKQ655378:CKQ655380 CUM655378:CUM655380 DEI655378:DEI655380 DOE655378:DOE655380 DYA655378:DYA655380 EHW655378:EHW655380 ERS655378:ERS655380 FBO655378:FBO655380 FLK655378:FLK655380 FVG655378:FVG655380 GFC655378:GFC655380 GOY655378:GOY655380 GYU655378:GYU655380 HIQ655378:HIQ655380 HSM655378:HSM655380 ICI655378:ICI655380 IME655378:IME655380 IWA655378:IWA655380 JFW655378:JFW655380 JPS655378:JPS655380 JZO655378:JZO655380 KJK655378:KJK655380 KTG655378:KTG655380 LDC655378:LDC655380 LMY655378:LMY655380 LWU655378:LWU655380 MGQ655378:MGQ655380 MQM655378:MQM655380 NAI655378:NAI655380 NKE655378:NKE655380 NUA655378:NUA655380 ODW655378:ODW655380 ONS655378:ONS655380 OXO655378:OXO655380 PHK655378:PHK655380 PRG655378:PRG655380 QBC655378:QBC655380 QKY655378:QKY655380 QUU655378:QUU655380 REQ655378:REQ655380 ROM655378:ROM655380 RYI655378:RYI655380 SIE655378:SIE655380 SSA655378:SSA655380 TBW655378:TBW655380 TLS655378:TLS655380 TVO655378:TVO655380 UFK655378:UFK655380 UPG655378:UPG655380 UZC655378:UZC655380 VIY655378:VIY655380 VSU655378:VSU655380 WCQ655378:WCQ655380 WMM655378:WMM655380 WWI655378:WWI655380 AA720914:AA720916 JW720914:JW720916 TS720914:TS720916 ADO720914:ADO720916 ANK720914:ANK720916 AXG720914:AXG720916 BHC720914:BHC720916 BQY720914:BQY720916 CAU720914:CAU720916 CKQ720914:CKQ720916 CUM720914:CUM720916 DEI720914:DEI720916 DOE720914:DOE720916 DYA720914:DYA720916 EHW720914:EHW720916 ERS720914:ERS720916 FBO720914:FBO720916 FLK720914:FLK720916 FVG720914:FVG720916 GFC720914:GFC720916 GOY720914:GOY720916 GYU720914:GYU720916 HIQ720914:HIQ720916 HSM720914:HSM720916 ICI720914:ICI720916 IME720914:IME720916 IWA720914:IWA720916 JFW720914:JFW720916 JPS720914:JPS720916 JZO720914:JZO720916 KJK720914:KJK720916 KTG720914:KTG720916 LDC720914:LDC720916 LMY720914:LMY720916 LWU720914:LWU720916 MGQ720914:MGQ720916 MQM720914:MQM720916 NAI720914:NAI720916 NKE720914:NKE720916 NUA720914:NUA720916 ODW720914:ODW720916 ONS720914:ONS720916 OXO720914:OXO720916 PHK720914:PHK720916 PRG720914:PRG720916 QBC720914:QBC720916 QKY720914:QKY720916 QUU720914:QUU720916 REQ720914:REQ720916 ROM720914:ROM720916 RYI720914:RYI720916 SIE720914:SIE720916 SSA720914:SSA720916 TBW720914:TBW720916 TLS720914:TLS720916 TVO720914:TVO720916 UFK720914:UFK720916 UPG720914:UPG720916 UZC720914:UZC720916 VIY720914:VIY720916 VSU720914:VSU720916 WCQ720914:WCQ720916 WMM720914:WMM720916 WWI720914:WWI720916 AA786450:AA786452 JW786450:JW786452 TS786450:TS786452 ADO786450:ADO786452 ANK786450:ANK786452 AXG786450:AXG786452 BHC786450:BHC786452 BQY786450:BQY786452 CAU786450:CAU786452 CKQ786450:CKQ786452 CUM786450:CUM786452 DEI786450:DEI786452 DOE786450:DOE786452 DYA786450:DYA786452 EHW786450:EHW786452 ERS786450:ERS786452 FBO786450:FBO786452 FLK786450:FLK786452 FVG786450:FVG786452 GFC786450:GFC786452 GOY786450:GOY786452 GYU786450:GYU786452 HIQ786450:HIQ786452 HSM786450:HSM786452 ICI786450:ICI786452 IME786450:IME786452 IWA786450:IWA786452 JFW786450:JFW786452 JPS786450:JPS786452 JZO786450:JZO786452 KJK786450:KJK786452 KTG786450:KTG786452 LDC786450:LDC786452 LMY786450:LMY786452 LWU786450:LWU786452 MGQ786450:MGQ786452 MQM786450:MQM786452 NAI786450:NAI786452 NKE786450:NKE786452 NUA786450:NUA786452 ODW786450:ODW786452 ONS786450:ONS786452 OXO786450:OXO786452 PHK786450:PHK786452 PRG786450:PRG786452 QBC786450:QBC786452 QKY786450:QKY786452 QUU786450:QUU786452 REQ786450:REQ786452 ROM786450:ROM786452 RYI786450:RYI786452 SIE786450:SIE786452 SSA786450:SSA786452 TBW786450:TBW786452 TLS786450:TLS786452 TVO786450:TVO786452 UFK786450:UFK786452 UPG786450:UPG786452 UZC786450:UZC786452 VIY786450:VIY786452 VSU786450:VSU786452 WCQ786450:WCQ786452 WMM786450:WMM786452 WWI786450:WWI786452 AA851986:AA851988 JW851986:JW851988 TS851986:TS851988 ADO851986:ADO851988 ANK851986:ANK851988 AXG851986:AXG851988 BHC851986:BHC851988 BQY851986:BQY851988 CAU851986:CAU851988 CKQ851986:CKQ851988 CUM851986:CUM851988 DEI851986:DEI851988 DOE851986:DOE851988 DYA851986:DYA851988 EHW851986:EHW851988 ERS851986:ERS851988 FBO851986:FBO851988 FLK851986:FLK851988 FVG851986:FVG851988 GFC851986:GFC851988 GOY851986:GOY851988 GYU851986:GYU851988 HIQ851986:HIQ851988 HSM851986:HSM851988 ICI851986:ICI851988 IME851986:IME851988 IWA851986:IWA851988 JFW851986:JFW851988 JPS851986:JPS851988 JZO851986:JZO851988 KJK851986:KJK851988 KTG851986:KTG851988 LDC851986:LDC851988 LMY851986:LMY851988 LWU851986:LWU851988 MGQ851986:MGQ851988 MQM851986:MQM851988 NAI851986:NAI851988 NKE851986:NKE851988 NUA851986:NUA851988 ODW851986:ODW851988 ONS851986:ONS851988 OXO851986:OXO851988 PHK851986:PHK851988 PRG851986:PRG851988 QBC851986:QBC851988 QKY851986:QKY851988 QUU851986:QUU851988 REQ851986:REQ851988 ROM851986:ROM851988 RYI851986:RYI851988 SIE851986:SIE851988 SSA851986:SSA851988 TBW851986:TBW851988 TLS851986:TLS851988 TVO851986:TVO851988 UFK851986:UFK851988 UPG851986:UPG851988 UZC851986:UZC851988 VIY851986:VIY851988 VSU851986:VSU851988 WCQ851986:WCQ851988 WMM851986:WMM851988 WWI851986:WWI851988 AA917522:AA917524 JW917522:JW917524 TS917522:TS917524 ADO917522:ADO917524 ANK917522:ANK917524 AXG917522:AXG917524 BHC917522:BHC917524 BQY917522:BQY917524 CAU917522:CAU917524 CKQ917522:CKQ917524 CUM917522:CUM917524 DEI917522:DEI917524 DOE917522:DOE917524 DYA917522:DYA917524 EHW917522:EHW917524 ERS917522:ERS917524 FBO917522:FBO917524 FLK917522:FLK917524 FVG917522:FVG917524 GFC917522:GFC917524 GOY917522:GOY917524 GYU917522:GYU917524 HIQ917522:HIQ917524 HSM917522:HSM917524 ICI917522:ICI917524 IME917522:IME917524 IWA917522:IWA917524 JFW917522:JFW917524 JPS917522:JPS917524 JZO917522:JZO917524 KJK917522:KJK917524 KTG917522:KTG917524 LDC917522:LDC917524 LMY917522:LMY917524 LWU917522:LWU917524 MGQ917522:MGQ917524 MQM917522:MQM917524 NAI917522:NAI917524 NKE917522:NKE917524 NUA917522:NUA917524 ODW917522:ODW917524 ONS917522:ONS917524 OXO917522:OXO917524 PHK917522:PHK917524 PRG917522:PRG917524 QBC917522:QBC917524 QKY917522:QKY917524 QUU917522:QUU917524 REQ917522:REQ917524 ROM917522:ROM917524 RYI917522:RYI917524 SIE917522:SIE917524 SSA917522:SSA917524 TBW917522:TBW917524 TLS917522:TLS917524 TVO917522:TVO917524 UFK917522:UFK917524 UPG917522:UPG917524 UZC917522:UZC917524 VIY917522:VIY917524 VSU917522:VSU917524 WCQ917522:WCQ917524 WMM917522:WMM917524 WWI917522:WWI917524 AA983058:AA983060 JW983058:JW983060 TS983058:TS983060 ADO983058:ADO983060 ANK983058:ANK983060 AXG983058:AXG983060 BHC983058:BHC983060 BQY983058:BQY983060 CAU983058:CAU983060 CKQ983058:CKQ983060 CUM983058:CUM983060 DEI983058:DEI983060 DOE983058:DOE983060 DYA983058:DYA983060 EHW983058:EHW983060 ERS983058:ERS983060 FBO983058:FBO983060 FLK983058:FLK983060 FVG983058:FVG983060 GFC983058:GFC983060 GOY983058:GOY983060 GYU983058:GYU983060 HIQ983058:HIQ983060 HSM983058:HSM983060 ICI983058:ICI983060 IME983058:IME983060 IWA983058:IWA983060 JFW983058:JFW983060 JPS983058:JPS983060 JZO983058:JZO983060 KJK983058:KJK983060 KTG983058:KTG983060 LDC983058:LDC983060 LMY983058:LMY983060 LWU983058:LWU983060 MGQ983058:MGQ983060 MQM983058:MQM983060 NAI983058:NAI983060 NKE983058:NKE983060 NUA983058:NUA983060 ODW983058:ODW983060 ONS983058:ONS983060 OXO983058:OXO983060 PHK983058:PHK983060 PRG983058:PRG983060 QBC983058:QBC983060 QKY983058:QKY983060 QUU983058:QUU983060 REQ983058:REQ983060 ROM983058:ROM983060 RYI983058:RYI983060 SIE983058:SIE983060 SSA983058:SSA983060 TBW983058:TBW983060 TLS983058:TLS983060 TVO983058:TVO983060 UFK983058:UFK983060 UPG983058:UPG983060 UZC983058:UZC983060 VIY983058:VIY983060 VSU983058:VSU983060 WCQ983058:WCQ983060 WMM983058:WMM983060 WWI983058:WWI983060 AC18:AC20 JY18:JY20 TU18:TU20 ADQ18:ADQ20 ANM18:ANM20 AXI18:AXI20 BHE18:BHE20 BRA18:BRA20 CAW18:CAW20 CKS18:CKS20 CUO18:CUO20 DEK18:DEK20 DOG18:DOG20 DYC18:DYC20 EHY18:EHY20 ERU18:ERU20 FBQ18:FBQ20 FLM18:FLM20 FVI18:FVI20 GFE18:GFE20 GPA18:GPA20 GYW18:GYW20 HIS18:HIS20 HSO18:HSO20 ICK18:ICK20 IMG18:IMG20 IWC18:IWC20 JFY18:JFY20 JPU18:JPU20 JZQ18:JZQ20 KJM18:KJM20 KTI18:KTI20 LDE18:LDE20 LNA18:LNA20 LWW18:LWW20 MGS18:MGS20 MQO18:MQO20 NAK18:NAK20 NKG18:NKG20 NUC18:NUC20 ODY18:ODY20 ONU18:ONU20 OXQ18:OXQ20 PHM18:PHM20 PRI18:PRI20 QBE18:QBE20 QLA18:QLA20 QUW18:QUW20 RES18:RES20 ROO18:ROO20 RYK18:RYK20 SIG18:SIG20 SSC18:SSC20 TBY18:TBY20 TLU18:TLU20 TVQ18:TVQ20 UFM18:UFM20 UPI18:UPI20 UZE18:UZE20 VJA18:VJA20 VSW18:VSW20 WCS18:WCS20 WMO18:WMO20 WWK18:WWK20 AC65554:AC65556 JY65554:JY65556 TU65554:TU65556 ADQ65554:ADQ65556 ANM65554:ANM65556 AXI65554:AXI65556 BHE65554:BHE65556 BRA65554:BRA65556 CAW65554:CAW65556 CKS65554:CKS65556 CUO65554:CUO65556 DEK65554:DEK65556 DOG65554:DOG65556 DYC65554:DYC65556 EHY65554:EHY65556 ERU65554:ERU65556 FBQ65554:FBQ65556 FLM65554:FLM65556 FVI65554:FVI65556 GFE65554:GFE65556 GPA65554:GPA65556 GYW65554:GYW65556 HIS65554:HIS65556 HSO65554:HSO65556 ICK65554:ICK65556 IMG65554:IMG65556 IWC65554:IWC65556 JFY65554:JFY65556 JPU65554:JPU65556 JZQ65554:JZQ65556 KJM65554:KJM65556 KTI65554:KTI65556 LDE65554:LDE65556 LNA65554:LNA65556 LWW65554:LWW65556 MGS65554:MGS65556 MQO65554:MQO65556 NAK65554:NAK65556 NKG65554:NKG65556 NUC65554:NUC65556 ODY65554:ODY65556 ONU65554:ONU65556 OXQ65554:OXQ65556 PHM65554:PHM65556 PRI65554:PRI65556 QBE65554:QBE65556 QLA65554:QLA65556 QUW65554:QUW65556 RES65554:RES65556 ROO65554:ROO65556 RYK65554:RYK65556 SIG65554:SIG65556 SSC65554:SSC65556 TBY65554:TBY65556 TLU65554:TLU65556 TVQ65554:TVQ65556 UFM65554:UFM65556 UPI65554:UPI65556 UZE65554:UZE65556 VJA65554:VJA65556 VSW65554:VSW65556 WCS65554:WCS65556 WMO65554:WMO65556 WWK65554:WWK65556 AC131090:AC131092 JY131090:JY131092 TU131090:TU131092 ADQ131090:ADQ131092 ANM131090:ANM131092 AXI131090:AXI131092 BHE131090:BHE131092 BRA131090:BRA131092 CAW131090:CAW131092 CKS131090:CKS131092 CUO131090:CUO131092 DEK131090:DEK131092 DOG131090:DOG131092 DYC131090:DYC131092 EHY131090:EHY131092 ERU131090:ERU131092 FBQ131090:FBQ131092 FLM131090:FLM131092 FVI131090:FVI131092 GFE131090:GFE131092 GPA131090:GPA131092 GYW131090:GYW131092 HIS131090:HIS131092 HSO131090:HSO131092 ICK131090:ICK131092 IMG131090:IMG131092 IWC131090:IWC131092 JFY131090:JFY131092 JPU131090:JPU131092 JZQ131090:JZQ131092 KJM131090:KJM131092 KTI131090:KTI131092 LDE131090:LDE131092 LNA131090:LNA131092 LWW131090:LWW131092 MGS131090:MGS131092 MQO131090:MQO131092 NAK131090:NAK131092 NKG131090:NKG131092 NUC131090:NUC131092 ODY131090:ODY131092 ONU131090:ONU131092 OXQ131090:OXQ131092 PHM131090:PHM131092 PRI131090:PRI131092 QBE131090:QBE131092 QLA131090:QLA131092 QUW131090:QUW131092 RES131090:RES131092 ROO131090:ROO131092 RYK131090:RYK131092 SIG131090:SIG131092 SSC131090:SSC131092 TBY131090:TBY131092 TLU131090:TLU131092 TVQ131090:TVQ131092 UFM131090:UFM131092 UPI131090:UPI131092 UZE131090:UZE131092 VJA131090:VJA131092 VSW131090:VSW131092 WCS131090:WCS131092 WMO131090:WMO131092 WWK131090:WWK131092 AC196626:AC196628 JY196626:JY196628 TU196626:TU196628 ADQ196626:ADQ196628 ANM196626:ANM196628 AXI196626:AXI196628 BHE196626:BHE196628 BRA196626:BRA196628 CAW196626:CAW196628 CKS196626:CKS196628 CUO196626:CUO196628 DEK196626:DEK196628 DOG196626:DOG196628 DYC196626:DYC196628 EHY196626:EHY196628 ERU196626:ERU196628 FBQ196626:FBQ196628 FLM196626:FLM196628 FVI196626:FVI196628 GFE196626:GFE196628 GPA196626:GPA196628 GYW196626:GYW196628 HIS196626:HIS196628 HSO196626:HSO196628 ICK196626:ICK196628 IMG196626:IMG196628 IWC196626:IWC196628 JFY196626:JFY196628 JPU196626:JPU196628 JZQ196626:JZQ196628 KJM196626:KJM196628 KTI196626:KTI196628 LDE196626:LDE196628 LNA196626:LNA196628 LWW196626:LWW196628 MGS196626:MGS196628 MQO196626:MQO196628 NAK196626:NAK196628 NKG196626:NKG196628 NUC196626:NUC196628 ODY196626:ODY196628 ONU196626:ONU196628 OXQ196626:OXQ196628 PHM196626:PHM196628 PRI196626:PRI196628 QBE196626:QBE196628 QLA196626:QLA196628 QUW196626:QUW196628 RES196626:RES196628 ROO196626:ROO196628 RYK196626:RYK196628 SIG196626:SIG196628 SSC196626:SSC196628 TBY196626:TBY196628 TLU196626:TLU196628 TVQ196626:TVQ196628 UFM196626:UFM196628 UPI196626:UPI196628 UZE196626:UZE196628 VJA196626:VJA196628 VSW196626:VSW196628 WCS196626:WCS196628 WMO196626:WMO196628 WWK196626:WWK196628 AC262162:AC262164 JY262162:JY262164 TU262162:TU262164 ADQ262162:ADQ262164 ANM262162:ANM262164 AXI262162:AXI262164 BHE262162:BHE262164 BRA262162:BRA262164 CAW262162:CAW262164 CKS262162:CKS262164 CUO262162:CUO262164 DEK262162:DEK262164 DOG262162:DOG262164 DYC262162:DYC262164 EHY262162:EHY262164 ERU262162:ERU262164 FBQ262162:FBQ262164 FLM262162:FLM262164 FVI262162:FVI262164 GFE262162:GFE262164 GPA262162:GPA262164 GYW262162:GYW262164 HIS262162:HIS262164 HSO262162:HSO262164 ICK262162:ICK262164 IMG262162:IMG262164 IWC262162:IWC262164 JFY262162:JFY262164 JPU262162:JPU262164 JZQ262162:JZQ262164 KJM262162:KJM262164 KTI262162:KTI262164 LDE262162:LDE262164 LNA262162:LNA262164 LWW262162:LWW262164 MGS262162:MGS262164 MQO262162:MQO262164 NAK262162:NAK262164 NKG262162:NKG262164 NUC262162:NUC262164 ODY262162:ODY262164 ONU262162:ONU262164 OXQ262162:OXQ262164 PHM262162:PHM262164 PRI262162:PRI262164 QBE262162:QBE262164 QLA262162:QLA262164 QUW262162:QUW262164 RES262162:RES262164 ROO262162:ROO262164 RYK262162:RYK262164 SIG262162:SIG262164 SSC262162:SSC262164 TBY262162:TBY262164 TLU262162:TLU262164 TVQ262162:TVQ262164 UFM262162:UFM262164 UPI262162:UPI262164 UZE262162:UZE262164 VJA262162:VJA262164 VSW262162:VSW262164 WCS262162:WCS262164 WMO262162:WMO262164 WWK262162:WWK262164 AC327698:AC327700 JY327698:JY327700 TU327698:TU327700 ADQ327698:ADQ327700 ANM327698:ANM327700 AXI327698:AXI327700 BHE327698:BHE327700 BRA327698:BRA327700 CAW327698:CAW327700 CKS327698:CKS327700 CUO327698:CUO327700 DEK327698:DEK327700 DOG327698:DOG327700 DYC327698:DYC327700 EHY327698:EHY327700 ERU327698:ERU327700 FBQ327698:FBQ327700 FLM327698:FLM327700 FVI327698:FVI327700 GFE327698:GFE327700 GPA327698:GPA327700 GYW327698:GYW327700 HIS327698:HIS327700 HSO327698:HSO327700 ICK327698:ICK327700 IMG327698:IMG327700 IWC327698:IWC327700 JFY327698:JFY327700 JPU327698:JPU327700 JZQ327698:JZQ327700 KJM327698:KJM327700 KTI327698:KTI327700 LDE327698:LDE327700 LNA327698:LNA327700 LWW327698:LWW327700 MGS327698:MGS327700 MQO327698:MQO327700 NAK327698:NAK327700 NKG327698:NKG327700 NUC327698:NUC327700 ODY327698:ODY327700 ONU327698:ONU327700 OXQ327698:OXQ327700 PHM327698:PHM327700 PRI327698:PRI327700 QBE327698:QBE327700 QLA327698:QLA327700 QUW327698:QUW327700 RES327698:RES327700 ROO327698:ROO327700 RYK327698:RYK327700 SIG327698:SIG327700 SSC327698:SSC327700 TBY327698:TBY327700 TLU327698:TLU327700 TVQ327698:TVQ327700 UFM327698:UFM327700 UPI327698:UPI327700 UZE327698:UZE327700 VJA327698:VJA327700 VSW327698:VSW327700 WCS327698:WCS327700 WMO327698:WMO327700 WWK327698:WWK327700 AC393234:AC393236 JY393234:JY393236 TU393234:TU393236 ADQ393234:ADQ393236 ANM393234:ANM393236 AXI393234:AXI393236 BHE393234:BHE393236 BRA393234:BRA393236 CAW393234:CAW393236 CKS393234:CKS393236 CUO393234:CUO393236 DEK393234:DEK393236 DOG393234:DOG393236 DYC393234:DYC393236 EHY393234:EHY393236 ERU393234:ERU393236 FBQ393234:FBQ393236 FLM393234:FLM393236 FVI393234:FVI393236 GFE393234:GFE393236 GPA393234:GPA393236 GYW393234:GYW393236 HIS393234:HIS393236 HSO393234:HSO393236 ICK393234:ICK393236 IMG393234:IMG393236 IWC393234:IWC393236 JFY393234:JFY393236 JPU393234:JPU393236 JZQ393234:JZQ393236 KJM393234:KJM393236 KTI393234:KTI393236 LDE393234:LDE393236 LNA393234:LNA393236 LWW393234:LWW393236 MGS393234:MGS393236 MQO393234:MQO393236 NAK393234:NAK393236 NKG393234:NKG393236 NUC393234:NUC393236 ODY393234:ODY393236 ONU393234:ONU393236 OXQ393234:OXQ393236 PHM393234:PHM393236 PRI393234:PRI393236 QBE393234:QBE393236 QLA393234:QLA393236 QUW393234:QUW393236 RES393234:RES393236 ROO393234:ROO393236 RYK393234:RYK393236 SIG393234:SIG393236 SSC393234:SSC393236 TBY393234:TBY393236 TLU393234:TLU393236 TVQ393234:TVQ393236 UFM393234:UFM393236 UPI393234:UPI393236 UZE393234:UZE393236 VJA393234:VJA393236 VSW393234:VSW393236 WCS393234:WCS393236 WMO393234:WMO393236 WWK393234:WWK393236 AC458770:AC458772 JY458770:JY458772 TU458770:TU458772 ADQ458770:ADQ458772 ANM458770:ANM458772 AXI458770:AXI458772 BHE458770:BHE458772 BRA458770:BRA458772 CAW458770:CAW458772 CKS458770:CKS458772 CUO458770:CUO458772 DEK458770:DEK458772 DOG458770:DOG458772 DYC458770:DYC458772 EHY458770:EHY458772 ERU458770:ERU458772 FBQ458770:FBQ458772 FLM458770:FLM458772 FVI458770:FVI458772 GFE458770:GFE458772 GPA458770:GPA458772 GYW458770:GYW458772 HIS458770:HIS458772 HSO458770:HSO458772 ICK458770:ICK458772 IMG458770:IMG458772 IWC458770:IWC458772 JFY458770:JFY458772 JPU458770:JPU458772 JZQ458770:JZQ458772 KJM458770:KJM458772 KTI458770:KTI458772 LDE458770:LDE458772 LNA458770:LNA458772 LWW458770:LWW458772 MGS458770:MGS458772 MQO458770:MQO458772 NAK458770:NAK458772 NKG458770:NKG458772 NUC458770:NUC458772 ODY458770:ODY458772 ONU458770:ONU458772 OXQ458770:OXQ458772 PHM458770:PHM458772 PRI458770:PRI458772 QBE458770:QBE458772 QLA458770:QLA458772 QUW458770:QUW458772 RES458770:RES458772 ROO458770:ROO458772 RYK458770:RYK458772 SIG458770:SIG458772 SSC458770:SSC458772 TBY458770:TBY458772 TLU458770:TLU458772 TVQ458770:TVQ458772 UFM458770:UFM458772 UPI458770:UPI458772 UZE458770:UZE458772 VJA458770:VJA458772 VSW458770:VSW458772 WCS458770:WCS458772 WMO458770:WMO458772 WWK458770:WWK458772 AC524306:AC524308 JY524306:JY524308 TU524306:TU524308 ADQ524306:ADQ524308 ANM524306:ANM524308 AXI524306:AXI524308 BHE524306:BHE524308 BRA524306:BRA524308 CAW524306:CAW524308 CKS524306:CKS524308 CUO524306:CUO524308 DEK524306:DEK524308 DOG524306:DOG524308 DYC524306:DYC524308 EHY524306:EHY524308 ERU524306:ERU524308 FBQ524306:FBQ524308 FLM524306:FLM524308 FVI524306:FVI524308 GFE524306:GFE524308 GPA524306:GPA524308 GYW524306:GYW524308 HIS524306:HIS524308 HSO524306:HSO524308 ICK524306:ICK524308 IMG524306:IMG524308 IWC524306:IWC524308 JFY524306:JFY524308 JPU524306:JPU524308 JZQ524306:JZQ524308 KJM524306:KJM524308 KTI524306:KTI524308 LDE524306:LDE524308 LNA524306:LNA524308 LWW524306:LWW524308 MGS524306:MGS524308 MQO524306:MQO524308 NAK524306:NAK524308 NKG524306:NKG524308 NUC524306:NUC524308 ODY524306:ODY524308 ONU524306:ONU524308 OXQ524306:OXQ524308 PHM524306:PHM524308 PRI524306:PRI524308 QBE524306:QBE524308 QLA524306:QLA524308 QUW524306:QUW524308 RES524306:RES524308 ROO524306:ROO524308 RYK524306:RYK524308 SIG524306:SIG524308 SSC524306:SSC524308 TBY524306:TBY524308 TLU524306:TLU524308 TVQ524306:TVQ524308 UFM524306:UFM524308 UPI524306:UPI524308 UZE524306:UZE524308 VJA524306:VJA524308 VSW524306:VSW524308 WCS524306:WCS524308 WMO524306:WMO524308 WWK524306:WWK524308 AC589842:AC589844 JY589842:JY589844 TU589842:TU589844 ADQ589842:ADQ589844 ANM589842:ANM589844 AXI589842:AXI589844 BHE589842:BHE589844 BRA589842:BRA589844 CAW589842:CAW589844 CKS589842:CKS589844 CUO589842:CUO589844 DEK589842:DEK589844 DOG589842:DOG589844 DYC589842:DYC589844 EHY589842:EHY589844 ERU589842:ERU589844 FBQ589842:FBQ589844 FLM589842:FLM589844 FVI589842:FVI589844 GFE589842:GFE589844 GPA589842:GPA589844 GYW589842:GYW589844 HIS589842:HIS589844 HSO589842:HSO589844 ICK589842:ICK589844 IMG589842:IMG589844 IWC589842:IWC589844 JFY589842:JFY589844 JPU589842:JPU589844 JZQ589842:JZQ589844 KJM589842:KJM589844 KTI589842:KTI589844 LDE589842:LDE589844 LNA589842:LNA589844 LWW589842:LWW589844 MGS589842:MGS589844 MQO589842:MQO589844 NAK589842:NAK589844 NKG589842:NKG589844 NUC589842:NUC589844 ODY589842:ODY589844 ONU589842:ONU589844 OXQ589842:OXQ589844 PHM589842:PHM589844 PRI589842:PRI589844 QBE589842:QBE589844 QLA589842:QLA589844 QUW589842:QUW589844 RES589842:RES589844 ROO589842:ROO589844 RYK589842:RYK589844 SIG589842:SIG589844 SSC589842:SSC589844 TBY589842:TBY589844 TLU589842:TLU589844 TVQ589842:TVQ589844 UFM589842:UFM589844 UPI589842:UPI589844 UZE589842:UZE589844 VJA589842:VJA589844 VSW589842:VSW589844 WCS589842:WCS589844 WMO589842:WMO589844 WWK589842:WWK589844 AC655378:AC655380 JY655378:JY655380 TU655378:TU655380 ADQ655378:ADQ655380 ANM655378:ANM655380 AXI655378:AXI655380 BHE655378:BHE655380 BRA655378:BRA655380 CAW655378:CAW655380 CKS655378:CKS655380 CUO655378:CUO655380 DEK655378:DEK655380 DOG655378:DOG655380 DYC655378:DYC655380 EHY655378:EHY655380 ERU655378:ERU655380 FBQ655378:FBQ655380 FLM655378:FLM655380 FVI655378:FVI655380 GFE655378:GFE655380 GPA655378:GPA655380 GYW655378:GYW655380 HIS655378:HIS655380 HSO655378:HSO655380 ICK655378:ICK655380 IMG655378:IMG655380 IWC655378:IWC655380 JFY655378:JFY655380 JPU655378:JPU655380 JZQ655378:JZQ655380 KJM655378:KJM655380 KTI655378:KTI655380 LDE655378:LDE655380 LNA655378:LNA655380 LWW655378:LWW655380 MGS655378:MGS655380 MQO655378:MQO655380 NAK655378:NAK655380 NKG655378:NKG655380 NUC655378:NUC655380 ODY655378:ODY655380 ONU655378:ONU655380 OXQ655378:OXQ655380 PHM655378:PHM655380 PRI655378:PRI655380 QBE655378:QBE655380 QLA655378:QLA655380 QUW655378:QUW655380 RES655378:RES655380 ROO655378:ROO655380 RYK655378:RYK655380 SIG655378:SIG655380 SSC655378:SSC655380 TBY655378:TBY655380 TLU655378:TLU655380 TVQ655378:TVQ655380 UFM655378:UFM655380 UPI655378:UPI655380 UZE655378:UZE655380 VJA655378:VJA655380 VSW655378:VSW655380 WCS655378:WCS655380 WMO655378:WMO655380 WWK655378:WWK655380 AC720914:AC720916 JY720914:JY720916 TU720914:TU720916 ADQ720914:ADQ720916 ANM720914:ANM720916 AXI720914:AXI720916 BHE720914:BHE720916 BRA720914:BRA720916 CAW720914:CAW720916 CKS720914:CKS720916 CUO720914:CUO720916 DEK720914:DEK720916 DOG720914:DOG720916 DYC720914:DYC720916 EHY720914:EHY720916 ERU720914:ERU720916 FBQ720914:FBQ720916 FLM720914:FLM720916 FVI720914:FVI720916 GFE720914:GFE720916 GPA720914:GPA720916 GYW720914:GYW720916 HIS720914:HIS720916 HSO720914:HSO720916 ICK720914:ICK720916 IMG720914:IMG720916 IWC720914:IWC720916 JFY720914:JFY720916 JPU720914:JPU720916 JZQ720914:JZQ720916 KJM720914:KJM720916 KTI720914:KTI720916 LDE720914:LDE720916 LNA720914:LNA720916 LWW720914:LWW720916 MGS720914:MGS720916 MQO720914:MQO720916 NAK720914:NAK720916 NKG720914:NKG720916 NUC720914:NUC720916 ODY720914:ODY720916 ONU720914:ONU720916 OXQ720914:OXQ720916 PHM720914:PHM720916 PRI720914:PRI720916 QBE720914:QBE720916 QLA720914:QLA720916 QUW720914:QUW720916 RES720914:RES720916 ROO720914:ROO720916 RYK720914:RYK720916 SIG720914:SIG720916 SSC720914:SSC720916 TBY720914:TBY720916 TLU720914:TLU720916 TVQ720914:TVQ720916 UFM720914:UFM720916 UPI720914:UPI720916 UZE720914:UZE720916 VJA720914:VJA720916 VSW720914:VSW720916 WCS720914:WCS720916 WMO720914:WMO720916 WWK720914:WWK720916 AC786450:AC786452 JY786450:JY786452 TU786450:TU786452 ADQ786450:ADQ786452 ANM786450:ANM786452 AXI786450:AXI786452 BHE786450:BHE786452 BRA786450:BRA786452 CAW786450:CAW786452 CKS786450:CKS786452 CUO786450:CUO786452 DEK786450:DEK786452 DOG786450:DOG786452 DYC786450:DYC786452 EHY786450:EHY786452 ERU786450:ERU786452 FBQ786450:FBQ786452 FLM786450:FLM786452 FVI786450:FVI786452 GFE786450:GFE786452 GPA786450:GPA786452 GYW786450:GYW786452 HIS786450:HIS786452 HSO786450:HSO786452 ICK786450:ICK786452 IMG786450:IMG786452 IWC786450:IWC786452 JFY786450:JFY786452 JPU786450:JPU786452 JZQ786450:JZQ786452 KJM786450:KJM786452 KTI786450:KTI786452 LDE786450:LDE786452 LNA786450:LNA786452 LWW786450:LWW786452 MGS786450:MGS786452 MQO786450:MQO786452 NAK786450:NAK786452 NKG786450:NKG786452 NUC786450:NUC786452 ODY786450:ODY786452 ONU786450:ONU786452 OXQ786450:OXQ786452 PHM786450:PHM786452 PRI786450:PRI786452 QBE786450:QBE786452 QLA786450:QLA786452 QUW786450:QUW786452 RES786450:RES786452 ROO786450:ROO786452 RYK786450:RYK786452 SIG786450:SIG786452 SSC786450:SSC786452 TBY786450:TBY786452 TLU786450:TLU786452 TVQ786450:TVQ786452 UFM786450:UFM786452 UPI786450:UPI786452 UZE786450:UZE786452 VJA786450:VJA786452 VSW786450:VSW786452 WCS786450:WCS786452 WMO786450:WMO786452 WWK786450:WWK786452 AC851986:AC851988 JY851986:JY851988 TU851986:TU851988 ADQ851986:ADQ851988 ANM851986:ANM851988 AXI851986:AXI851988 BHE851986:BHE851988 BRA851986:BRA851988 CAW851986:CAW851988 CKS851986:CKS851988 CUO851986:CUO851988 DEK851986:DEK851988 DOG851986:DOG851988 DYC851986:DYC851988 EHY851986:EHY851988 ERU851986:ERU851988 FBQ851986:FBQ851988 FLM851986:FLM851988 FVI851986:FVI851988 GFE851986:GFE851988 GPA851986:GPA851988 GYW851986:GYW851988 HIS851986:HIS851988 HSO851986:HSO851988 ICK851986:ICK851988 IMG851986:IMG851988 IWC851986:IWC851988 JFY851986:JFY851988 JPU851986:JPU851988 JZQ851986:JZQ851988 KJM851986:KJM851988 KTI851986:KTI851988 LDE851986:LDE851988 LNA851986:LNA851988 LWW851986:LWW851988 MGS851986:MGS851988 MQO851986:MQO851988 NAK851986:NAK851988 NKG851986:NKG851988 NUC851986:NUC851988 ODY851986:ODY851988 ONU851986:ONU851988 OXQ851986:OXQ851988 PHM851986:PHM851988 PRI851986:PRI851988 QBE851986:QBE851988 QLA851986:QLA851988 QUW851986:QUW851988 RES851986:RES851988 ROO851986:ROO851988 RYK851986:RYK851988 SIG851986:SIG851988 SSC851986:SSC851988 TBY851986:TBY851988 TLU851986:TLU851988 TVQ851986:TVQ851988 UFM851986:UFM851988 UPI851986:UPI851988 UZE851986:UZE851988 VJA851986:VJA851988 VSW851986:VSW851988 WCS851986:WCS851988 WMO851986:WMO851988 WWK851986:WWK851988 AC917522:AC917524 JY917522:JY917524 TU917522:TU917524 ADQ917522:ADQ917524 ANM917522:ANM917524 AXI917522:AXI917524 BHE917522:BHE917524 BRA917522:BRA917524 CAW917522:CAW917524 CKS917522:CKS917524 CUO917522:CUO917524 DEK917522:DEK917524 DOG917522:DOG917524 DYC917522:DYC917524 EHY917522:EHY917524 ERU917522:ERU917524 FBQ917522:FBQ917524 FLM917522:FLM917524 FVI917522:FVI917524 GFE917522:GFE917524 GPA917522:GPA917524 GYW917522:GYW917524 HIS917522:HIS917524 HSO917522:HSO917524 ICK917522:ICK917524 IMG917522:IMG917524 IWC917522:IWC917524 JFY917522:JFY917524 JPU917522:JPU917524 JZQ917522:JZQ917524 KJM917522:KJM917524 KTI917522:KTI917524 LDE917522:LDE917524 LNA917522:LNA917524 LWW917522:LWW917524 MGS917522:MGS917524 MQO917522:MQO917524 NAK917522:NAK917524 NKG917522:NKG917524 NUC917522:NUC917524 ODY917522:ODY917524 ONU917522:ONU917524 OXQ917522:OXQ917524 PHM917522:PHM917524 PRI917522:PRI917524 QBE917522:QBE917524 QLA917522:QLA917524 QUW917522:QUW917524 RES917522:RES917524 ROO917522:ROO917524 RYK917522:RYK917524 SIG917522:SIG917524 SSC917522:SSC917524 TBY917522:TBY917524 TLU917522:TLU917524 TVQ917522:TVQ917524 UFM917522:UFM917524 UPI917522:UPI917524 UZE917522:UZE917524 VJA917522:VJA917524 VSW917522:VSW917524 WCS917522:WCS917524 WMO917522:WMO917524 WWK917522:WWK917524 AC983058:AC983060 JY983058:JY983060 TU983058:TU983060 ADQ983058:ADQ983060 ANM983058:ANM983060 AXI983058:AXI983060 BHE983058:BHE983060 BRA983058:BRA983060 CAW983058:CAW983060 CKS983058:CKS983060 CUO983058:CUO983060 DEK983058:DEK983060 DOG983058:DOG983060 DYC983058:DYC983060 EHY983058:EHY983060 ERU983058:ERU983060 FBQ983058:FBQ983060 FLM983058:FLM983060 FVI983058:FVI983060 GFE983058:GFE983060 GPA983058:GPA983060 GYW983058:GYW983060 HIS983058:HIS983060 HSO983058:HSO983060 ICK983058:ICK983060 IMG983058:IMG983060 IWC983058:IWC983060 JFY983058:JFY983060 JPU983058:JPU983060 JZQ983058:JZQ983060 KJM983058:KJM983060 KTI983058:KTI983060 LDE983058:LDE983060 LNA983058:LNA983060 LWW983058:LWW983060 MGS983058:MGS983060 MQO983058:MQO983060 NAK983058:NAK983060 NKG983058:NKG983060 NUC983058:NUC983060 ODY983058:ODY983060 ONU983058:ONU983060 OXQ983058:OXQ983060 PHM983058:PHM983060 PRI983058:PRI983060 QBE983058:QBE983060 QLA983058:QLA983060 QUW983058:QUW983060 RES983058:RES983060 ROO983058:ROO983060 RYK983058:RYK983060 SIG983058:SIG983060 SSC983058:SSC983060 TBY983058:TBY983060 TLU983058:TLU983060 TVQ983058:TVQ983060 UFM983058:UFM983060 UPI983058:UPI983060 UZE983058:UZE983060 VJA983058:VJA983060 VSW983058:VSW983060 WCS983058:WCS983060 WMO983058:WMO983060 WWK983058:WWK983060 AA28 JW28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AA65564 JW65564 TS65564 ADO65564 ANK65564 AXG65564 BHC65564 BQY65564 CAU65564 CKQ65564 CUM65564 DEI65564 DOE65564 DYA65564 EHW65564 ERS65564 FBO65564 FLK65564 FVG65564 GFC65564 GOY65564 GYU65564 HIQ65564 HSM65564 ICI65564 IME65564 IWA65564 JFW65564 JPS65564 JZO65564 KJK65564 KTG65564 LDC65564 LMY65564 LWU65564 MGQ65564 MQM65564 NAI65564 NKE65564 NUA65564 ODW65564 ONS65564 OXO65564 PHK65564 PRG65564 QBC65564 QKY65564 QUU65564 REQ65564 ROM65564 RYI65564 SIE65564 SSA65564 TBW65564 TLS65564 TVO65564 UFK65564 UPG65564 UZC65564 VIY65564 VSU65564 WCQ65564 WMM65564 WWI65564 AA131100 JW131100 TS131100 ADO131100 ANK131100 AXG131100 BHC131100 BQY131100 CAU131100 CKQ131100 CUM131100 DEI131100 DOE131100 DYA131100 EHW131100 ERS131100 FBO131100 FLK131100 FVG131100 GFC131100 GOY131100 GYU131100 HIQ131100 HSM131100 ICI131100 IME131100 IWA131100 JFW131100 JPS131100 JZO131100 KJK131100 KTG131100 LDC131100 LMY131100 LWU131100 MGQ131100 MQM131100 NAI131100 NKE131100 NUA131100 ODW131100 ONS131100 OXO131100 PHK131100 PRG131100 QBC131100 QKY131100 QUU131100 REQ131100 ROM131100 RYI131100 SIE131100 SSA131100 TBW131100 TLS131100 TVO131100 UFK131100 UPG131100 UZC131100 VIY131100 VSU131100 WCQ131100 WMM131100 WWI131100 AA196636 JW196636 TS196636 ADO196636 ANK196636 AXG196636 BHC196636 BQY196636 CAU196636 CKQ196636 CUM196636 DEI196636 DOE196636 DYA196636 EHW196636 ERS196636 FBO196636 FLK196636 FVG196636 GFC196636 GOY196636 GYU196636 HIQ196636 HSM196636 ICI196636 IME196636 IWA196636 JFW196636 JPS196636 JZO196636 KJK196636 KTG196636 LDC196636 LMY196636 LWU196636 MGQ196636 MQM196636 NAI196636 NKE196636 NUA196636 ODW196636 ONS196636 OXO196636 PHK196636 PRG196636 QBC196636 QKY196636 QUU196636 REQ196636 ROM196636 RYI196636 SIE196636 SSA196636 TBW196636 TLS196636 TVO196636 UFK196636 UPG196636 UZC196636 VIY196636 VSU196636 WCQ196636 WMM196636 WWI196636 AA262172 JW262172 TS262172 ADO262172 ANK262172 AXG262172 BHC262172 BQY262172 CAU262172 CKQ262172 CUM262172 DEI262172 DOE262172 DYA262172 EHW262172 ERS262172 FBO262172 FLK262172 FVG262172 GFC262172 GOY262172 GYU262172 HIQ262172 HSM262172 ICI262172 IME262172 IWA262172 JFW262172 JPS262172 JZO262172 KJK262172 KTG262172 LDC262172 LMY262172 LWU262172 MGQ262172 MQM262172 NAI262172 NKE262172 NUA262172 ODW262172 ONS262172 OXO262172 PHK262172 PRG262172 QBC262172 QKY262172 QUU262172 REQ262172 ROM262172 RYI262172 SIE262172 SSA262172 TBW262172 TLS262172 TVO262172 UFK262172 UPG262172 UZC262172 VIY262172 VSU262172 WCQ262172 WMM262172 WWI262172 AA327708 JW327708 TS327708 ADO327708 ANK327708 AXG327708 BHC327708 BQY327708 CAU327708 CKQ327708 CUM327708 DEI327708 DOE327708 DYA327708 EHW327708 ERS327708 FBO327708 FLK327708 FVG327708 GFC327708 GOY327708 GYU327708 HIQ327708 HSM327708 ICI327708 IME327708 IWA327708 JFW327708 JPS327708 JZO327708 KJK327708 KTG327708 LDC327708 LMY327708 LWU327708 MGQ327708 MQM327708 NAI327708 NKE327708 NUA327708 ODW327708 ONS327708 OXO327708 PHK327708 PRG327708 QBC327708 QKY327708 QUU327708 REQ327708 ROM327708 RYI327708 SIE327708 SSA327708 TBW327708 TLS327708 TVO327708 UFK327708 UPG327708 UZC327708 VIY327708 VSU327708 WCQ327708 WMM327708 WWI327708 AA393244 JW393244 TS393244 ADO393244 ANK393244 AXG393244 BHC393244 BQY393244 CAU393244 CKQ393244 CUM393244 DEI393244 DOE393244 DYA393244 EHW393244 ERS393244 FBO393244 FLK393244 FVG393244 GFC393244 GOY393244 GYU393244 HIQ393244 HSM393244 ICI393244 IME393244 IWA393244 JFW393244 JPS393244 JZO393244 KJK393244 KTG393244 LDC393244 LMY393244 LWU393244 MGQ393244 MQM393244 NAI393244 NKE393244 NUA393244 ODW393244 ONS393244 OXO393244 PHK393244 PRG393244 QBC393244 QKY393244 QUU393244 REQ393244 ROM393244 RYI393244 SIE393244 SSA393244 TBW393244 TLS393244 TVO393244 UFK393244 UPG393244 UZC393244 VIY393244 VSU393244 WCQ393244 WMM393244 WWI393244 AA458780 JW458780 TS458780 ADO458780 ANK458780 AXG458780 BHC458780 BQY458780 CAU458780 CKQ458780 CUM458780 DEI458780 DOE458780 DYA458780 EHW458780 ERS458780 FBO458780 FLK458780 FVG458780 GFC458780 GOY458780 GYU458780 HIQ458780 HSM458780 ICI458780 IME458780 IWA458780 JFW458780 JPS458780 JZO458780 KJK458780 KTG458780 LDC458780 LMY458780 LWU458780 MGQ458780 MQM458780 NAI458780 NKE458780 NUA458780 ODW458780 ONS458780 OXO458780 PHK458780 PRG458780 QBC458780 QKY458780 QUU458780 REQ458780 ROM458780 RYI458780 SIE458780 SSA458780 TBW458780 TLS458780 TVO458780 UFK458780 UPG458780 UZC458780 VIY458780 VSU458780 WCQ458780 WMM458780 WWI458780 AA524316 JW524316 TS524316 ADO524316 ANK524316 AXG524316 BHC524316 BQY524316 CAU524316 CKQ524316 CUM524316 DEI524316 DOE524316 DYA524316 EHW524316 ERS524316 FBO524316 FLK524316 FVG524316 GFC524316 GOY524316 GYU524316 HIQ524316 HSM524316 ICI524316 IME524316 IWA524316 JFW524316 JPS524316 JZO524316 KJK524316 KTG524316 LDC524316 LMY524316 LWU524316 MGQ524316 MQM524316 NAI524316 NKE524316 NUA524316 ODW524316 ONS524316 OXO524316 PHK524316 PRG524316 QBC524316 QKY524316 QUU524316 REQ524316 ROM524316 RYI524316 SIE524316 SSA524316 TBW524316 TLS524316 TVO524316 UFK524316 UPG524316 UZC524316 VIY524316 VSU524316 WCQ524316 WMM524316 WWI524316 AA589852 JW589852 TS589852 ADO589852 ANK589852 AXG589852 BHC589852 BQY589852 CAU589852 CKQ589852 CUM589852 DEI589852 DOE589852 DYA589852 EHW589852 ERS589852 FBO589852 FLK589852 FVG589852 GFC589852 GOY589852 GYU589852 HIQ589852 HSM589852 ICI589852 IME589852 IWA589852 JFW589852 JPS589852 JZO589852 KJK589852 KTG589852 LDC589852 LMY589852 LWU589852 MGQ589852 MQM589852 NAI589852 NKE589852 NUA589852 ODW589852 ONS589852 OXO589852 PHK589852 PRG589852 QBC589852 QKY589852 QUU589852 REQ589852 ROM589852 RYI589852 SIE589852 SSA589852 TBW589852 TLS589852 TVO589852 UFK589852 UPG589852 UZC589852 VIY589852 VSU589852 WCQ589852 WMM589852 WWI589852 AA655388 JW655388 TS655388 ADO655388 ANK655388 AXG655388 BHC655388 BQY655388 CAU655388 CKQ655388 CUM655388 DEI655388 DOE655388 DYA655388 EHW655388 ERS655388 FBO655388 FLK655388 FVG655388 GFC655388 GOY655388 GYU655388 HIQ655388 HSM655388 ICI655388 IME655388 IWA655388 JFW655388 JPS655388 JZO655388 KJK655388 KTG655388 LDC655388 LMY655388 LWU655388 MGQ655388 MQM655388 NAI655388 NKE655388 NUA655388 ODW655388 ONS655388 OXO655388 PHK655388 PRG655388 QBC655388 QKY655388 QUU655388 REQ655388 ROM655388 RYI655388 SIE655388 SSA655388 TBW655388 TLS655388 TVO655388 UFK655388 UPG655388 UZC655388 VIY655388 VSU655388 WCQ655388 WMM655388 WWI655388 AA720924 JW720924 TS720924 ADO720924 ANK720924 AXG720924 BHC720924 BQY720924 CAU720924 CKQ720924 CUM720924 DEI720924 DOE720924 DYA720924 EHW720924 ERS720924 FBO720924 FLK720924 FVG720924 GFC720924 GOY720924 GYU720924 HIQ720924 HSM720924 ICI720924 IME720924 IWA720924 JFW720924 JPS720924 JZO720924 KJK720924 KTG720924 LDC720924 LMY720924 LWU720924 MGQ720924 MQM720924 NAI720924 NKE720924 NUA720924 ODW720924 ONS720924 OXO720924 PHK720924 PRG720924 QBC720924 QKY720924 QUU720924 REQ720924 ROM720924 RYI720924 SIE720924 SSA720924 TBW720924 TLS720924 TVO720924 UFK720924 UPG720924 UZC720924 VIY720924 VSU720924 WCQ720924 WMM720924 WWI720924 AA786460 JW786460 TS786460 ADO786460 ANK786460 AXG786460 BHC786460 BQY786460 CAU786460 CKQ786460 CUM786460 DEI786460 DOE786460 DYA786460 EHW786460 ERS786460 FBO786460 FLK786460 FVG786460 GFC786460 GOY786460 GYU786460 HIQ786460 HSM786460 ICI786460 IME786460 IWA786460 JFW786460 JPS786460 JZO786460 KJK786460 KTG786460 LDC786460 LMY786460 LWU786460 MGQ786460 MQM786460 NAI786460 NKE786460 NUA786460 ODW786460 ONS786460 OXO786460 PHK786460 PRG786460 QBC786460 QKY786460 QUU786460 REQ786460 ROM786460 RYI786460 SIE786460 SSA786460 TBW786460 TLS786460 TVO786460 UFK786460 UPG786460 UZC786460 VIY786460 VSU786460 WCQ786460 WMM786460 WWI786460 AA851996 JW851996 TS851996 ADO851996 ANK851996 AXG851996 BHC851996 BQY851996 CAU851996 CKQ851996 CUM851996 DEI851996 DOE851996 DYA851996 EHW851996 ERS851996 FBO851996 FLK851996 FVG851996 GFC851996 GOY851996 GYU851996 HIQ851996 HSM851996 ICI851996 IME851996 IWA851996 JFW851996 JPS851996 JZO851996 KJK851996 KTG851996 LDC851996 LMY851996 LWU851996 MGQ851996 MQM851996 NAI851996 NKE851996 NUA851996 ODW851996 ONS851996 OXO851996 PHK851996 PRG851996 QBC851996 QKY851996 QUU851996 REQ851996 ROM851996 RYI851996 SIE851996 SSA851996 TBW851996 TLS851996 TVO851996 UFK851996 UPG851996 UZC851996 VIY851996 VSU851996 WCQ851996 WMM851996 WWI851996 AA917532 JW917532 TS917532 ADO917532 ANK917532 AXG917532 BHC917532 BQY917532 CAU917532 CKQ917532 CUM917532 DEI917532 DOE917532 DYA917532 EHW917532 ERS917532 FBO917532 FLK917532 FVG917532 GFC917532 GOY917532 GYU917532 HIQ917532 HSM917532 ICI917532 IME917532 IWA917532 JFW917532 JPS917532 JZO917532 KJK917532 KTG917532 LDC917532 LMY917532 LWU917532 MGQ917532 MQM917532 NAI917532 NKE917532 NUA917532 ODW917532 ONS917532 OXO917532 PHK917532 PRG917532 QBC917532 QKY917532 QUU917532 REQ917532 ROM917532 RYI917532 SIE917532 SSA917532 TBW917532 TLS917532 TVO917532 UFK917532 UPG917532 UZC917532 VIY917532 VSU917532 WCQ917532 WMM917532 WWI917532 AA983068 JW983068 TS983068 ADO983068 ANK983068 AXG983068 BHC983068 BQY983068 CAU983068 CKQ983068 CUM983068 DEI983068 DOE983068 DYA983068 EHW983068 ERS983068 FBO983068 FLK983068 FVG983068 GFC983068 GOY983068 GYU983068 HIQ983068 HSM983068 ICI983068 IME983068 IWA983068 JFW983068 JPS983068 JZO983068 KJK983068 KTG983068 LDC983068 LMY983068 LWU983068 MGQ983068 MQM983068 NAI983068 NKE983068 NUA983068 ODW983068 ONS983068 OXO983068 PHK983068 PRG983068 QBC983068 QKY983068 QUU983068 REQ983068 ROM983068 RYI983068 SIE983068 SSA983068 TBW983068 TLS983068 TVO983068 UFK983068 UPG983068 UZC983068 VIY983068 VSU983068 WCQ983068 WMM983068 WWI983068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AC33 JY33 TU33 ADQ33 ANM33 AXI33 BHE33 BRA33 CAW33 CKS33 CUO33 DEK33 DOG33 DYC33 EHY33 ERU33 FBQ33 FLM33 FVI33 GFE33 GPA33 GYW33 HIS33 HSO33 ICK33 IMG33 IWC33 JFY33 JPU33 JZQ33 KJM33 KTI33 LDE33 LNA33 LWW33 MGS33 MQO33 NAK33 NKG33 NUC33 ODY33 ONU33 OXQ33 PHM33 PRI33 QBE33 QLA33 QUW33 RES33 ROO33 RYK33 SIG33 SSC33 TBY33 TLU33 TVQ33 UFM33 UPI33 UZE33 VJA33 VSW33 WCS33 WMO33 WWK33 AC65569 JY65569 TU65569 ADQ65569 ANM65569 AXI65569 BHE65569 BRA65569 CAW65569 CKS65569 CUO65569 DEK65569 DOG65569 DYC65569 EHY65569 ERU65569 FBQ65569 FLM65569 FVI65569 GFE65569 GPA65569 GYW65569 HIS65569 HSO65569 ICK65569 IMG65569 IWC65569 JFY65569 JPU65569 JZQ65569 KJM65569 KTI65569 LDE65569 LNA65569 LWW65569 MGS65569 MQO65569 NAK65569 NKG65569 NUC65569 ODY65569 ONU65569 OXQ65569 PHM65569 PRI65569 QBE65569 QLA65569 QUW65569 RES65569 ROO65569 RYK65569 SIG65569 SSC65569 TBY65569 TLU65569 TVQ65569 UFM65569 UPI65569 UZE65569 VJA65569 VSW65569 WCS65569 WMO65569 WWK65569 AC131105 JY131105 TU131105 ADQ131105 ANM131105 AXI131105 BHE131105 BRA131105 CAW131105 CKS131105 CUO131105 DEK131105 DOG131105 DYC131105 EHY131105 ERU131105 FBQ131105 FLM131105 FVI131105 GFE131105 GPA131105 GYW131105 HIS131105 HSO131105 ICK131105 IMG131105 IWC131105 JFY131105 JPU131105 JZQ131105 KJM131105 KTI131105 LDE131105 LNA131105 LWW131105 MGS131105 MQO131105 NAK131105 NKG131105 NUC131105 ODY131105 ONU131105 OXQ131105 PHM131105 PRI131105 QBE131105 QLA131105 QUW131105 RES131105 ROO131105 RYK131105 SIG131105 SSC131105 TBY131105 TLU131105 TVQ131105 UFM131105 UPI131105 UZE131105 VJA131105 VSW131105 WCS131105 WMO131105 WWK131105 AC196641 JY196641 TU196641 ADQ196641 ANM196641 AXI196641 BHE196641 BRA196641 CAW196641 CKS196641 CUO196641 DEK196641 DOG196641 DYC196641 EHY196641 ERU196641 FBQ196641 FLM196641 FVI196641 GFE196641 GPA196641 GYW196641 HIS196641 HSO196641 ICK196641 IMG196641 IWC196641 JFY196641 JPU196641 JZQ196641 KJM196641 KTI196641 LDE196641 LNA196641 LWW196641 MGS196641 MQO196641 NAK196641 NKG196641 NUC196641 ODY196641 ONU196641 OXQ196641 PHM196641 PRI196641 QBE196641 QLA196641 QUW196641 RES196641 ROO196641 RYK196641 SIG196641 SSC196641 TBY196641 TLU196641 TVQ196641 UFM196641 UPI196641 UZE196641 VJA196641 VSW196641 WCS196641 WMO196641 WWK196641 AC262177 JY262177 TU262177 ADQ262177 ANM262177 AXI262177 BHE262177 BRA262177 CAW262177 CKS262177 CUO262177 DEK262177 DOG262177 DYC262177 EHY262177 ERU262177 FBQ262177 FLM262177 FVI262177 GFE262177 GPA262177 GYW262177 HIS262177 HSO262177 ICK262177 IMG262177 IWC262177 JFY262177 JPU262177 JZQ262177 KJM262177 KTI262177 LDE262177 LNA262177 LWW262177 MGS262177 MQO262177 NAK262177 NKG262177 NUC262177 ODY262177 ONU262177 OXQ262177 PHM262177 PRI262177 QBE262177 QLA262177 QUW262177 RES262177 ROO262177 RYK262177 SIG262177 SSC262177 TBY262177 TLU262177 TVQ262177 UFM262177 UPI262177 UZE262177 VJA262177 VSW262177 WCS262177 WMO262177 WWK262177 AC327713 JY327713 TU327713 ADQ327713 ANM327713 AXI327713 BHE327713 BRA327713 CAW327713 CKS327713 CUO327713 DEK327713 DOG327713 DYC327713 EHY327713 ERU327713 FBQ327713 FLM327713 FVI327713 GFE327713 GPA327713 GYW327713 HIS327713 HSO327713 ICK327713 IMG327713 IWC327713 JFY327713 JPU327713 JZQ327713 KJM327713 KTI327713 LDE327713 LNA327713 LWW327713 MGS327713 MQO327713 NAK327713 NKG327713 NUC327713 ODY327713 ONU327713 OXQ327713 PHM327713 PRI327713 QBE327713 QLA327713 QUW327713 RES327713 ROO327713 RYK327713 SIG327713 SSC327713 TBY327713 TLU327713 TVQ327713 UFM327713 UPI327713 UZE327713 VJA327713 VSW327713 WCS327713 WMO327713 WWK327713 AC393249 JY393249 TU393249 ADQ393249 ANM393249 AXI393249 BHE393249 BRA393249 CAW393249 CKS393249 CUO393249 DEK393249 DOG393249 DYC393249 EHY393249 ERU393249 FBQ393249 FLM393249 FVI393249 GFE393249 GPA393249 GYW393249 HIS393249 HSO393249 ICK393249 IMG393249 IWC393249 JFY393249 JPU393249 JZQ393249 KJM393249 KTI393249 LDE393249 LNA393249 LWW393249 MGS393249 MQO393249 NAK393249 NKG393249 NUC393249 ODY393249 ONU393249 OXQ393249 PHM393249 PRI393249 QBE393249 QLA393249 QUW393249 RES393249 ROO393249 RYK393249 SIG393249 SSC393249 TBY393249 TLU393249 TVQ393249 UFM393249 UPI393249 UZE393249 VJA393249 VSW393249 WCS393249 WMO393249 WWK393249 AC458785 JY458785 TU458785 ADQ458785 ANM458785 AXI458785 BHE458785 BRA458785 CAW458785 CKS458785 CUO458785 DEK458785 DOG458785 DYC458785 EHY458785 ERU458785 FBQ458785 FLM458785 FVI458785 GFE458785 GPA458785 GYW458785 HIS458785 HSO458785 ICK458785 IMG458785 IWC458785 JFY458785 JPU458785 JZQ458785 KJM458785 KTI458785 LDE458785 LNA458785 LWW458785 MGS458785 MQO458785 NAK458785 NKG458785 NUC458785 ODY458785 ONU458785 OXQ458785 PHM458785 PRI458785 QBE458785 QLA458785 QUW458785 RES458785 ROO458785 RYK458785 SIG458785 SSC458785 TBY458785 TLU458785 TVQ458785 UFM458785 UPI458785 UZE458785 VJA458785 VSW458785 WCS458785 WMO458785 WWK458785 AC524321 JY524321 TU524321 ADQ524321 ANM524321 AXI524321 BHE524321 BRA524321 CAW524321 CKS524321 CUO524321 DEK524321 DOG524321 DYC524321 EHY524321 ERU524321 FBQ524321 FLM524321 FVI524321 GFE524321 GPA524321 GYW524321 HIS524321 HSO524321 ICK524321 IMG524321 IWC524321 JFY524321 JPU524321 JZQ524321 KJM524321 KTI524321 LDE524321 LNA524321 LWW524321 MGS524321 MQO524321 NAK524321 NKG524321 NUC524321 ODY524321 ONU524321 OXQ524321 PHM524321 PRI524321 QBE524321 QLA524321 QUW524321 RES524321 ROO524321 RYK524321 SIG524321 SSC524321 TBY524321 TLU524321 TVQ524321 UFM524321 UPI524321 UZE524321 VJA524321 VSW524321 WCS524321 WMO524321 WWK524321 AC589857 JY589857 TU589857 ADQ589857 ANM589857 AXI589857 BHE589857 BRA589857 CAW589857 CKS589857 CUO589857 DEK589857 DOG589857 DYC589857 EHY589857 ERU589857 FBQ589857 FLM589857 FVI589857 GFE589857 GPA589857 GYW589857 HIS589857 HSO589857 ICK589857 IMG589857 IWC589857 JFY589857 JPU589857 JZQ589857 KJM589857 KTI589857 LDE589857 LNA589857 LWW589857 MGS589857 MQO589857 NAK589857 NKG589857 NUC589857 ODY589857 ONU589857 OXQ589857 PHM589857 PRI589857 QBE589857 QLA589857 QUW589857 RES589857 ROO589857 RYK589857 SIG589857 SSC589857 TBY589857 TLU589857 TVQ589857 UFM589857 UPI589857 UZE589857 VJA589857 VSW589857 WCS589857 WMO589857 WWK589857 AC655393 JY655393 TU655393 ADQ655393 ANM655393 AXI655393 BHE655393 BRA655393 CAW655393 CKS655393 CUO655393 DEK655393 DOG655393 DYC655393 EHY655393 ERU655393 FBQ655393 FLM655393 FVI655393 GFE655393 GPA655393 GYW655393 HIS655393 HSO655393 ICK655393 IMG655393 IWC655393 JFY655393 JPU655393 JZQ655393 KJM655393 KTI655393 LDE655393 LNA655393 LWW655393 MGS655393 MQO655393 NAK655393 NKG655393 NUC655393 ODY655393 ONU655393 OXQ655393 PHM655393 PRI655393 QBE655393 QLA655393 QUW655393 RES655393 ROO655393 RYK655393 SIG655393 SSC655393 TBY655393 TLU655393 TVQ655393 UFM655393 UPI655393 UZE655393 VJA655393 VSW655393 WCS655393 WMO655393 WWK655393 AC720929 JY720929 TU720929 ADQ720929 ANM720929 AXI720929 BHE720929 BRA720929 CAW720929 CKS720929 CUO720929 DEK720929 DOG720929 DYC720929 EHY720929 ERU720929 FBQ720929 FLM720929 FVI720929 GFE720929 GPA720929 GYW720929 HIS720929 HSO720929 ICK720929 IMG720929 IWC720929 JFY720929 JPU720929 JZQ720929 KJM720929 KTI720929 LDE720929 LNA720929 LWW720929 MGS720929 MQO720929 NAK720929 NKG720929 NUC720929 ODY720929 ONU720929 OXQ720929 PHM720929 PRI720929 QBE720929 QLA720929 QUW720929 RES720929 ROO720929 RYK720929 SIG720929 SSC720929 TBY720929 TLU720929 TVQ720929 UFM720929 UPI720929 UZE720929 VJA720929 VSW720929 WCS720929 WMO720929 WWK720929 AC786465 JY786465 TU786465 ADQ786465 ANM786465 AXI786465 BHE786465 BRA786465 CAW786465 CKS786465 CUO786465 DEK786465 DOG786465 DYC786465 EHY786465 ERU786465 FBQ786465 FLM786465 FVI786465 GFE786465 GPA786465 GYW786465 HIS786465 HSO786465 ICK786465 IMG786465 IWC786465 JFY786465 JPU786465 JZQ786465 KJM786465 KTI786465 LDE786465 LNA786465 LWW786465 MGS786465 MQO786465 NAK786465 NKG786465 NUC786465 ODY786465 ONU786465 OXQ786465 PHM786465 PRI786465 QBE786465 QLA786465 QUW786465 RES786465 ROO786465 RYK786465 SIG786465 SSC786465 TBY786465 TLU786465 TVQ786465 UFM786465 UPI786465 UZE786465 VJA786465 VSW786465 WCS786465 WMO786465 WWK786465 AC852001 JY852001 TU852001 ADQ852001 ANM852001 AXI852001 BHE852001 BRA852001 CAW852001 CKS852001 CUO852001 DEK852001 DOG852001 DYC852001 EHY852001 ERU852001 FBQ852001 FLM852001 FVI852001 GFE852001 GPA852001 GYW852001 HIS852001 HSO852001 ICK852001 IMG852001 IWC852001 JFY852001 JPU852001 JZQ852001 KJM852001 KTI852001 LDE852001 LNA852001 LWW852001 MGS852001 MQO852001 NAK852001 NKG852001 NUC852001 ODY852001 ONU852001 OXQ852001 PHM852001 PRI852001 QBE852001 QLA852001 QUW852001 RES852001 ROO852001 RYK852001 SIG852001 SSC852001 TBY852001 TLU852001 TVQ852001 UFM852001 UPI852001 UZE852001 VJA852001 VSW852001 WCS852001 WMO852001 WWK852001 AC917537 JY917537 TU917537 ADQ917537 ANM917537 AXI917537 BHE917537 BRA917537 CAW917537 CKS917537 CUO917537 DEK917537 DOG917537 DYC917537 EHY917537 ERU917537 FBQ917537 FLM917537 FVI917537 GFE917537 GPA917537 GYW917537 HIS917537 HSO917537 ICK917537 IMG917537 IWC917537 JFY917537 JPU917537 JZQ917537 KJM917537 KTI917537 LDE917537 LNA917537 LWW917537 MGS917537 MQO917537 NAK917537 NKG917537 NUC917537 ODY917537 ONU917537 OXQ917537 PHM917537 PRI917537 QBE917537 QLA917537 QUW917537 RES917537 ROO917537 RYK917537 SIG917537 SSC917537 TBY917537 TLU917537 TVQ917537 UFM917537 UPI917537 UZE917537 VJA917537 VSW917537 WCS917537 WMO917537 WWK917537 AC983073 JY983073 TU983073 ADQ983073 ANM983073 AXI983073 BHE983073 BRA983073 CAW983073 CKS983073 CUO983073 DEK983073 DOG983073 DYC983073 EHY983073 ERU983073 FBQ983073 FLM983073 FVI983073 GFE983073 GPA983073 GYW983073 HIS983073 HSO983073 ICK983073 IMG983073 IWC983073 JFY983073 JPU983073 JZQ983073 KJM983073 KTI983073 LDE983073 LNA983073 LWW983073 MGS983073 MQO983073 NAK983073 NKG983073 NUC983073 ODY983073 ONU983073 OXQ983073 PHM983073 PRI983073 QBE983073 QLA983073 QUW983073 RES983073 ROO983073 RYK983073 SIG983073 SSC983073 TBY983073 TLU983073 TVQ983073 UFM983073 UPI983073 UZE983073 VJA983073 VSW983073 WCS983073 WMO983073 WWK983073 AA38 JW38 TS38 ADO38 ANK38 AXG38 BHC38 BQY38 CAU38 CKQ38 CUM38 DEI38 DOE38 DYA38 EHW38 ERS38 FBO38 FLK38 FVG38 GFC38 GOY38 GYU38 HIQ38 HSM38 ICI38 IME38 IWA38 JFW38 JPS38 JZO38 KJK38 KTG38 LDC38 LMY38 LWU38 MGQ38 MQM38 NAI38 NKE38 NUA38 ODW38 ONS38 OXO38 PHK38 PRG38 QBC38 QKY38 QUU38 REQ38 ROM38 RYI38 SIE38 SSA38 TBW38 TLS38 TVO38 UFK38 UPG38 UZC38 VIY38 VSU38 WCQ38 WMM38 WWI38 AA65574 JW65574 TS65574 ADO65574 ANK65574 AXG65574 BHC65574 BQY65574 CAU65574 CKQ65574 CUM65574 DEI65574 DOE65574 DYA65574 EHW65574 ERS65574 FBO65574 FLK65574 FVG65574 GFC65574 GOY65574 GYU65574 HIQ65574 HSM65574 ICI65574 IME65574 IWA65574 JFW65574 JPS65574 JZO65574 KJK65574 KTG65574 LDC65574 LMY65574 LWU65574 MGQ65574 MQM65574 NAI65574 NKE65574 NUA65574 ODW65574 ONS65574 OXO65574 PHK65574 PRG65574 QBC65574 QKY65574 QUU65574 REQ65574 ROM65574 RYI65574 SIE65574 SSA65574 TBW65574 TLS65574 TVO65574 UFK65574 UPG65574 UZC65574 VIY65574 VSU65574 WCQ65574 WMM65574 WWI65574 AA131110 JW131110 TS131110 ADO131110 ANK131110 AXG131110 BHC131110 BQY131110 CAU131110 CKQ131110 CUM131110 DEI131110 DOE131110 DYA131110 EHW131110 ERS131110 FBO131110 FLK131110 FVG131110 GFC131110 GOY131110 GYU131110 HIQ131110 HSM131110 ICI131110 IME131110 IWA131110 JFW131110 JPS131110 JZO131110 KJK131110 KTG131110 LDC131110 LMY131110 LWU131110 MGQ131110 MQM131110 NAI131110 NKE131110 NUA131110 ODW131110 ONS131110 OXO131110 PHK131110 PRG131110 QBC131110 QKY131110 QUU131110 REQ131110 ROM131110 RYI131110 SIE131110 SSA131110 TBW131110 TLS131110 TVO131110 UFK131110 UPG131110 UZC131110 VIY131110 VSU131110 WCQ131110 WMM131110 WWI131110 AA196646 JW196646 TS196646 ADO196646 ANK196646 AXG196646 BHC196646 BQY196646 CAU196646 CKQ196646 CUM196646 DEI196646 DOE196646 DYA196646 EHW196646 ERS196646 FBO196646 FLK196646 FVG196646 GFC196646 GOY196646 GYU196646 HIQ196646 HSM196646 ICI196646 IME196646 IWA196646 JFW196646 JPS196646 JZO196646 KJK196646 KTG196646 LDC196646 LMY196646 LWU196646 MGQ196646 MQM196646 NAI196646 NKE196646 NUA196646 ODW196646 ONS196646 OXO196646 PHK196646 PRG196646 QBC196646 QKY196646 QUU196646 REQ196646 ROM196646 RYI196646 SIE196646 SSA196646 TBW196646 TLS196646 TVO196646 UFK196646 UPG196646 UZC196646 VIY196646 VSU196646 WCQ196646 WMM196646 WWI196646 AA262182 JW262182 TS262182 ADO262182 ANK262182 AXG262182 BHC262182 BQY262182 CAU262182 CKQ262182 CUM262182 DEI262182 DOE262182 DYA262182 EHW262182 ERS262182 FBO262182 FLK262182 FVG262182 GFC262182 GOY262182 GYU262182 HIQ262182 HSM262182 ICI262182 IME262182 IWA262182 JFW262182 JPS262182 JZO262182 KJK262182 KTG262182 LDC262182 LMY262182 LWU262182 MGQ262182 MQM262182 NAI262182 NKE262182 NUA262182 ODW262182 ONS262182 OXO262182 PHK262182 PRG262182 QBC262182 QKY262182 QUU262182 REQ262182 ROM262182 RYI262182 SIE262182 SSA262182 TBW262182 TLS262182 TVO262182 UFK262182 UPG262182 UZC262182 VIY262182 VSU262182 WCQ262182 WMM262182 WWI262182 AA327718 JW327718 TS327718 ADO327718 ANK327718 AXG327718 BHC327718 BQY327718 CAU327718 CKQ327718 CUM327718 DEI327718 DOE327718 DYA327718 EHW327718 ERS327718 FBO327718 FLK327718 FVG327718 GFC327718 GOY327718 GYU327718 HIQ327718 HSM327718 ICI327718 IME327718 IWA327718 JFW327718 JPS327718 JZO327718 KJK327718 KTG327718 LDC327718 LMY327718 LWU327718 MGQ327718 MQM327718 NAI327718 NKE327718 NUA327718 ODW327718 ONS327718 OXO327718 PHK327718 PRG327718 QBC327718 QKY327718 QUU327718 REQ327718 ROM327718 RYI327718 SIE327718 SSA327718 TBW327718 TLS327718 TVO327718 UFK327718 UPG327718 UZC327718 VIY327718 VSU327718 WCQ327718 WMM327718 WWI327718 AA393254 JW393254 TS393254 ADO393254 ANK393254 AXG393254 BHC393254 BQY393254 CAU393254 CKQ393254 CUM393254 DEI393254 DOE393254 DYA393254 EHW393254 ERS393254 FBO393254 FLK393254 FVG393254 GFC393254 GOY393254 GYU393254 HIQ393254 HSM393254 ICI393254 IME393254 IWA393254 JFW393254 JPS393254 JZO393254 KJK393254 KTG393254 LDC393254 LMY393254 LWU393254 MGQ393254 MQM393254 NAI393254 NKE393254 NUA393254 ODW393254 ONS393254 OXO393254 PHK393254 PRG393254 QBC393254 QKY393254 QUU393254 REQ393254 ROM393254 RYI393254 SIE393254 SSA393254 TBW393254 TLS393254 TVO393254 UFK393254 UPG393254 UZC393254 VIY393254 VSU393254 WCQ393254 WMM393254 WWI393254 AA458790 JW458790 TS458790 ADO458790 ANK458790 AXG458790 BHC458790 BQY458790 CAU458790 CKQ458790 CUM458790 DEI458790 DOE458790 DYA458790 EHW458790 ERS458790 FBO458790 FLK458790 FVG458790 GFC458790 GOY458790 GYU458790 HIQ458790 HSM458790 ICI458790 IME458790 IWA458790 JFW458790 JPS458790 JZO458790 KJK458790 KTG458790 LDC458790 LMY458790 LWU458790 MGQ458790 MQM458790 NAI458790 NKE458790 NUA458790 ODW458790 ONS458790 OXO458790 PHK458790 PRG458790 QBC458790 QKY458790 QUU458790 REQ458790 ROM458790 RYI458790 SIE458790 SSA458790 TBW458790 TLS458790 TVO458790 UFK458790 UPG458790 UZC458790 VIY458790 VSU458790 WCQ458790 WMM458790 WWI458790 AA524326 JW524326 TS524326 ADO524326 ANK524326 AXG524326 BHC524326 BQY524326 CAU524326 CKQ524326 CUM524326 DEI524326 DOE524326 DYA524326 EHW524326 ERS524326 FBO524326 FLK524326 FVG524326 GFC524326 GOY524326 GYU524326 HIQ524326 HSM524326 ICI524326 IME524326 IWA524326 JFW524326 JPS524326 JZO524326 KJK524326 KTG524326 LDC524326 LMY524326 LWU524326 MGQ524326 MQM524326 NAI524326 NKE524326 NUA524326 ODW524326 ONS524326 OXO524326 PHK524326 PRG524326 QBC524326 QKY524326 QUU524326 REQ524326 ROM524326 RYI524326 SIE524326 SSA524326 TBW524326 TLS524326 TVO524326 UFK524326 UPG524326 UZC524326 VIY524326 VSU524326 WCQ524326 WMM524326 WWI524326 AA589862 JW589862 TS589862 ADO589862 ANK589862 AXG589862 BHC589862 BQY589862 CAU589862 CKQ589862 CUM589862 DEI589862 DOE589862 DYA589862 EHW589862 ERS589862 FBO589862 FLK589862 FVG589862 GFC589862 GOY589862 GYU589862 HIQ589862 HSM589862 ICI589862 IME589862 IWA589862 JFW589862 JPS589862 JZO589862 KJK589862 KTG589862 LDC589862 LMY589862 LWU589862 MGQ589862 MQM589862 NAI589862 NKE589862 NUA589862 ODW589862 ONS589862 OXO589862 PHK589862 PRG589862 QBC589862 QKY589862 QUU589862 REQ589862 ROM589862 RYI589862 SIE589862 SSA589862 TBW589862 TLS589862 TVO589862 UFK589862 UPG589862 UZC589862 VIY589862 VSU589862 WCQ589862 WMM589862 WWI589862 AA655398 JW655398 TS655398 ADO655398 ANK655398 AXG655398 BHC655398 BQY655398 CAU655398 CKQ655398 CUM655398 DEI655398 DOE655398 DYA655398 EHW655398 ERS655398 FBO655398 FLK655398 FVG655398 GFC655398 GOY655398 GYU655398 HIQ655398 HSM655398 ICI655398 IME655398 IWA655398 JFW655398 JPS655398 JZO655398 KJK655398 KTG655398 LDC655398 LMY655398 LWU655398 MGQ655398 MQM655398 NAI655398 NKE655398 NUA655398 ODW655398 ONS655398 OXO655398 PHK655398 PRG655398 QBC655398 QKY655398 QUU655398 REQ655398 ROM655398 RYI655398 SIE655398 SSA655398 TBW655398 TLS655398 TVO655398 UFK655398 UPG655398 UZC655398 VIY655398 VSU655398 WCQ655398 WMM655398 WWI655398 AA720934 JW720934 TS720934 ADO720934 ANK720934 AXG720934 BHC720934 BQY720934 CAU720934 CKQ720934 CUM720934 DEI720934 DOE720934 DYA720934 EHW720934 ERS720934 FBO720934 FLK720934 FVG720934 GFC720934 GOY720934 GYU720934 HIQ720934 HSM720934 ICI720934 IME720934 IWA720934 JFW720934 JPS720934 JZO720934 KJK720934 KTG720934 LDC720934 LMY720934 LWU720934 MGQ720934 MQM720934 NAI720934 NKE720934 NUA720934 ODW720934 ONS720934 OXO720934 PHK720934 PRG720934 QBC720934 QKY720934 QUU720934 REQ720934 ROM720934 RYI720934 SIE720934 SSA720934 TBW720934 TLS720934 TVO720934 UFK720934 UPG720934 UZC720934 VIY720934 VSU720934 WCQ720934 WMM720934 WWI720934 AA786470 JW786470 TS786470 ADO786470 ANK786470 AXG786470 BHC786470 BQY786470 CAU786470 CKQ786470 CUM786470 DEI786470 DOE786470 DYA786470 EHW786470 ERS786470 FBO786470 FLK786470 FVG786470 GFC786470 GOY786470 GYU786470 HIQ786470 HSM786470 ICI786470 IME786470 IWA786470 JFW786470 JPS786470 JZO786470 KJK786470 KTG786470 LDC786470 LMY786470 LWU786470 MGQ786470 MQM786470 NAI786470 NKE786470 NUA786470 ODW786470 ONS786470 OXO786470 PHK786470 PRG786470 QBC786470 QKY786470 QUU786470 REQ786470 ROM786470 RYI786470 SIE786470 SSA786470 TBW786470 TLS786470 TVO786470 UFK786470 UPG786470 UZC786470 VIY786470 VSU786470 WCQ786470 WMM786470 WWI786470 AA852006 JW852006 TS852006 ADO852006 ANK852006 AXG852006 BHC852006 BQY852006 CAU852006 CKQ852006 CUM852006 DEI852006 DOE852006 DYA852006 EHW852006 ERS852006 FBO852006 FLK852006 FVG852006 GFC852006 GOY852006 GYU852006 HIQ852006 HSM852006 ICI852006 IME852006 IWA852006 JFW852006 JPS852006 JZO852006 KJK852006 KTG852006 LDC852006 LMY852006 LWU852006 MGQ852006 MQM852006 NAI852006 NKE852006 NUA852006 ODW852006 ONS852006 OXO852006 PHK852006 PRG852006 QBC852006 QKY852006 QUU852006 REQ852006 ROM852006 RYI852006 SIE852006 SSA852006 TBW852006 TLS852006 TVO852006 UFK852006 UPG852006 UZC852006 VIY852006 VSU852006 WCQ852006 WMM852006 WWI852006 AA917542 JW917542 TS917542 ADO917542 ANK917542 AXG917542 BHC917542 BQY917542 CAU917542 CKQ917542 CUM917542 DEI917542 DOE917542 DYA917542 EHW917542 ERS917542 FBO917542 FLK917542 FVG917542 GFC917542 GOY917542 GYU917542 HIQ917542 HSM917542 ICI917542 IME917542 IWA917542 JFW917542 JPS917542 JZO917542 KJK917542 KTG917542 LDC917542 LMY917542 LWU917542 MGQ917542 MQM917542 NAI917542 NKE917542 NUA917542 ODW917542 ONS917542 OXO917542 PHK917542 PRG917542 QBC917542 QKY917542 QUU917542 REQ917542 ROM917542 RYI917542 SIE917542 SSA917542 TBW917542 TLS917542 TVO917542 UFK917542 UPG917542 UZC917542 VIY917542 VSU917542 WCQ917542 WMM917542 WWI917542 AA983078 JW983078 TS983078 ADO983078 ANK983078 AXG983078 BHC983078 BQY983078 CAU983078 CKQ983078 CUM983078 DEI983078 DOE983078 DYA983078 EHW983078 ERS983078 FBO983078 FLK983078 FVG983078 GFC983078 GOY983078 GYU983078 HIQ983078 HSM983078 ICI983078 IME983078 IWA983078 JFW983078 JPS983078 JZO983078 KJK983078 KTG983078 LDC983078 LMY983078 LWU983078 MGQ983078 MQM983078 NAI983078 NKE983078 NUA983078 ODW983078 ONS983078 OXO983078 PHK983078 PRG983078 QBC983078 QKY983078 QUU983078 REQ983078 ROM983078 RYI983078 SIE983078 SSA983078 TBW983078 TLS983078 TVO983078 UFK983078 UPG983078 UZC983078 VIY983078 VSU983078 WCQ983078 WMM983078 WWI983078 AC38 JY38 TU38 ADQ38 ANM38 AXI38 BHE38 BRA38 CAW38 CKS38 CUO38 DEK38 DOG38 DYC38 EHY38 ERU38 FBQ38 FLM38 FVI38 GFE38 GPA38 GYW38 HIS38 HSO38 ICK38 IMG38 IWC38 JFY38 JPU38 JZQ38 KJM38 KTI38 LDE38 LNA38 LWW38 MGS38 MQO38 NAK38 NKG38 NUC38 ODY38 ONU38 OXQ38 PHM38 PRI38 QBE38 QLA38 QUW38 RES38 ROO38 RYK38 SIG38 SSC38 TBY38 TLU38 TVQ38 UFM38 UPI38 UZE38 VJA38 VSW38 WCS38 WMO38 WWK38 AC65574 JY65574 TU65574 ADQ65574 ANM65574 AXI65574 BHE65574 BRA65574 CAW65574 CKS65574 CUO65574 DEK65574 DOG65574 DYC65574 EHY65574 ERU65574 FBQ65574 FLM65574 FVI65574 GFE65574 GPA65574 GYW65574 HIS65574 HSO65574 ICK65574 IMG65574 IWC65574 JFY65574 JPU65574 JZQ65574 KJM65574 KTI65574 LDE65574 LNA65574 LWW65574 MGS65574 MQO65574 NAK65574 NKG65574 NUC65574 ODY65574 ONU65574 OXQ65574 PHM65574 PRI65574 QBE65574 QLA65574 QUW65574 RES65574 ROO65574 RYK65574 SIG65574 SSC65574 TBY65574 TLU65574 TVQ65574 UFM65574 UPI65574 UZE65574 VJA65574 VSW65574 WCS65574 WMO65574 WWK65574 AC131110 JY131110 TU131110 ADQ131110 ANM131110 AXI131110 BHE131110 BRA131110 CAW131110 CKS131110 CUO131110 DEK131110 DOG131110 DYC131110 EHY131110 ERU131110 FBQ131110 FLM131110 FVI131110 GFE131110 GPA131110 GYW131110 HIS131110 HSO131110 ICK131110 IMG131110 IWC131110 JFY131110 JPU131110 JZQ131110 KJM131110 KTI131110 LDE131110 LNA131110 LWW131110 MGS131110 MQO131110 NAK131110 NKG131110 NUC131110 ODY131110 ONU131110 OXQ131110 PHM131110 PRI131110 QBE131110 QLA131110 QUW131110 RES131110 ROO131110 RYK131110 SIG131110 SSC131110 TBY131110 TLU131110 TVQ131110 UFM131110 UPI131110 UZE131110 VJA131110 VSW131110 WCS131110 WMO131110 WWK131110 AC196646 JY196646 TU196646 ADQ196646 ANM196646 AXI196646 BHE196646 BRA196646 CAW196646 CKS196646 CUO196646 DEK196646 DOG196646 DYC196646 EHY196646 ERU196646 FBQ196646 FLM196646 FVI196646 GFE196646 GPA196646 GYW196646 HIS196646 HSO196646 ICK196646 IMG196646 IWC196646 JFY196646 JPU196646 JZQ196646 KJM196646 KTI196646 LDE196646 LNA196646 LWW196646 MGS196646 MQO196646 NAK196646 NKG196646 NUC196646 ODY196646 ONU196646 OXQ196646 PHM196646 PRI196646 QBE196646 QLA196646 QUW196646 RES196646 ROO196646 RYK196646 SIG196646 SSC196646 TBY196646 TLU196646 TVQ196646 UFM196646 UPI196646 UZE196646 VJA196646 VSW196646 WCS196646 WMO196646 WWK196646 AC262182 JY262182 TU262182 ADQ262182 ANM262182 AXI262182 BHE262182 BRA262182 CAW262182 CKS262182 CUO262182 DEK262182 DOG262182 DYC262182 EHY262182 ERU262182 FBQ262182 FLM262182 FVI262182 GFE262182 GPA262182 GYW262182 HIS262182 HSO262182 ICK262182 IMG262182 IWC262182 JFY262182 JPU262182 JZQ262182 KJM262182 KTI262182 LDE262182 LNA262182 LWW262182 MGS262182 MQO262182 NAK262182 NKG262182 NUC262182 ODY262182 ONU262182 OXQ262182 PHM262182 PRI262182 QBE262182 QLA262182 QUW262182 RES262182 ROO262182 RYK262182 SIG262182 SSC262182 TBY262182 TLU262182 TVQ262182 UFM262182 UPI262182 UZE262182 VJA262182 VSW262182 WCS262182 WMO262182 WWK262182 AC327718 JY327718 TU327718 ADQ327718 ANM327718 AXI327718 BHE327718 BRA327718 CAW327718 CKS327718 CUO327718 DEK327718 DOG327718 DYC327718 EHY327718 ERU327718 FBQ327718 FLM327718 FVI327718 GFE327718 GPA327718 GYW327718 HIS327718 HSO327718 ICK327718 IMG327718 IWC327718 JFY327718 JPU327718 JZQ327718 KJM327718 KTI327718 LDE327718 LNA327718 LWW327718 MGS327718 MQO327718 NAK327718 NKG327718 NUC327718 ODY327718 ONU327718 OXQ327718 PHM327718 PRI327718 QBE327718 QLA327718 QUW327718 RES327718 ROO327718 RYK327718 SIG327718 SSC327718 TBY327718 TLU327718 TVQ327718 UFM327718 UPI327718 UZE327718 VJA327718 VSW327718 WCS327718 WMO327718 WWK327718 AC393254 JY393254 TU393254 ADQ393254 ANM393254 AXI393254 BHE393254 BRA393254 CAW393254 CKS393254 CUO393254 DEK393254 DOG393254 DYC393254 EHY393254 ERU393254 FBQ393254 FLM393254 FVI393254 GFE393254 GPA393254 GYW393254 HIS393254 HSO393254 ICK393254 IMG393254 IWC393254 JFY393254 JPU393254 JZQ393254 KJM393254 KTI393254 LDE393254 LNA393254 LWW393254 MGS393254 MQO393254 NAK393254 NKG393254 NUC393254 ODY393254 ONU393254 OXQ393254 PHM393254 PRI393254 QBE393254 QLA393254 QUW393254 RES393254 ROO393254 RYK393254 SIG393254 SSC393254 TBY393254 TLU393254 TVQ393254 UFM393254 UPI393254 UZE393254 VJA393254 VSW393254 WCS393254 WMO393254 WWK393254 AC458790 JY458790 TU458790 ADQ458790 ANM458790 AXI458790 BHE458790 BRA458790 CAW458790 CKS458790 CUO458790 DEK458790 DOG458790 DYC458790 EHY458790 ERU458790 FBQ458790 FLM458790 FVI458790 GFE458790 GPA458790 GYW458790 HIS458790 HSO458790 ICK458790 IMG458790 IWC458790 JFY458790 JPU458790 JZQ458790 KJM458790 KTI458790 LDE458790 LNA458790 LWW458790 MGS458790 MQO458790 NAK458790 NKG458790 NUC458790 ODY458790 ONU458790 OXQ458790 PHM458790 PRI458790 QBE458790 QLA458790 QUW458790 RES458790 ROO458790 RYK458790 SIG458790 SSC458790 TBY458790 TLU458790 TVQ458790 UFM458790 UPI458790 UZE458790 VJA458790 VSW458790 WCS458790 WMO458790 WWK458790 AC524326 JY524326 TU524326 ADQ524326 ANM524326 AXI524326 BHE524326 BRA524326 CAW524326 CKS524326 CUO524326 DEK524326 DOG524326 DYC524326 EHY524326 ERU524326 FBQ524326 FLM524326 FVI524326 GFE524326 GPA524326 GYW524326 HIS524326 HSO524326 ICK524326 IMG524326 IWC524326 JFY524326 JPU524326 JZQ524326 KJM524326 KTI524326 LDE524326 LNA524326 LWW524326 MGS524326 MQO524326 NAK524326 NKG524326 NUC524326 ODY524326 ONU524326 OXQ524326 PHM524326 PRI524326 QBE524326 QLA524326 QUW524326 RES524326 ROO524326 RYK524326 SIG524326 SSC524326 TBY524326 TLU524326 TVQ524326 UFM524326 UPI524326 UZE524326 VJA524326 VSW524326 WCS524326 WMO524326 WWK524326 AC589862 JY589862 TU589862 ADQ589862 ANM589862 AXI589862 BHE589862 BRA589862 CAW589862 CKS589862 CUO589862 DEK589862 DOG589862 DYC589862 EHY589862 ERU589862 FBQ589862 FLM589862 FVI589862 GFE589862 GPA589862 GYW589862 HIS589862 HSO589862 ICK589862 IMG589862 IWC589862 JFY589862 JPU589862 JZQ589862 KJM589862 KTI589862 LDE589862 LNA589862 LWW589862 MGS589862 MQO589862 NAK589862 NKG589862 NUC589862 ODY589862 ONU589862 OXQ589862 PHM589862 PRI589862 QBE589862 QLA589862 QUW589862 RES589862 ROO589862 RYK589862 SIG589862 SSC589862 TBY589862 TLU589862 TVQ589862 UFM589862 UPI589862 UZE589862 VJA589862 VSW589862 WCS589862 WMO589862 WWK589862 AC655398 JY655398 TU655398 ADQ655398 ANM655398 AXI655398 BHE655398 BRA655398 CAW655398 CKS655398 CUO655398 DEK655398 DOG655398 DYC655398 EHY655398 ERU655398 FBQ655398 FLM655398 FVI655398 GFE655398 GPA655398 GYW655398 HIS655398 HSO655398 ICK655398 IMG655398 IWC655398 JFY655398 JPU655398 JZQ655398 KJM655398 KTI655398 LDE655398 LNA655398 LWW655398 MGS655398 MQO655398 NAK655398 NKG655398 NUC655398 ODY655398 ONU655398 OXQ655398 PHM655398 PRI655398 QBE655398 QLA655398 QUW655398 RES655398 ROO655398 RYK655398 SIG655398 SSC655398 TBY655398 TLU655398 TVQ655398 UFM655398 UPI655398 UZE655398 VJA655398 VSW655398 WCS655398 WMO655398 WWK655398 AC720934 JY720934 TU720934 ADQ720934 ANM720934 AXI720934 BHE720934 BRA720934 CAW720934 CKS720934 CUO720934 DEK720934 DOG720934 DYC720934 EHY720934 ERU720934 FBQ720934 FLM720934 FVI720934 GFE720934 GPA720934 GYW720934 HIS720934 HSO720934 ICK720934 IMG720934 IWC720934 JFY720934 JPU720934 JZQ720934 KJM720934 KTI720934 LDE720934 LNA720934 LWW720934 MGS720934 MQO720934 NAK720934 NKG720934 NUC720934 ODY720934 ONU720934 OXQ720934 PHM720934 PRI720934 QBE720934 QLA720934 QUW720934 RES720934 ROO720934 RYK720934 SIG720934 SSC720934 TBY720934 TLU720934 TVQ720934 UFM720934 UPI720934 UZE720934 VJA720934 VSW720934 WCS720934 WMO720934 WWK720934 AC786470 JY786470 TU786470 ADQ786470 ANM786470 AXI786470 BHE786470 BRA786470 CAW786470 CKS786470 CUO786470 DEK786470 DOG786470 DYC786470 EHY786470 ERU786470 FBQ786470 FLM786470 FVI786470 GFE786470 GPA786470 GYW786470 HIS786470 HSO786470 ICK786470 IMG786470 IWC786470 JFY786470 JPU786470 JZQ786470 KJM786470 KTI786470 LDE786470 LNA786470 LWW786470 MGS786470 MQO786470 NAK786470 NKG786470 NUC786470 ODY786470 ONU786470 OXQ786470 PHM786470 PRI786470 QBE786470 QLA786470 QUW786470 RES786470 ROO786470 RYK786470 SIG786470 SSC786470 TBY786470 TLU786470 TVQ786470 UFM786470 UPI786470 UZE786470 VJA786470 VSW786470 WCS786470 WMO786470 WWK786470 AC852006 JY852006 TU852006 ADQ852006 ANM852006 AXI852006 BHE852006 BRA852006 CAW852006 CKS852006 CUO852006 DEK852006 DOG852006 DYC852006 EHY852006 ERU852006 FBQ852006 FLM852006 FVI852006 GFE852006 GPA852006 GYW852006 HIS852006 HSO852006 ICK852006 IMG852006 IWC852006 JFY852006 JPU852006 JZQ852006 KJM852006 KTI852006 LDE852006 LNA852006 LWW852006 MGS852006 MQO852006 NAK852006 NKG852006 NUC852006 ODY852006 ONU852006 OXQ852006 PHM852006 PRI852006 QBE852006 QLA852006 QUW852006 RES852006 ROO852006 RYK852006 SIG852006 SSC852006 TBY852006 TLU852006 TVQ852006 UFM852006 UPI852006 UZE852006 VJA852006 VSW852006 WCS852006 WMO852006 WWK852006 AC917542 JY917542 TU917542 ADQ917542 ANM917542 AXI917542 BHE917542 BRA917542 CAW917542 CKS917542 CUO917542 DEK917542 DOG917542 DYC917542 EHY917542 ERU917542 FBQ917542 FLM917542 FVI917542 GFE917542 GPA917542 GYW917542 HIS917542 HSO917542 ICK917542 IMG917542 IWC917542 JFY917542 JPU917542 JZQ917542 KJM917542 KTI917542 LDE917542 LNA917542 LWW917542 MGS917542 MQO917542 NAK917542 NKG917542 NUC917542 ODY917542 ONU917542 OXQ917542 PHM917542 PRI917542 QBE917542 QLA917542 QUW917542 RES917542 ROO917542 RYK917542 SIG917542 SSC917542 TBY917542 TLU917542 TVQ917542 UFM917542 UPI917542 UZE917542 VJA917542 VSW917542 WCS917542 WMO917542 WWK917542 AC983078 JY983078 TU983078 ADQ983078 ANM983078 AXI983078 BHE983078 BRA983078 CAW983078 CKS983078 CUO983078 DEK983078 DOG983078 DYC983078 EHY983078 ERU983078 FBQ983078 FLM983078 FVI983078 GFE983078 GPA983078 GYW983078 HIS983078 HSO983078 ICK983078 IMG983078 IWC983078 JFY983078 JPU983078 JZQ983078 KJM983078 KTI983078 LDE983078 LNA983078 LWW983078 MGS983078 MQO983078 NAK983078 NKG983078 NUC983078 ODY983078 ONU983078 OXQ983078 PHM983078 PRI983078 QBE983078 QLA983078 QUW983078 RES983078 ROO983078 RYK983078 SIG983078 SSC983078 TBY983078 TLU983078 TVQ983078 UFM983078 UPI983078 UZE983078 VJA983078 VSW983078 WCS983078 WMO983078 WWK983078 AA46 JW46 TS46 ADO46 ANK46 AXG46 BHC46 BQY46 CAU46 CKQ46 CUM46 DEI46 DOE46 DYA46 EHW46 ERS46 FBO46 FLK46 FVG46 GFC46 GOY46 GYU46 HIQ46 HSM46 ICI46 IME46 IWA46 JFW46 JPS46 JZO46 KJK46 KTG46 LDC46 LMY46 LWU46 MGQ46 MQM46 NAI46 NKE46 NUA46 ODW46 ONS46 OXO46 PHK46 PRG46 QBC46 QKY46 QUU46 REQ46 ROM46 RYI46 SIE46 SSA46 TBW46 TLS46 TVO46 UFK46 UPG46 UZC46 VIY46 VSU46 WCQ46 WMM46 WWI46 AA65582 JW65582 TS65582 ADO65582 ANK65582 AXG65582 BHC65582 BQY65582 CAU65582 CKQ65582 CUM65582 DEI65582 DOE65582 DYA65582 EHW65582 ERS65582 FBO65582 FLK65582 FVG65582 GFC65582 GOY65582 GYU65582 HIQ65582 HSM65582 ICI65582 IME65582 IWA65582 JFW65582 JPS65582 JZO65582 KJK65582 KTG65582 LDC65582 LMY65582 LWU65582 MGQ65582 MQM65582 NAI65582 NKE65582 NUA65582 ODW65582 ONS65582 OXO65582 PHK65582 PRG65582 QBC65582 QKY65582 QUU65582 REQ65582 ROM65582 RYI65582 SIE65582 SSA65582 TBW65582 TLS65582 TVO65582 UFK65582 UPG65582 UZC65582 VIY65582 VSU65582 WCQ65582 WMM65582 WWI65582 AA131118 JW131118 TS131118 ADO131118 ANK131118 AXG131118 BHC131118 BQY131118 CAU131118 CKQ131118 CUM131118 DEI131118 DOE131118 DYA131118 EHW131118 ERS131118 FBO131118 FLK131118 FVG131118 GFC131118 GOY131118 GYU131118 HIQ131118 HSM131118 ICI131118 IME131118 IWA131118 JFW131118 JPS131118 JZO131118 KJK131118 KTG131118 LDC131118 LMY131118 LWU131118 MGQ131118 MQM131118 NAI131118 NKE131118 NUA131118 ODW131118 ONS131118 OXO131118 PHK131118 PRG131118 QBC131118 QKY131118 QUU131118 REQ131118 ROM131118 RYI131118 SIE131118 SSA131118 TBW131118 TLS131118 TVO131118 UFK131118 UPG131118 UZC131118 VIY131118 VSU131118 WCQ131118 WMM131118 WWI131118 AA196654 JW196654 TS196654 ADO196654 ANK196654 AXG196654 BHC196654 BQY196654 CAU196654 CKQ196654 CUM196654 DEI196654 DOE196654 DYA196654 EHW196654 ERS196654 FBO196654 FLK196654 FVG196654 GFC196654 GOY196654 GYU196654 HIQ196654 HSM196654 ICI196654 IME196654 IWA196654 JFW196654 JPS196654 JZO196654 KJK196654 KTG196654 LDC196654 LMY196654 LWU196654 MGQ196654 MQM196654 NAI196654 NKE196654 NUA196654 ODW196654 ONS196654 OXO196654 PHK196654 PRG196654 QBC196654 QKY196654 QUU196654 REQ196654 ROM196654 RYI196654 SIE196654 SSA196654 TBW196654 TLS196654 TVO196654 UFK196654 UPG196654 UZC196654 VIY196654 VSU196654 WCQ196654 WMM196654 WWI196654 AA262190 JW262190 TS262190 ADO262190 ANK262190 AXG262190 BHC262190 BQY262190 CAU262190 CKQ262190 CUM262190 DEI262190 DOE262190 DYA262190 EHW262190 ERS262190 FBO262190 FLK262190 FVG262190 GFC262190 GOY262190 GYU262190 HIQ262190 HSM262190 ICI262190 IME262190 IWA262190 JFW262190 JPS262190 JZO262190 KJK262190 KTG262190 LDC262190 LMY262190 LWU262190 MGQ262190 MQM262190 NAI262190 NKE262190 NUA262190 ODW262190 ONS262190 OXO262190 PHK262190 PRG262190 QBC262190 QKY262190 QUU262190 REQ262190 ROM262190 RYI262190 SIE262190 SSA262190 TBW262190 TLS262190 TVO262190 UFK262190 UPG262190 UZC262190 VIY262190 VSU262190 WCQ262190 WMM262190 WWI262190 AA327726 JW327726 TS327726 ADO327726 ANK327726 AXG327726 BHC327726 BQY327726 CAU327726 CKQ327726 CUM327726 DEI327726 DOE327726 DYA327726 EHW327726 ERS327726 FBO327726 FLK327726 FVG327726 GFC327726 GOY327726 GYU327726 HIQ327726 HSM327726 ICI327726 IME327726 IWA327726 JFW327726 JPS327726 JZO327726 KJK327726 KTG327726 LDC327726 LMY327726 LWU327726 MGQ327726 MQM327726 NAI327726 NKE327726 NUA327726 ODW327726 ONS327726 OXO327726 PHK327726 PRG327726 QBC327726 QKY327726 QUU327726 REQ327726 ROM327726 RYI327726 SIE327726 SSA327726 TBW327726 TLS327726 TVO327726 UFK327726 UPG327726 UZC327726 VIY327726 VSU327726 WCQ327726 WMM327726 WWI327726 AA393262 JW393262 TS393262 ADO393262 ANK393262 AXG393262 BHC393262 BQY393262 CAU393262 CKQ393262 CUM393262 DEI393262 DOE393262 DYA393262 EHW393262 ERS393262 FBO393262 FLK393262 FVG393262 GFC393262 GOY393262 GYU393262 HIQ393262 HSM393262 ICI393262 IME393262 IWA393262 JFW393262 JPS393262 JZO393262 KJK393262 KTG393262 LDC393262 LMY393262 LWU393262 MGQ393262 MQM393262 NAI393262 NKE393262 NUA393262 ODW393262 ONS393262 OXO393262 PHK393262 PRG393262 QBC393262 QKY393262 QUU393262 REQ393262 ROM393262 RYI393262 SIE393262 SSA393262 TBW393262 TLS393262 TVO393262 UFK393262 UPG393262 UZC393262 VIY393262 VSU393262 WCQ393262 WMM393262 WWI393262 AA458798 JW458798 TS458798 ADO458798 ANK458798 AXG458798 BHC458798 BQY458798 CAU458798 CKQ458798 CUM458798 DEI458798 DOE458798 DYA458798 EHW458798 ERS458798 FBO458798 FLK458798 FVG458798 GFC458798 GOY458798 GYU458798 HIQ458798 HSM458798 ICI458798 IME458798 IWA458798 JFW458798 JPS458798 JZO458798 KJK458798 KTG458798 LDC458798 LMY458798 LWU458798 MGQ458798 MQM458798 NAI458798 NKE458798 NUA458798 ODW458798 ONS458798 OXO458798 PHK458798 PRG458798 QBC458798 QKY458798 QUU458798 REQ458798 ROM458798 RYI458798 SIE458798 SSA458798 TBW458798 TLS458798 TVO458798 UFK458798 UPG458798 UZC458798 VIY458798 VSU458798 WCQ458798 WMM458798 WWI458798 AA524334 JW524334 TS524334 ADO524334 ANK524334 AXG524334 BHC524334 BQY524334 CAU524334 CKQ524334 CUM524334 DEI524334 DOE524334 DYA524334 EHW524334 ERS524334 FBO524334 FLK524334 FVG524334 GFC524334 GOY524334 GYU524334 HIQ524334 HSM524334 ICI524334 IME524334 IWA524334 JFW524334 JPS524334 JZO524334 KJK524334 KTG524334 LDC524334 LMY524334 LWU524334 MGQ524334 MQM524334 NAI524334 NKE524334 NUA524334 ODW524334 ONS524334 OXO524334 PHK524334 PRG524334 QBC524334 QKY524334 QUU524334 REQ524334 ROM524334 RYI524334 SIE524334 SSA524334 TBW524334 TLS524334 TVO524334 UFK524334 UPG524334 UZC524334 VIY524334 VSU524334 WCQ524334 WMM524334 WWI524334 AA589870 JW589870 TS589870 ADO589870 ANK589870 AXG589870 BHC589870 BQY589870 CAU589870 CKQ589870 CUM589870 DEI589870 DOE589870 DYA589870 EHW589870 ERS589870 FBO589870 FLK589870 FVG589870 GFC589870 GOY589870 GYU589870 HIQ589870 HSM589870 ICI589870 IME589870 IWA589870 JFW589870 JPS589870 JZO589870 KJK589870 KTG589870 LDC589870 LMY589870 LWU589870 MGQ589870 MQM589870 NAI589870 NKE589870 NUA589870 ODW589870 ONS589870 OXO589870 PHK589870 PRG589870 QBC589870 QKY589870 QUU589870 REQ589870 ROM589870 RYI589870 SIE589870 SSA589870 TBW589870 TLS589870 TVO589870 UFK589870 UPG589870 UZC589870 VIY589870 VSU589870 WCQ589870 WMM589870 WWI589870 AA655406 JW655406 TS655406 ADO655406 ANK655406 AXG655406 BHC655406 BQY655406 CAU655406 CKQ655406 CUM655406 DEI655406 DOE655406 DYA655406 EHW655406 ERS655406 FBO655406 FLK655406 FVG655406 GFC655406 GOY655406 GYU655406 HIQ655406 HSM655406 ICI655406 IME655406 IWA655406 JFW655406 JPS655406 JZO655406 KJK655406 KTG655406 LDC655406 LMY655406 LWU655406 MGQ655406 MQM655406 NAI655406 NKE655406 NUA655406 ODW655406 ONS655406 OXO655406 PHK655406 PRG655406 QBC655406 QKY655406 QUU655406 REQ655406 ROM655406 RYI655406 SIE655406 SSA655406 TBW655406 TLS655406 TVO655406 UFK655406 UPG655406 UZC655406 VIY655406 VSU655406 WCQ655406 WMM655406 WWI655406 AA720942 JW720942 TS720942 ADO720942 ANK720942 AXG720942 BHC720942 BQY720942 CAU720942 CKQ720942 CUM720942 DEI720942 DOE720942 DYA720942 EHW720942 ERS720942 FBO720942 FLK720942 FVG720942 GFC720942 GOY720942 GYU720942 HIQ720942 HSM720942 ICI720942 IME720942 IWA720942 JFW720942 JPS720942 JZO720942 KJK720942 KTG720942 LDC720942 LMY720942 LWU720942 MGQ720942 MQM720942 NAI720942 NKE720942 NUA720942 ODW720942 ONS720942 OXO720942 PHK720942 PRG720942 QBC720942 QKY720942 QUU720942 REQ720942 ROM720942 RYI720942 SIE720942 SSA720942 TBW720942 TLS720942 TVO720942 UFK720942 UPG720942 UZC720942 VIY720942 VSU720942 WCQ720942 WMM720942 WWI720942 AA786478 JW786478 TS786478 ADO786478 ANK786478 AXG786478 BHC786478 BQY786478 CAU786478 CKQ786478 CUM786478 DEI786478 DOE786478 DYA786478 EHW786478 ERS786478 FBO786478 FLK786478 FVG786478 GFC786478 GOY786478 GYU786478 HIQ786478 HSM786478 ICI786478 IME786478 IWA786478 JFW786478 JPS786478 JZO786478 KJK786478 KTG786478 LDC786478 LMY786478 LWU786478 MGQ786478 MQM786478 NAI786478 NKE786478 NUA786478 ODW786478 ONS786478 OXO786478 PHK786478 PRG786478 QBC786478 QKY786478 QUU786478 REQ786478 ROM786478 RYI786478 SIE786478 SSA786478 TBW786478 TLS786478 TVO786478 UFK786478 UPG786478 UZC786478 VIY786478 VSU786478 WCQ786478 WMM786478 WWI786478 AA852014 JW852014 TS852014 ADO852014 ANK852014 AXG852014 BHC852014 BQY852014 CAU852014 CKQ852014 CUM852014 DEI852014 DOE852014 DYA852014 EHW852014 ERS852014 FBO852014 FLK852014 FVG852014 GFC852014 GOY852014 GYU852014 HIQ852014 HSM852014 ICI852014 IME852014 IWA852014 JFW852014 JPS852014 JZO852014 KJK852014 KTG852014 LDC852014 LMY852014 LWU852014 MGQ852014 MQM852014 NAI852014 NKE852014 NUA852014 ODW852014 ONS852014 OXO852014 PHK852014 PRG852014 QBC852014 QKY852014 QUU852014 REQ852014 ROM852014 RYI852014 SIE852014 SSA852014 TBW852014 TLS852014 TVO852014 UFK852014 UPG852014 UZC852014 VIY852014 VSU852014 WCQ852014 WMM852014 WWI852014 AA917550 JW917550 TS917550 ADO917550 ANK917550 AXG917550 BHC917550 BQY917550 CAU917550 CKQ917550 CUM917550 DEI917550 DOE917550 DYA917550 EHW917550 ERS917550 FBO917550 FLK917550 FVG917550 GFC917550 GOY917550 GYU917550 HIQ917550 HSM917550 ICI917550 IME917550 IWA917550 JFW917550 JPS917550 JZO917550 KJK917550 KTG917550 LDC917550 LMY917550 LWU917550 MGQ917550 MQM917550 NAI917550 NKE917550 NUA917550 ODW917550 ONS917550 OXO917550 PHK917550 PRG917550 QBC917550 QKY917550 QUU917550 REQ917550 ROM917550 RYI917550 SIE917550 SSA917550 TBW917550 TLS917550 TVO917550 UFK917550 UPG917550 UZC917550 VIY917550 VSU917550 WCQ917550 WMM917550 WWI917550 AA983086 JW983086 TS983086 ADO983086 ANK983086 AXG983086 BHC983086 BQY983086 CAU983086 CKQ983086 CUM983086 DEI983086 DOE983086 DYA983086 EHW983086 ERS983086 FBO983086 FLK983086 FVG983086 GFC983086 GOY983086 GYU983086 HIQ983086 HSM983086 ICI983086 IME983086 IWA983086 JFW983086 JPS983086 JZO983086 KJK983086 KTG983086 LDC983086 LMY983086 LWU983086 MGQ983086 MQM983086 NAI983086 NKE983086 NUA983086 ODW983086 ONS983086 OXO983086 PHK983086 PRG983086 QBC983086 QKY983086 QUU983086 REQ983086 ROM983086 RYI983086 SIE983086 SSA983086 TBW983086 TLS983086 TVO983086 UFK983086 UPG983086 UZC983086 VIY983086 VSU983086 WCQ983086 WMM983086 WWI983086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AA51 JW51 TS51 ADO51 ANK51 AXG51 BHC51 BQY51 CAU51 CKQ51 CUM51 DEI51 DOE51 DYA51 EHW51 ERS51 FBO51 FLK51 FVG51 GFC51 GOY51 GYU51 HIQ51 HSM51 ICI51 IME51 IWA51 JFW51 JPS51 JZO51 KJK51 KTG51 LDC51 LMY51 LWU51 MGQ51 MQM51 NAI51 NKE51 NUA51 ODW51 ONS51 OXO51 PHK51 PRG51 QBC51 QKY51 QUU51 REQ51 ROM51 RYI51 SIE51 SSA51 TBW51 TLS51 TVO51 UFK51 UPG51 UZC51 VIY51 VSU51 WCQ51 WMM51 WWI51 AA65587 JW65587 TS65587 ADO65587 ANK65587 AXG65587 BHC65587 BQY65587 CAU65587 CKQ65587 CUM65587 DEI65587 DOE65587 DYA65587 EHW65587 ERS65587 FBO65587 FLK65587 FVG65587 GFC65587 GOY65587 GYU65587 HIQ65587 HSM65587 ICI65587 IME65587 IWA65587 JFW65587 JPS65587 JZO65587 KJK65587 KTG65587 LDC65587 LMY65587 LWU65587 MGQ65587 MQM65587 NAI65587 NKE65587 NUA65587 ODW65587 ONS65587 OXO65587 PHK65587 PRG65587 QBC65587 QKY65587 QUU65587 REQ65587 ROM65587 RYI65587 SIE65587 SSA65587 TBW65587 TLS65587 TVO65587 UFK65587 UPG65587 UZC65587 VIY65587 VSU65587 WCQ65587 WMM65587 WWI65587 AA131123 JW131123 TS131123 ADO131123 ANK131123 AXG131123 BHC131123 BQY131123 CAU131123 CKQ131123 CUM131123 DEI131123 DOE131123 DYA131123 EHW131123 ERS131123 FBO131123 FLK131123 FVG131123 GFC131123 GOY131123 GYU131123 HIQ131123 HSM131123 ICI131123 IME131123 IWA131123 JFW131123 JPS131123 JZO131123 KJK131123 KTG131123 LDC131123 LMY131123 LWU131123 MGQ131123 MQM131123 NAI131123 NKE131123 NUA131123 ODW131123 ONS131123 OXO131123 PHK131123 PRG131123 QBC131123 QKY131123 QUU131123 REQ131123 ROM131123 RYI131123 SIE131123 SSA131123 TBW131123 TLS131123 TVO131123 UFK131123 UPG131123 UZC131123 VIY131123 VSU131123 WCQ131123 WMM131123 WWI131123 AA196659 JW196659 TS196659 ADO196659 ANK196659 AXG196659 BHC196659 BQY196659 CAU196659 CKQ196659 CUM196659 DEI196659 DOE196659 DYA196659 EHW196659 ERS196659 FBO196659 FLK196659 FVG196659 GFC196659 GOY196659 GYU196659 HIQ196659 HSM196659 ICI196659 IME196659 IWA196659 JFW196659 JPS196659 JZO196659 KJK196659 KTG196659 LDC196659 LMY196659 LWU196659 MGQ196659 MQM196659 NAI196659 NKE196659 NUA196659 ODW196659 ONS196659 OXO196659 PHK196659 PRG196659 QBC196659 QKY196659 QUU196659 REQ196659 ROM196659 RYI196659 SIE196659 SSA196659 TBW196659 TLS196659 TVO196659 UFK196659 UPG196659 UZC196659 VIY196659 VSU196659 WCQ196659 WMM196659 WWI196659 AA262195 JW262195 TS262195 ADO262195 ANK262195 AXG262195 BHC262195 BQY262195 CAU262195 CKQ262195 CUM262195 DEI262195 DOE262195 DYA262195 EHW262195 ERS262195 FBO262195 FLK262195 FVG262195 GFC262195 GOY262195 GYU262195 HIQ262195 HSM262195 ICI262195 IME262195 IWA262195 JFW262195 JPS262195 JZO262195 KJK262195 KTG262195 LDC262195 LMY262195 LWU262195 MGQ262195 MQM262195 NAI262195 NKE262195 NUA262195 ODW262195 ONS262195 OXO262195 PHK262195 PRG262195 QBC262195 QKY262195 QUU262195 REQ262195 ROM262195 RYI262195 SIE262195 SSA262195 TBW262195 TLS262195 TVO262195 UFK262195 UPG262195 UZC262195 VIY262195 VSU262195 WCQ262195 WMM262195 WWI262195 AA327731 JW327731 TS327731 ADO327731 ANK327731 AXG327731 BHC327731 BQY327731 CAU327731 CKQ327731 CUM327731 DEI327731 DOE327731 DYA327731 EHW327731 ERS327731 FBO327731 FLK327731 FVG327731 GFC327731 GOY327731 GYU327731 HIQ327731 HSM327731 ICI327731 IME327731 IWA327731 JFW327731 JPS327731 JZO327731 KJK327731 KTG327731 LDC327731 LMY327731 LWU327731 MGQ327731 MQM327731 NAI327731 NKE327731 NUA327731 ODW327731 ONS327731 OXO327731 PHK327731 PRG327731 QBC327731 QKY327731 QUU327731 REQ327731 ROM327731 RYI327731 SIE327731 SSA327731 TBW327731 TLS327731 TVO327731 UFK327731 UPG327731 UZC327731 VIY327731 VSU327731 WCQ327731 WMM327731 WWI327731 AA393267 JW393267 TS393267 ADO393267 ANK393267 AXG393267 BHC393267 BQY393267 CAU393267 CKQ393267 CUM393267 DEI393267 DOE393267 DYA393267 EHW393267 ERS393267 FBO393267 FLK393267 FVG393267 GFC393267 GOY393267 GYU393267 HIQ393267 HSM393267 ICI393267 IME393267 IWA393267 JFW393267 JPS393267 JZO393267 KJK393267 KTG393267 LDC393267 LMY393267 LWU393267 MGQ393267 MQM393267 NAI393267 NKE393267 NUA393267 ODW393267 ONS393267 OXO393267 PHK393267 PRG393267 QBC393267 QKY393267 QUU393267 REQ393267 ROM393267 RYI393267 SIE393267 SSA393267 TBW393267 TLS393267 TVO393267 UFK393267 UPG393267 UZC393267 VIY393267 VSU393267 WCQ393267 WMM393267 WWI393267 AA458803 JW458803 TS458803 ADO458803 ANK458803 AXG458803 BHC458803 BQY458803 CAU458803 CKQ458803 CUM458803 DEI458803 DOE458803 DYA458803 EHW458803 ERS458803 FBO458803 FLK458803 FVG458803 GFC458803 GOY458803 GYU458803 HIQ458803 HSM458803 ICI458803 IME458803 IWA458803 JFW458803 JPS458803 JZO458803 KJK458803 KTG458803 LDC458803 LMY458803 LWU458803 MGQ458803 MQM458803 NAI458803 NKE458803 NUA458803 ODW458803 ONS458803 OXO458803 PHK458803 PRG458803 QBC458803 QKY458803 QUU458803 REQ458803 ROM458803 RYI458803 SIE458803 SSA458803 TBW458803 TLS458803 TVO458803 UFK458803 UPG458803 UZC458803 VIY458803 VSU458803 WCQ458803 WMM458803 WWI458803 AA524339 JW524339 TS524339 ADO524339 ANK524339 AXG524339 BHC524339 BQY524339 CAU524339 CKQ524339 CUM524339 DEI524339 DOE524339 DYA524339 EHW524339 ERS524339 FBO524339 FLK524339 FVG524339 GFC524339 GOY524339 GYU524339 HIQ524339 HSM524339 ICI524339 IME524339 IWA524339 JFW524339 JPS524339 JZO524339 KJK524339 KTG524339 LDC524339 LMY524339 LWU524339 MGQ524339 MQM524339 NAI524339 NKE524339 NUA524339 ODW524339 ONS524339 OXO524339 PHK524339 PRG524339 QBC524339 QKY524339 QUU524339 REQ524339 ROM524339 RYI524339 SIE524339 SSA524339 TBW524339 TLS524339 TVO524339 UFK524339 UPG524339 UZC524339 VIY524339 VSU524339 WCQ524339 WMM524339 WWI524339 AA589875 JW589875 TS589875 ADO589875 ANK589875 AXG589875 BHC589875 BQY589875 CAU589875 CKQ589875 CUM589875 DEI589875 DOE589875 DYA589875 EHW589875 ERS589875 FBO589875 FLK589875 FVG589875 GFC589875 GOY589875 GYU589875 HIQ589875 HSM589875 ICI589875 IME589875 IWA589875 JFW589875 JPS589875 JZO589875 KJK589875 KTG589875 LDC589875 LMY589875 LWU589875 MGQ589875 MQM589875 NAI589875 NKE589875 NUA589875 ODW589875 ONS589875 OXO589875 PHK589875 PRG589875 QBC589875 QKY589875 QUU589875 REQ589875 ROM589875 RYI589875 SIE589875 SSA589875 TBW589875 TLS589875 TVO589875 UFK589875 UPG589875 UZC589875 VIY589875 VSU589875 WCQ589875 WMM589875 WWI589875 AA655411 JW655411 TS655411 ADO655411 ANK655411 AXG655411 BHC655411 BQY655411 CAU655411 CKQ655411 CUM655411 DEI655411 DOE655411 DYA655411 EHW655411 ERS655411 FBO655411 FLK655411 FVG655411 GFC655411 GOY655411 GYU655411 HIQ655411 HSM655411 ICI655411 IME655411 IWA655411 JFW655411 JPS655411 JZO655411 KJK655411 KTG655411 LDC655411 LMY655411 LWU655411 MGQ655411 MQM655411 NAI655411 NKE655411 NUA655411 ODW655411 ONS655411 OXO655411 PHK655411 PRG655411 QBC655411 QKY655411 QUU655411 REQ655411 ROM655411 RYI655411 SIE655411 SSA655411 TBW655411 TLS655411 TVO655411 UFK655411 UPG655411 UZC655411 VIY655411 VSU655411 WCQ655411 WMM655411 WWI655411 AA720947 JW720947 TS720947 ADO720947 ANK720947 AXG720947 BHC720947 BQY720947 CAU720947 CKQ720947 CUM720947 DEI720947 DOE720947 DYA720947 EHW720947 ERS720947 FBO720947 FLK720947 FVG720947 GFC720947 GOY720947 GYU720947 HIQ720947 HSM720947 ICI720947 IME720947 IWA720947 JFW720947 JPS720947 JZO720947 KJK720947 KTG720947 LDC720947 LMY720947 LWU720947 MGQ720947 MQM720947 NAI720947 NKE720947 NUA720947 ODW720947 ONS720947 OXO720947 PHK720947 PRG720947 QBC720947 QKY720947 QUU720947 REQ720947 ROM720947 RYI720947 SIE720947 SSA720947 TBW720947 TLS720947 TVO720947 UFK720947 UPG720947 UZC720947 VIY720947 VSU720947 WCQ720947 WMM720947 WWI720947 AA786483 JW786483 TS786483 ADO786483 ANK786483 AXG786483 BHC786483 BQY786483 CAU786483 CKQ786483 CUM786483 DEI786483 DOE786483 DYA786483 EHW786483 ERS786483 FBO786483 FLK786483 FVG786483 GFC786483 GOY786483 GYU786483 HIQ786483 HSM786483 ICI786483 IME786483 IWA786483 JFW786483 JPS786483 JZO786483 KJK786483 KTG786483 LDC786483 LMY786483 LWU786483 MGQ786483 MQM786483 NAI786483 NKE786483 NUA786483 ODW786483 ONS786483 OXO786483 PHK786483 PRG786483 QBC786483 QKY786483 QUU786483 REQ786483 ROM786483 RYI786483 SIE786483 SSA786483 TBW786483 TLS786483 TVO786483 UFK786483 UPG786483 UZC786483 VIY786483 VSU786483 WCQ786483 WMM786483 WWI786483 AA852019 JW852019 TS852019 ADO852019 ANK852019 AXG852019 BHC852019 BQY852019 CAU852019 CKQ852019 CUM852019 DEI852019 DOE852019 DYA852019 EHW852019 ERS852019 FBO852019 FLK852019 FVG852019 GFC852019 GOY852019 GYU852019 HIQ852019 HSM852019 ICI852019 IME852019 IWA852019 JFW852019 JPS852019 JZO852019 KJK852019 KTG852019 LDC852019 LMY852019 LWU852019 MGQ852019 MQM852019 NAI852019 NKE852019 NUA852019 ODW852019 ONS852019 OXO852019 PHK852019 PRG852019 QBC852019 QKY852019 QUU852019 REQ852019 ROM852019 RYI852019 SIE852019 SSA852019 TBW852019 TLS852019 TVO852019 UFK852019 UPG852019 UZC852019 VIY852019 VSU852019 WCQ852019 WMM852019 WWI852019 AA917555 JW917555 TS917555 ADO917555 ANK917555 AXG917555 BHC917555 BQY917555 CAU917555 CKQ917555 CUM917555 DEI917555 DOE917555 DYA917555 EHW917555 ERS917555 FBO917555 FLK917555 FVG917555 GFC917555 GOY917555 GYU917555 HIQ917555 HSM917555 ICI917555 IME917555 IWA917555 JFW917555 JPS917555 JZO917555 KJK917555 KTG917555 LDC917555 LMY917555 LWU917555 MGQ917555 MQM917555 NAI917555 NKE917555 NUA917555 ODW917555 ONS917555 OXO917555 PHK917555 PRG917555 QBC917555 QKY917555 QUU917555 REQ917555 ROM917555 RYI917555 SIE917555 SSA917555 TBW917555 TLS917555 TVO917555 UFK917555 UPG917555 UZC917555 VIY917555 VSU917555 WCQ917555 WMM917555 WWI917555 AA983091 JW983091 TS983091 ADO983091 ANK983091 AXG983091 BHC983091 BQY983091 CAU983091 CKQ983091 CUM983091 DEI983091 DOE983091 DYA983091 EHW983091 ERS983091 FBO983091 FLK983091 FVG983091 GFC983091 GOY983091 GYU983091 HIQ983091 HSM983091 ICI983091 IME983091 IWA983091 JFW983091 JPS983091 JZO983091 KJK983091 KTG983091 LDC983091 LMY983091 LWU983091 MGQ983091 MQM983091 NAI983091 NKE983091 NUA983091 ODW983091 ONS983091 OXO983091 PHK983091 PRG983091 QBC983091 QKY983091 QUU983091 REQ983091 ROM983091 RYI983091 SIE983091 SSA983091 TBW983091 TLS983091 TVO983091 UFK983091 UPG983091 UZC983091 VIY983091 VSU983091 WCQ983091 WMM983091 WWI983091 AC51 JY51 TU51 ADQ51 ANM51 AXI51 BHE51 BRA51 CAW51 CKS51 CUO51 DEK51 DOG51 DYC51 EHY51 ERU51 FBQ51 FLM51 FVI51 GFE51 GPA51 GYW51 HIS51 HSO51 ICK51 IMG51 IWC51 JFY51 JPU51 JZQ51 KJM51 KTI51 LDE51 LNA51 LWW51 MGS51 MQO51 NAK51 NKG51 NUC51 ODY51 ONU51 OXQ51 PHM51 PRI51 QBE51 QLA51 QUW51 RES51 ROO51 RYK51 SIG51 SSC51 TBY51 TLU51 TVQ51 UFM51 UPI51 UZE51 VJA51 VSW51 WCS51 WMO51 WWK51 AC65587 JY65587 TU65587 ADQ65587 ANM65587 AXI65587 BHE65587 BRA65587 CAW65587 CKS65587 CUO65587 DEK65587 DOG65587 DYC65587 EHY65587 ERU65587 FBQ65587 FLM65587 FVI65587 GFE65587 GPA65587 GYW65587 HIS65587 HSO65587 ICK65587 IMG65587 IWC65587 JFY65587 JPU65587 JZQ65587 KJM65587 KTI65587 LDE65587 LNA65587 LWW65587 MGS65587 MQO65587 NAK65587 NKG65587 NUC65587 ODY65587 ONU65587 OXQ65587 PHM65587 PRI65587 QBE65587 QLA65587 QUW65587 RES65587 ROO65587 RYK65587 SIG65587 SSC65587 TBY65587 TLU65587 TVQ65587 UFM65587 UPI65587 UZE65587 VJA65587 VSW65587 WCS65587 WMO65587 WWK65587 AC131123 JY131123 TU131123 ADQ131123 ANM131123 AXI131123 BHE131123 BRA131123 CAW131123 CKS131123 CUO131123 DEK131123 DOG131123 DYC131123 EHY131123 ERU131123 FBQ131123 FLM131123 FVI131123 GFE131123 GPA131123 GYW131123 HIS131123 HSO131123 ICK131123 IMG131123 IWC131123 JFY131123 JPU131123 JZQ131123 KJM131123 KTI131123 LDE131123 LNA131123 LWW131123 MGS131123 MQO131123 NAK131123 NKG131123 NUC131123 ODY131123 ONU131123 OXQ131123 PHM131123 PRI131123 QBE131123 QLA131123 QUW131123 RES131123 ROO131123 RYK131123 SIG131123 SSC131123 TBY131123 TLU131123 TVQ131123 UFM131123 UPI131123 UZE131123 VJA131123 VSW131123 WCS131123 WMO131123 WWK131123 AC196659 JY196659 TU196659 ADQ196659 ANM196659 AXI196659 BHE196659 BRA196659 CAW196659 CKS196659 CUO196659 DEK196659 DOG196659 DYC196659 EHY196659 ERU196659 FBQ196659 FLM196659 FVI196659 GFE196659 GPA196659 GYW196659 HIS196659 HSO196659 ICK196659 IMG196659 IWC196659 JFY196659 JPU196659 JZQ196659 KJM196659 KTI196659 LDE196659 LNA196659 LWW196659 MGS196659 MQO196659 NAK196659 NKG196659 NUC196659 ODY196659 ONU196659 OXQ196659 PHM196659 PRI196659 QBE196659 QLA196659 QUW196659 RES196659 ROO196659 RYK196659 SIG196659 SSC196659 TBY196659 TLU196659 TVQ196659 UFM196659 UPI196659 UZE196659 VJA196659 VSW196659 WCS196659 WMO196659 WWK196659 AC262195 JY262195 TU262195 ADQ262195 ANM262195 AXI262195 BHE262195 BRA262195 CAW262195 CKS262195 CUO262195 DEK262195 DOG262195 DYC262195 EHY262195 ERU262195 FBQ262195 FLM262195 FVI262195 GFE262195 GPA262195 GYW262195 HIS262195 HSO262195 ICK262195 IMG262195 IWC262195 JFY262195 JPU262195 JZQ262195 KJM262195 KTI262195 LDE262195 LNA262195 LWW262195 MGS262195 MQO262195 NAK262195 NKG262195 NUC262195 ODY262195 ONU262195 OXQ262195 PHM262195 PRI262195 QBE262195 QLA262195 QUW262195 RES262195 ROO262195 RYK262195 SIG262195 SSC262195 TBY262195 TLU262195 TVQ262195 UFM262195 UPI262195 UZE262195 VJA262195 VSW262195 WCS262195 WMO262195 WWK262195 AC327731 JY327731 TU327731 ADQ327731 ANM327731 AXI327731 BHE327731 BRA327731 CAW327731 CKS327731 CUO327731 DEK327731 DOG327731 DYC327731 EHY327731 ERU327731 FBQ327731 FLM327731 FVI327731 GFE327731 GPA327731 GYW327731 HIS327731 HSO327731 ICK327731 IMG327731 IWC327731 JFY327731 JPU327731 JZQ327731 KJM327731 KTI327731 LDE327731 LNA327731 LWW327731 MGS327731 MQO327731 NAK327731 NKG327731 NUC327731 ODY327731 ONU327731 OXQ327731 PHM327731 PRI327731 QBE327731 QLA327731 QUW327731 RES327731 ROO327731 RYK327731 SIG327731 SSC327731 TBY327731 TLU327731 TVQ327731 UFM327731 UPI327731 UZE327731 VJA327731 VSW327731 WCS327731 WMO327731 WWK327731 AC393267 JY393267 TU393267 ADQ393267 ANM393267 AXI393267 BHE393267 BRA393267 CAW393267 CKS393267 CUO393267 DEK393267 DOG393267 DYC393267 EHY393267 ERU393267 FBQ393267 FLM393267 FVI393267 GFE393267 GPA393267 GYW393267 HIS393267 HSO393267 ICK393267 IMG393267 IWC393267 JFY393267 JPU393267 JZQ393267 KJM393267 KTI393267 LDE393267 LNA393267 LWW393267 MGS393267 MQO393267 NAK393267 NKG393267 NUC393267 ODY393267 ONU393267 OXQ393267 PHM393267 PRI393267 QBE393267 QLA393267 QUW393267 RES393267 ROO393267 RYK393267 SIG393267 SSC393267 TBY393267 TLU393267 TVQ393267 UFM393267 UPI393267 UZE393267 VJA393267 VSW393267 WCS393267 WMO393267 WWK393267 AC458803 JY458803 TU458803 ADQ458803 ANM458803 AXI458803 BHE458803 BRA458803 CAW458803 CKS458803 CUO458803 DEK458803 DOG458803 DYC458803 EHY458803 ERU458803 FBQ458803 FLM458803 FVI458803 GFE458803 GPA458803 GYW458803 HIS458803 HSO458803 ICK458803 IMG458803 IWC458803 JFY458803 JPU458803 JZQ458803 KJM458803 KTI458803 LDE458803 LNA458803 LWW458803 MGS458803 MQO458803 NAK458803 NKG458803 NUC458803 ODY458803 ONU458803 OXQ458803 PHM458803 PRI458803 QBE458803 QLA458803 QUW458803 RES458803 ROO458803 RYK458803 SIG458803 SSC458803 TBY458803 TLU458803 TVQ458803 UFM458803 UPI458803 UZE458803 VJA458803 VSW458803 WCS458803 WMO458803 WWK458803 AC524339 JY524339 TU524339 ADQ524339 ANM524339 AXI524339 BHE524339 BRA524339 CAW524339 CKS524339 CUO524339 DEK524339 DOG524339 DYC524339 EHY524339 ERU524339 FBQ524339 FLM524339 FVI524339 GFE524339 GPA524339 GYW524339 HIS524339 HSO524339 ICK524339 IMG524339 IWC524339 JFY524339 JPU524339 JZQ524339 KJM524339 KTI524339 LDE524339 LNA524339 LWW524339 MGS524339 MQO524339 NAK524339 NKG524339 NUC524339 ODY524339 ONU524339 OXQ524339 PHM524339 PRI524339 QBE524339 QLA524339 QUW524339 RES524339 ROO524339 RYK524339 SIG524339 SSC524339 TBY524339 TLU524339 TVQ524339 UFM524339 UPI524339 UZE524339 VJA524339 VSW524339 WCS524339 WMO524339 WWK524339 AC589875 JY589875 TU589875 ADQ589875 ANM589875 AXI589875 BHE589875 BRA589875 CAW589875 CKS589875 CUO589875 DEK589875 DOG589875 DYC589875 EHY589875 ERU589875 FBQ589875 FLM589875 FVI589875 GFE589875 GPA589875 GYW589875 HIS589875 HSO589875 ICK589875 IMG589875 IWC589875 JFY589875 JPU589875 JZQ589875 KJM589875 KTI589875 LDE589875 LNA589875 LWW589875 MGS589875 MQO589875 NAK589875 NKG589875 NUC589875 ODY589875 ONU589875 OXQ589875 PHM589875 PRI589875 QBE589875 QLA589875 QUW589875 RES589875 ROO589875 RYK589875 SIG589875 SSC589875 TBY589875 TLU589875 TVQ589875 UFM589875 UPI589875 UZE589875 VJA589875 VSW589875 WCS589875 WMO589875 WWK589875 AC655411 JY655411 TU655411 ADQ655411 ANM655411 AXI655411 BHE655411 BRA655411 CAW655411 CKS655411 CUO655411 DEK655411 DOG655411 DYC655411 EHY655411 ERU655411 FBQ655411 FLM655411 FVI655411 GFE655411 GPA655411 GYW655411 HIS655411 HSO655411 ICK655411 IMG655411 IWC655411 JFY655411 JPU655411 JZQ655411 KJM655411 KTI655411 LDE655411 LNA655411 LWW655411 MGS655411 MQO655411 NAK655411 NKG655411 NUC655411 ODY655411 ONU655411 OXQ655411 PHM655411 PRI655411 QBE655411 QLA655411 QUW655411 RES655411 ROO655411 RYK655411 SIG655411 SSC655411 TBY655411 TLU655411 TVQ655411 UFM655411 UPI655411 UZE655411 VJA655411 VSW655411 WCS655411 WMO655411 WWK655411 AC720947 JY720947 TU720947 ADQ720947 ANM720947 AXI720947 BHE720947 BRA720947 CAW720947 CKS720947 CUO720947 DEK720947 DOG720947 DYC720947 EHY720947 ERU720947 FBQ720947 FLM720947 FVI720947 GFE720947 GPA720947 GYW720947 HIS720947 HSO720947 ICK720947 IMG720947 IWC720947 JFY720947 JPU720947 JZQ720947 KJM720947 KTI720947 LDE720947 LNA720947 LWW720947 MGS720947 MQO720947 NAK720947 NKG720947 NUC720947 ODY720947 ONU720947 OXQ720947 PHM720947 PRI720947 QBE720947 QLA720947 QUW720947 RES720947 ROO720947 RYK720947 SIG720947 SSC720947 TBY720947 TLU720947 TVQ720947 UFM720947 UPI720947 UZE720947 VJA720947 VSW720947 WCS720947 WMO720947 WWK720947 AC786483 JY786483 TU786483 ADQ786483 ANM786483 AXI786483 BHE786483 BRA786483 CAW786483 CKS786483 CUO786483 DEK786483 DOG786483 DYC786483 EHY786483 ERU786483 FBQ786483 FLM786483 FVI786483 GFE786483 GPA786483 GYW786483 HIS786483 HSO786483 ICK786483 IMG786483 IWC786483 JFY786483 JPU786483 JZQ786483 KJM786483 KTI786483 LDE786483 LNA786483 LWW786483 MGS786483 MQO786483 NAK786483 NKG786483 NUC786483 ODY786483 ONU786483 OXQ786483 PHM786483 PRI786483 QBE786483 QLA786483 QUW786483 RES786483 ROO786483 RYK786483 SIG786483 SSC786483 TBY786483 TLU786483 TVQ786483 UFM786483 UPI786483 UZE786483 VJA786483 VSW786483 WCS786483 WMO786483 WWK786483 AC852019 JY852019 TU852019 ADQ852019 ANM852019 AXI852019 BHE852019 BRA852019 CAW852019 CKS852019 CUO852019 DEK852019 DOG852019 DYC852019 EHY852019 ERU852019 FBQ852019 FLM852019 FVI852019 GFE852019 GPA852019 GYW852019 HIS852019 HSO852019 ICK852019 IMG852019 IWC852019 JFY852019 JPU852019 JZQ852019 KJM852019 KTI852019 LDE852019 LNA852019 LWW852019 MGS852019 MQO852019 NAK852019 NKG852019 NUC852019 ODY852019 ONU852019 OXQ852019 PHM852019 PRI852019 QBE852019 QLA852019 QUW852019 RES852019 ROO852019 RYK852019 SIG852019 SSC852019 TBY852019 TLU852019 TVQ852019 UFM852019 UPI852019 UZE852019 VJA852019 VSW852019 WCS852019 WMO852019 WWK852019 AC917555 JY917555 TU917555 ADQ917555 ANM917555 AXI917555 BHE917555 BRA917555 CAW917555 CKS917555 CUO917555 DEK917555 DOG917555 DYC917555 EHY917555 ERU917555 FBQ917555 FLM917555 FVI917555 GFE917555 GPA917555 GYW917555 HIS917555 HSO917555 ICK917555 IMG917555 IWC917555 JFY917555 JPU917555 JZQ917555 KJM917555 KTI917555 LDE917555 LNA917555 LWW917555 MGS917555 MQO917555 NAK917555 NKG917555 NUC917555 ODY917555 ONU917555 OXQ917555 PHM917555 PRI917555 QBE917555 QLA917555 QUW917555 RES917555 ROO917555 RYK917555 SIG917555 SSC917555 TBY917555 TLU917555 TVQ917555 UFM917555 UPI917555 UZE917555 VJA917555 VSW917555 WCS917555 WMO917555 WWK917555 AC983091 JY983091 TU983091 ADQ983091 ANM983091 AXI983091 BHE983091 BRA983091 CAW983091 CKS983091 CUO983091 DEK983091 DOG983091 DYC983091 EHY983091 ERU983091 FBQ983091 FLM983091 FVI983091 GFE983091 GPA983091 GYW983091 HIS983091 HSO983091 ICK983091 IMG983091 IWC983091 JFY983091 JPU983091 JZQ983091 KJM983091 KTI983091 LDE983091 LNA983091 LWW983091 MGS983091 MQO983091 NAK983091 NKG983091 NUC983091 ODY983091 ONU983091 OXQ983091 PHM983091 PRI983091 QBE983091 QLA983091 QUW983091 RES983091 ROO983091 RYK983091 SIG983091 SSC983091 TBY983091 TLU983091 TVQ983091 UFM983091 UPI983091 UZE983091 VJA983091 VSW983091 WCS983091 WMO983091 WWK983091 AA56 JW56 TS56 ADO56 ANK56 AXG56 BHC56 BQY56 CAU56 CKQ56 CUM56 DEI56 DOE56 DYA56 EHW56 ERS56 FBO56 FLK56 FVG56 GFC56 GOY56 GYU56 HIQ56 HSM56 ICI56 IME56 IWA56 JFW56 JPS56 JZO56 KJK56 KTG56 LDC56 LMY56 LWU56 MGQ56 MQM56 NAI56 NKE56 NUA56 ODW56 ONS56 OXO56 PHK56 PRG56 QBC56 QKY56 QUU56 REQ56 ROM56 RYI56 SIE56 SSA56 TBW56 TLS56 TVO56 UFK56 UPG56 UZC56 VIY56 VSU56 WCQ56 WMM56 WWI56 AA65592 JW65592 TS65592 ADO65592 ANK65592 AXG65592 BHC65592 BQY65592 CAU65592 CKQ65592 CUM65592 DEI65592 DOE65592 DYA65592 EHW65592 ERS65592 FBO65592 FLK65592 FVG65592 GFC65592 GOY65592 GYU65592 HIQ65592 HSM65592 ICI65592 IME65592 IWA65592 JFW65592 JPS65592 JZO65592 KJK65592 KTG65592 LDC65592 LMY65592 LWU65592 MGQ65592 MQM65592 NAI65592 NKE65592 NUA65592 ODW65592 ONS65592 OXO65592 PHK65592 PRG65592 QBC65592 QKY65592 QUU65592 REQ65592 ROM65592 RYI65592 SIE65592 SSA65592 TBW65592 TLS65592 TVO65592 UFK65592 UPG65592 UZC65592 VIY65592 VSU65592 WCQ65592 WMM65592 WWI65592 AA131128 JW131128 TS131128 ADO131128 ANK131128 AXG131128 BHC131128 BQY131128 CAU131128 CKQ131128 CUM131128 DEI131128 DOE131128 DYA131128 EHW131128 ERS131128 FBO131128 FLK131128 FVG131128 GFC131128 GOY131128 GYU131128 HIQ131128 HSM131128 ICI131128 IME131128 IWA131128 JFW131128 JPS131128 JZO131128 KJK131128 KTG131128 LDC131128 LMY131128 LWU131128 MGQ131128 MQM131128 NAI131128 NKE131128 NUA131128 ODW131128 ONS131128 OXO131128 PHK131128 PRG131128 QBC131128 QKY131128 QUU131128 REQ131128 ROM131128 RYI131128 SIE131128 SSA131128 TBW131128 TLS131128 TVO131128 UFK131128 UPG131128 UZC131128 VIY131128 VSU131128 WCQ131128 WMM131128 WWI131128 AA196664 JW196664 TS196664 ADO196664 ANK196664 AXG196664 BHC196664 BQY196664 CAU196664 CKQ196664 CUM196664 DEI196664 DOE196664 DYA196664 EHW196664 ERS196664 FBO196664 FLK196664 FVG196664 GFC196664 GOY196664 GYU196664 HIQ196664 HSM196664 ICI196664 IME196664 IWA196664 JFW196664 JPS196664 JZO196664 KJK196664 KTG196664 LDC196664 LMY196664 LWU196664 MGQ196664 MQM196664 NAI196664 NKE196664 NUA196664 ODW196664 ONS196664 OXO196664 PHK196664 PRG196664 QBC196664 QKY196664 QUU196664 REQ196664 ROM196664 RYI196664 SIE196664 SSA196664 TBW196664 TLS196664 TVO196664 UFK196664 UPG196664 UZC196664 VIY196664 VSU196664 WCQ196664 WMM196664 WWI196664 AA262200 JW262200 TS262200 ADO262200 ANK262200 AXG262200 BHC262200 BQY262200 CAU262200 CKQ262200 CUM262200 DEI262200 DOE262200 DYA262200 EHW262200 ERS262200 FBO262200 FLK262200 FVG262200 GFC262200 GOY262200 GYU262200 HIQ262200 HSM262200 ICI262200 IME262200 IWA262200 JFW262200 JPS262200 JZO262200 KJK262200 KTG262200 LDC262200 LMY262200 LWU262200 MGQ262200 MQM262200 NAI262200 NKE262200 NUA262200 ODW262200 ONS262200 OXO262200 PHK262200 PRG262200 QBC262200 QKY262200 QUU262200 REQ262200 ROM262200 RYI262200 SIE262200 SSA262200 TBW262200 TLS262200 TVO262200 UFK262200 UPG262200 UZC262200 VIY262200 VSU262200 WCQ262200 WMM262200 WWI262200 AA327736 JW327736 TS327736 ADO327736 ANK327736 AXG327736 BHC327736 BQY327736 CAU327736 CKQ327736 CUM327736 DEI327736 DOE327736 DYA327736 EHW327736 ERS327736 FBO327736 FLK327736 FVG327736 GFC327736 GOY327736 GYU327736 HIQ327736 HSM327736 ICI327736 IME327736 IWA327736 JFW327736 JPS327736 JZO327736 KJK327736 KTG327736 LDC327736 LMY327736 LWU327736 MGQ327736 MQM327736 NAI327736 NKE327736 NUA327736 ODW327736 ONS327736 OXO327736 PHK327736 PRG327736 QBC327736 QKY327736 QUU327736 REQ327736 ROM327736 RYI327736 SIE327736 SSA327736 TBW327736 TLS327736 TVO327736 UFK327736 UPG327736 UZC327736 VIY327736 VSU327736 WCQ327736 WMM327736 WWI327736 AA393272 JW393272 TS393272 ADO393272 ANK393272 AXG393272 BHC393272 BQY393272 CAU393272 CKQ393272 CUM393272 DEI393272 DOE393272 DYA393272 EHW393272 ERS393272 FBO393272 FLK393272 FVG393272 GFC393272 GOY393272 GYU393272 HIQ393272 HSM393272 ICI393272 IME393272 IWA393272 JFW393272 JPS393272 JZO393272 KJK393272 KTG393272 LDC393272 LMY393272 LWU393272 MGQ393272 MQM393272 NAI393272 NKE393272 NUA393272 ODW393272 ONS393272 OXO393272 PHK393272 PRG393272 QBC393272 QKY393272 QUU393272 REQ393272 ROM393272 RYI393272 SIE393272 SSA393272 TBW393272 TLS393272 TVO393272 UFK393272 UPG393272 UZC393272 VIY393272 VSU393272 WCQ393272 WMM393272 WWI393272 AA458808 JW458808 TS458808 ADO458808 ANK458808 AXG458808 BHC458808 BQY458808 CAU458808 CKQ458808 CUM458808 DEI458808 DOE458808 DYA458808 EHW458808 ERS458808 FBO458808 FLK458808 FVG458808 GFC458808 GOY458808 GYU458808 HIQ458808 HSM458808 ICI458808 IME458808 IWA458808 JFW458808 JPS458808 JZO458808 KJK458808 KTG458808 LDC458808 LMY458808 LWU458808 MGQ458808 MQM458808 NAI458808 NKE458808 NUA458808 ODW458808 ONS458808 OXO458808 PHK458808 PRG458808 QBC458808 QKY458808 QUU458808 REQ458808 ROM458808 RYI458808 SIE458808 SSA458808 TBW458808 TLS458808 TVO458808 UFK458808 UPG458808 UZC458808 VIY458808 VSU458808 WCQ458808 WMM458808 WWI458808 AA524344 JW524344 TS524344 ADO524344 ANK524344 AXG524344 BHC524344 BQY524344 CAU524344 CKQ524344 CUM524344 DEI524344 DOE524344 DYA524344 EHW524344 ERS524344 FBO524344 FLK524344 FVG524344 GFC524344 GOY524344 GYU524344 HIQ524344 HSM524344 ICI524344 IME524344 IWA524344 JFW524344 JPS524344 JZO524344 KJK524344 KTG524344 LDC524344 LMY524344 LWU524344 MGQ524344 MQM524344 NAI524344 NKE524344 NUA524344 ODW524344 ONS524344 OXO524344 PHK524344 PRG524344 QBC524344 QKY524344 QUU524344 REQ524344 ROM524344 RYI524344 SIE524344 SSA524344 TBW524344 TLS524344 TVO524344 UFK524344 UPG524344 UZC524344 VIY524344 VSU524344 WCQ524344 WMM524344 WWI524344 AA589880 JW589880 TS589880 ADO589880 ANK589880 AXG589880 BHC589880 BQY589880 CAU589880 CKQ589880 CUM589880 DEI589880 DOE589880 DYA589880 EHW589880 ERS589880 FBO589880 FLK589880 FVG589880 GFC589880 GOY589880 GYU589880 HIQ589880 HSM589880 ICI589880 IME589880 IWA589880 JFW589880 JPS589880 JZO589880 KJK589880 KTG589880 LDC589880 LMY589880 LWU589880 MGQ589880 MQM589880 NAI589880 NKE589880 NUA589880 ODW589880 ONS589880 OXO589880 PHK589880 PRG589880 QBC589880 QKY589880 QUU589880 REQ589880 ROM589880 RYI589880 SIE589880 SSA589880 TBW589880 TLS589880 TVO589880 UFK589880 UPG589880 UZC589880 VIY589880 VSU589880 WCQ589880 WMM589880 WWI589880 AA655416 JW655416 TS655416 ADO655416 ANK655416 AXG655416 BHC655416 BQY655416 CAU655416 CKQ655416 CUM655416 DEI655416 DOE655416 DYA655416 EHW655416 ERS655416 FBO655416 FLK655416 FVG655416 GFC655416 GOY655416 GYU655416 HIQ655416 HSM655416 ICI655416 IME655416 IWA655416 JFW655416 JPS655416 JZO655416 KJK655416 KTG655416 LDC655416 LMY655416 LWU655416 MGQ655416 MQM655416 NAI655416 NKE655416 NUA655416 ODW655416 ONS655416 OXO655416 PHK655416 PRG655416 QBC655416 QKY655416 QUU655416 REQ655416 ROM655416 RYI655416 SIE655416 SSA655416 TBW655416 TLS655416 TVO655416 UFK655416 UPG655416 UZC655416 VIY655416 VSU655416 WCQ655416 WMM655416 WWI655416 AA720952 JW720952 TS720952 ADO720952 ANK720952 AXG720952 BHC720952 BQY720952 CAU720952 CKQ720952 CUM720952 DEI720952 DOE720952 DYA720952 EHW720952 ERS720952 FBO720952 FLK720952 FVG720952 GFC720952 GOY720952 GYU720952 HIQ720952 HSM720952 ICI720952 IME720952 IWA720952 JFW720952 JPS720952 JZO720952 KJK720952 KTG720952 LDC720952 LMY720952 LWU720952 MGQ720952 MQM720952 NAI720952 NKE720952 NUA720952 ODW720952 ONS720952 OXO720952 PHK720952 PRG720952 QBC720952 QKY720952 QUU720952 REQ720952 ROM720952 RYI720952 SIE720952 SSA720952 TBW720952 TLS720952 TVO720952 UFK720952 UPG720952 UZC720952 VIY720952 VSU720952 WCQ720952 WMM720952 WWI720952 AA786488 JW786488 TS786488 ADO786488 ANK786488 AXG786488 BHC786488 BQY786488 CAU786488 CKQ786488 CUM786488 DEI786488 DOE786488 DYA786488 EHW786488 ERS786488 FBO786488 FLK786488 FVG786488 GFC786488 GOY786488 GYU786488 HIQ786488 HSM786488 ICI786488 IME786488 IWA786488 JFW786488 JPS786488 JZO786488 KJK786488 KTG786488 LDC786488 LMY786488 LWU786488 MGQ786488 MQM786488 NAI786488 NKE786488 NUA786488 ODW786488 ONS786488 OXO786488 PHK786488 PRG786488 QBC786488 QKY786488 QUU786488 REQ786488 ROM786488 RYI786488 SIE786488 SSA786488 TBW786488 TLS786488 TVO786488 UFK786488 UPG786488 UZC786488 VIY786488 VSU786488 WCQ786488 WMM786488 WWI786488 AA852024 JW852024 TS852024 ADO852024 ANK852024 AXG852024 BHC852024 BQY852024 CAU852024 CKQ852024 CUM852024 DEI852024 DOE852024 DYA852024 EHW852024 ERS852024 FBO852024 FLK852024 FVG852024 GFC852024 GOY852024 GYU852024 HIQ852024 HSM852024 ICI852024 IME852024 IWA852024 JFW852024 JPS852024 JZO852024 KJK852024 KTG852024 LDC852024 LMY852024 LWU852024 MGQ852024 MQM852024 NAI852024 NKE852024 NUA852024 ODW852024 ONS852024 OXO852024 PHK852024 PRG852024 QBC852024 QKY852024 QUU852024 REQ852024 ROM852024 RYI852024 SIE852024 SSA852024 TBW852024 TLS852024 TVO852024 UFK852024 UPG852024 UZC852024 VIY852024 VSU852024 WCQ852024 WMM852024 WWI852024 AA917560 JW917560 TS917560 ADO917560 ANK917560 AXG917560 BHC917560 BQY917560 CAU917560 CKQ917560 CUM917560 DEI917560 DOE917560 DYA917560 EHW917560 ERS917560 FBO917560 FLK917560 FVG917560 GFC917560 GOY917560 GYU917560 HIQ917560 HSM917560 ICI917560 IME917560 IWA917560 JFW917560 JPS917560 JZO917560 KJK917560 KTG917560 LDC917560 LMY917560 LWU917560 MGQ917560 MQM917560 NAI917560 NKE917560 NUA917560 ODW917560 ONS917560 OXO917560 PHK917560 PRG917560 QBC917560 QKY917560 QUU917560 REQ917560 ROM917560 RYI917560 SIE917560 SSA917560 TBW917560 TLS917560 TVO917560 UFK917560 UPG917560 UZC917560 VIY917560 VSU917560 WCQ917560 WMM917560 WWI917560 AA983096 JW983096 TS983096 ADO983096 ANK983096 AXG983096 BHC983096 BQY983096 CAU983096 CKQ983096 CUM983096 DEI983096 DOE983096 DYA983096 EHW983096 ERS983096 FBO983096 FLK983096 FVG983096 GFC983096 GOY983096 GYU983096 HIQ983096 HSM983096 ICI983096 IME983096 IWA983096 JFW983096 JPS983096 JZO983096 KJK983096 KTG983096 LDC983096 LMY983096 LWU983096 MGQ983096 MQM983096 NAI983096 NKE983096 NUA983096 ODW983096 ONS983096 OXO983096 PHK983096 PRG983096 QBC983096 QKY983096 QUU983096 REQ983096 ROM983096 RYI983096 SIE983096 SSA983096 TBW983096 TLS983096 TVO983096 UFK983096 UPG983096 UZC983096 VIY983096 VSU983096 WCQ983096 WMM983096 WWI983096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EE998-FBBA-4676-A959-9CC8D934B63E}">
  <sheetPr>
    <tabColor rgb="FFFFFF00"/>
    <pageSetUpPr fitToPage="1"/>
  </sheetPr>
  <dimension ref="B1:AD123"/>
  <sheetViews>
    <sheetView view="pageBreakPreview" zoomScaleNormal="100" zoomScaleSheetLayoutView="100" workbookViewId="0"/>
  </sheetViews>
  <sheetFormatPr defaultColWidth="3.44140625" defaultRowHeight="13.2"/>
  <cols>
    <col min="1" max="1" width="1.21875" style="3" customWidth="1"/>
    <col min="2" max="2" width="3.109375" style="616" customWidth="1"/>
    <col min="3" max="30" width="3.109375" style="3" customWidth="1"/>
    <col min="31" max="31" width="1.21875" style="3" customWidth="1"/>
    <col min="32" max="16384" width="3.44140625" style="3"/>
  </cols>
  <sheetData>
    <row r="1" spans="2:30" s="1" customFormat="1"/>
    <row r="2" spans="2:30" s="1" customFormat="1">
      <c r="B2" s="1" t="s">
        <v>1712</v>
      </c>
    </row>
    <row r="3" spans="2:30" s="1" customFormat="1">
      <c r="U3" s="45" t="s">
        <v>544</v>
      </c>
      <c r="V3" s="1575"/>
      <c r="W3" s="1575"/>
      <c r="X3" s="45" t="s">
        <v>34</v>
      </c>
      <c r="Y3" s="1575"/>
      <c r="Z3" s="1575"/>
      <c r="AA3" s="45" t="s">
        <v>392</v>
      </c>
      <c r="AB3" s="1575"/>
      <c r="AC3" s="1575"/>
      <c r="AD3" s="45" t="s">
        <v>241</v>
      </c>
    </row>
    <row r="4" spans="2:30" s="1" customFormat="1">
      <c r="AD4" s="45"/>
    </row>
    <row r="5" spans="2:30" s="1" customFormat="1">
      <c r="B5" s="1575" t="s">
        <v>808</v>
      </c>
      <c r="C5" s="1575"/>
      <c r="D5" s="1575"/>
      <c r="E5" s="1575"/>
      <c r="F5" s="1575"/>
      <c r="G5" s="1575"/>
      <c r="H5" s="1575"/>
      <c r="I5" s="1575"/>
      <c r="J5" s="1575"/>
      <c r="K5" s="1575"/>
      <c r="L5" s="1575"/>
      <c r="M5" s="1575"/>
      <c r="N5" s="1575"/>
      <c r="O5" s="1575"/>
      <c r="P5" s="1575"/>
      <c r="Q5" s="1575"/>
      <c r="R5" s="1575"/>
      <c r="S5" s="1575"/>
      <c r="T5" s="1575"/>
      <c r="U5" s="1575"/>
      <c r="V5" s="1575"/>
      <c r="W5" s="1575"/>
      <c r="X5" s="1575"/>
      <c r="Y5" s="1575"/>
      <c r="Z5" s="1575"/>
      <c r="AA5" s="1575"/>
      <c r="AB5" s="1575"/>
      <c r="AC5" s="1575"/>
      <c r="AD5" s="1575"/>
    </row>
    <row r="6" spans="2:30" s="1" customFormat="1" ht="28.5" customHeight="1">
      <c r="B6" s="1814" t="s">
        <v>809</v>
      </c>
      <c r="C6" s="1814"/>
      <c r="D6" s="1814"/>
      <c r="E6" s="1814"/>
      <c r="F6" s="1814"/>
      <c r="G6" s="1814"/>
      <c r="H6" s="1814"/>
      <c r="I6" s="1814"/>
      <c r="J6" s="1814"/>
      <c r="K6" s="1814"/>
      <c r="L6" s="1814"/>
      <c r="M6" s="1814"/>
      <c r="N6" s="1814"/>
      <c r="O6" s="1814"/>
      <c r="P6" s="1814"/>
      <c r="Q6" s="1814"/>
      <c r="R6" s="1814"/>
      <c r="S6" s="1814"/>
      <c r="T6" s="1814"/>
      <c r="U6" s="1814"/>
      <c r="V6" s="1814"/>
      <c r="W6" s="1814"/>
      <c r="X6" s="1814"/>
      <c r="Y6" s="1814"/>
      <c r="Z6" s="1814"/>
      <c r="AA6" s="1814"/>
      <c r="AB6" s="1814"/>
      <c r="AC6" s="1814"/>
      <c r="AD6" s="1814"/>
    </row>
    <row r="7" spans="2:30" s="1" customFormat="1"/>
    <row r="8" spans="2:30" s="1" customFormat="1" ht="23.25" customHeight="1">
      <c r="B8" s="1861" t="s">
        <v>196</v>
      </c>
      <c r="C8" s="1861"/>
      <c r="D8" s="1861"/>
      <c r="E8" s="1861"/>
      <c r="F8" s="1789"/>
      <c r="G8" s="1862"/>
      <c r="H8" s="1863"/>
      <c r="I8" s="1863"/>
      <c r="J8" s="1863"/>
      <c r="K8" s="1863"/>
      <c r="L8" s="1863"/>
      <c r="M8" s="1863"/>
      <c r="N8" s="1863"/>
      <c r="O8" s="1863"/>
      <c r="P8" s="1863"/>
      <c r="Q8" s="1863"/>
      <c r="R8" s="1863"/>
      <c r="S8" s="1863"/>
      <c r="T8" s="1863"/>
      <c r="U8" s="1863"/>
      <c r="V8" s="1863"/>
      <c r="W8" s="1863"/>
      <c r="X8" s="1863"/>
      <c r="Y8" s="1863"/>
      <c r="Z8" s="1863"/>
      <c r="AA8" s="1863"/>
      <c r="AB8" s="1863"/>
      <c r="AC8" s="1863"/>
      <c r="AD8" s="1864"/>
    </row>
    <row r="9" spans="2:30" ht="23.25" customHeight="1">
      <c r="B9" s="1789" t="s">
        <v>93</v>
      </c>
      <c r="C9" s="1790"/>
      <c r="D9" s="1790"/>
      <c r="E9" s="1790"/>
      <c r="F9" s="1790"/>
      <c r="G9" s="719" t="s">
        <v>121</v>
      </c>
      <c r="H9" s="639" t="s">
        <v>1173</v>
      </c>
      <c r="I9" s="639"/>
      <c r="J9" s="639"/>
      <c r="K9" s="639"/>
      <c r="L9" s="641" t="s">
        <v>121</v>
      </c>
      <c r="M9" s="639" t="s">
        <v>1174</v>
      </c>
      <c r="N9" s="639"/>
      <c r="O9" s="639"/>
      <c r="P9" s="639"/>
      <c r="Q9" s="641" t="s">
        <v>121</v>
      </c>
      <c r="R9" s="639" t="s">
        <v>1175</v>
      </c>
      <c r="S9" s="642"/>
      <c r="T9" s="642"/>
      <c r="U9" s="642"/>
      <c r="V9" s="642"/>
      <c r="W9" s="642"/>
      <c r="X9" s="642"/>
      <c r="Y9" s="642"/>
      <c r="Z9" s="642"/>
      <c r="AA9" s="642"/>
      <c r="AB9" s="642"/>
      <c r="AC9" s="642"/>
      <c r="AD9" s="741"/>
    </row>
    <row r="10" spans="2:30" ht="23.25" customHeight="1">
      <c r="B10" s="1803" t="s">
        <v>810</v>
      </c>
      <c r="C10" s="1804"/>
      <c r="D10" s="1804"/>
      <c r="E10" s="1804"/>
      <c r="F10" s="1805"/>
      <c r="G10" s="641" t="s">
        <v>121</v>
      </c>
      <c r="H10" s="7" t="s">
        <v>1713</v>
      </c>
      <c r="I10" s="22"/>
      <c r="J10" s="22"/>
      <c r="K10" s="22"/>
      <c r="L10" s="22"/>
      <c r="M10" s="22"/>
      <c r="N10" s="7"/>
      <c r="O10" s="22"/>
      <c r="P10" s="641" t="s">
        <v>121</v>
      </c>
      <c r="Q10" s="7" t="s">
        <v>1714</v>
      </c>
      <c r="R10" s="22"/>
      <c r="S10" s="7"/>
      <c r="T10" s="644"/>
      <c r="U10" s="644"/>
      <c r="V10" s="644"/>
      <c r="W10" s="644"/>
      <c r="X10" s="644"/>
      <c r="Y10" s="644"/>
      <c r="Z10" s="644"/>
      <c r="AA10" s="644"/>
      <c r="AB10" s="644"/>
      <c r="AC10" s="644"/>
      <c r="AD10" s="744"/>
    </row>
    <row r="11" spans="2:30" ht="23.25" customHeight="1">
      <c r="B11" s="1806"/>
      <c r="C11" s="1807"/>
      <c r="D11" s="1807"/>
      <c r="E11" s="1807"/>
      <c r="F11" s="1808"/>
      <c r="G11" s="747" t="s">
        <v>121</v>
      </c>
      <c r="H11" s="8" t="s">
        <v>1715</v>
      </c>
      <c r="I11" s="645"/>
      <c r="J11" s="645"/>
      <c r="K11" s="645"/>
      <c r="L11" s="645"/>
      <c r="M11" s="645"/>
      <c r="N11" s="645"/>
      <c r="O11" s="645"/>
      <c r="P11" s="641" t="s">
        <v>121</v>
      </c>
      <c r="Q11" s="8" t="s">
        <v>1716</v>
      </c>
      <c r="R11" s="645"/>
      <c r="S11" s="647"/>
      <c r="T11" s="647"/>
      <c r="U11" s="647"/>
      <c r="V11" s="647"/>
      <c r="W11" s="647"/>
      <c r="X11" s="647"/>
      <c r="Y11" s="647"/>
      <c r="Z11" s="647"/>
      <c r="AA11" s="647"/>
      <c r="AB11" s="647"/>
      <c r="AC11" s="647"/>
      <c r="AD11" s="748"/>
    </row>
    <row r="12" spans="2:30" ht="23.25" customHeight="1">
      <c r="B12" s="1803" t="s">
        <v>811</v>
      </c>
      <c r="C12" s="1804"/>
      <c r="D12" s="1804"/>
      <c r="E12" s="1804"/>
      <c r="F12" s="1805"/>
      <c r="G12" s="641" t="s">
        <v>121</v>
      </c>
      <c r="H12" s="7" t="s">
        <v>1627</v>
      </c>
      <c r="I12" s="22"/>
      <c r="J12" s="22"/>
      <c r="K12" s="22"/>
      <c r="L12" s="22"/>
      <c r="M12" s="22"/>
      <c r="N12" s="22"/>
      <c r="O12" s="22"/>
      <c r="P12" s="22"/>
      <c r="Q12" s="22"/>
      <c r="R12" s="22"/>
      <c r="S12" s="641" t="s">
        <v>121</v>
      </c>
      <c r="T12" s="7" t="s">
        <v>1628</v>
      </c>
      <c r="U12" s="644"/>
      <c r="V12" s="644"/>
      <c r="W12" s="644"/>
      <c r="X12" s="644"/>
      <c r="Y12" s="644"/>
      <c r="Z12" s="644"/>
      <c r="AA12" s="644"/>
      <c r="AB12" s="644"/>
      <c r="AC12" s="644"/>
      <c r="AD12" s="744"/>
    </row>
    <row r="13" spans="2:30" ht="23.25" customHeight="1">
      <c r="B13" s="1806"/>
      <c r="C13" s="1807"/>
      <c r="D13" s="1807"/>
      <c r="E13" s="1807"/>
      <c r="F13" s="1808"/>
      <c r="G13" s="747" t="s">
        <v>121</v>
      </c>
      <c r="H13" s="8" t="s">
        <v>1629</v>
      </c>
      <c r="I13" s="645"/>
      <c r="J13" s="645"/>
      <c r="K13" s="645"/>
      <c r="L13" s="645"/>
      <c r="M13" s="645"/>
      <c r="N13" s="645"/>
      <c r="O13" s="645"/>
      <c r="P13" s="645"/>
      <c r="Q13" s="645"/>
      <c r="R13" s="645"/>
      <c r="S13" s="647"/>
      <c r="T13" s="647"/>
      <c r="U13" s="647"/>
      <c r="V13" s="647"/>
      <c r="W13" s="647"/>
      <c r="X13" s="647"/>
      <c r="Y13" s="647"/>
      <c r="Z13" s="647"/>
      <c r="AA13" s="647"/>
      <c r="AB13" s="647"/>
      <c r="AC13" s="647"/>
      <c r="AD13" s="748"/>
    </row>
    <row r="14" spans="2:30" s="1" customFormat="1"/>
    <row r="15" spans="2:30" s="1" customFormat="1">
      <c r="B15" s="1" t="s">
        <v>812</v>
      </c>
    </row>
    <row r="16" spans="2:30" s="1" customFormat="1">
      <c r="B16" s="1" t="s">
        <v>813</v>
      </c>
      <c r="AC16" s="2"/>
      <c r="AD16" s="2"/>
    </row>
    <row r="17" spans="2:30" s="1" customFormat="1" ht="6" customHeight="1"/>
    <row r="18" spans="2:30" s="1" customFormat="1" ht="4.5" customHeight="1">
      <c r="B18" s="1584" t="s">
        <v>814</v>
      </c>
      <c r="C18" s="1585"/>
      <c r="D18" s="1585"/>
      <c r="E18" s="1585"/>
      <c r="F18" s="1586"/>
      <c r="G18" s="6"/>
      <c r="H18" s="7"/>
      <c r="I18" s="7"/>
      <c r="J18" s="7"/>
      <c r="K18" s="7"/>
      <c r="L18" s="7"/>
      <c r="M18" s="7"/>
      <c r="N18" s="7"/>
      <c r="O18" s="7"/>
      <c r="P18" s="7"/>
      <c r="Q18" s="7"/>
      <c r="R18" s="7"/>
      <c r="S18" s="7"/>
      <c r="T18" s="7"/>
      <c r="U18" s="7"/>
      <c r="V18" s="7"/>
      <c r="W18" s="7"/>
      <c r="X18" s="7"/>
      <c r="Y18" s="7"/>
      <c r="Z18" s="6"/>
      <c r="AA18" s="7"/>
      <c r="AB18" s="7"/>
      <c r="AC18" s="1879"/>
      <c r="AD18" s="1880"/>
    </row>
    <row r="19" spans="2:30" s="1" customFormat="1" ht="15.75" customHeight="1">
      <c r="B19" s="1866"/>
      <c r="C19" s="1814"/>
      <c r="D19" s="1814"/>
      <c r="E19" s="1814"/>
      <c r="F19" s="1867"/>
      <c r="G19" s="408"/>
      <c r="H19" s="1" t="s">
        <v>815</v>
      </c>
      <c r="Z19" s="850"/>
      <c r="AA19" s="653" t="s">
        <v>1118</v>
      </c>
      <c r="AB19" s="653" t="s">
        <v>440</v>
      </c>
      <c r="AC19" s="653" t="s">
        <v>674</v>
      </c>
      <c r="AD19" s="617"/>
    </row>
    <row r="20" spans="2:30" s="1" customFormat="1" ht="18.75" customHeight="1">
      <c r="B20" s="1866"/>
      <c r="C20" s="1814"/>
      <c r="D20" s="1814"/>
      <c r="E20" s="1814"/>
      <c r="F20" s="1867"/>
      <c r="G20" s="408"/>
      <c r="I20" s="613" t="s">
        <v>107</v>
      </c>
      <c r="J20" s="1835" t="s">
        <v>816</v>
      </c>
      <c r="K20" s="1836"/>
      <c r="L20" s="1836"/>
      <c r="M20" s="1836"/>
      <c r="N20" s="1836"/>
      <c r="O20" s="1836"/>
      <c r="P20" s="1836"/>
      <c r="Q20" s="1836"/>
      <c r="R20" s="1836"/>
      <c r="S20" s="1836"/>
      <c r="T20" s="1836"/>
      <c r="U20" s="10"/>
      <c r="V20" s="1872"/>
      <c r="W20" s="1873"/>
      <c r="X20" s="11" t="s">
        <v>89</v>
      </c>
      <c r="Z20" s="625"/>
      <c r="AA20" s="614"/>
      <c r="AB20" s="12"/>
      <c r="AC20" s="614"/>
      <c r="AD20" s="617"/>
    </row>
    <row r="21" spans="2:30" s="1" customFormat="1" ht="18.75" customHeight="1">
      <c r="B21" s="1866"/>
      <c r="C21" s="1814"/>
      <c r="D21" s="1814"/>
      <c r="E21" s="1814"/>
      <c r="F21" s="1867"/>
      <c r="G21" s="408"/>
      <c r="I21" s="613" t="s">
        <v>104</v>
      </c>
      <c r="J21" s="738" t="s">
        <v>817</v>
      </c>
      <c r="K21" s="10"/>
      <c r="L21" s="10"/>
      <c r="M21" s="10"/>
      <c r="N21" s="10"/>
      <c r="O21" s="10"/>
      <c r="P21" s="10"/>
      <c r="Q21" s="10"/>
      <c r="R21" s="10"/>
      <c r="S21" s="10"/>
      <c r="T21" s="10"/>
      <c r="U21" s="11"/>
      <c r="V21" s="1874"/>
      <c r="W21" s="1875"/>
      <c r="X21" s="424" t="s">
        <v>89</v>
      </c>
      <c r="Y21" s="773"/>
      <c r="Z21" s="625"/>
      <c r="AA21" s="641" t="s">
        <v>121</v>
      </c>
      <c r="AB21" s="641" t="s">
        <v>440</v>
      </c>
      <c r="AC21" s="641" t="s">
        <v>121</v>
      </c>
      <c r="AD21" s="617"/>
    </row>
    <row r="22" spans="2:30" s="1" customFormat="1">
      <c r="B22" s="1866"/>
      <c r="C22" s="1814"/>
      <c r="D22" s="1814"/>
      <c r="E22" s="1814"/>
      <c r="F22" s="1867"/>
      <c r="G22" s="408"/>
      <c r="H22" s="1" t="s">
        <v>286</v>
      </c>
      <c r="Z22" s="408"/>
      <c r="AC22" s="2"/>
      <c r="AD22" s="617"/>
    </row>
    <row r="23" spans="2:30" s="1" customFormat="1" ht="15.75" customHeight="1">
      <c r="B23" s="1866"/>
      <c r="C23" s="1814"/>
      <c r="D23" s="1814"/>
      <c r="E23" s="1814"/>
      <c r="F23" s="1867"/>
      <c r="G23" s="408"/>
      <c r="H23" s="1" t="s">
        <v>818</v>
      </c>
      <c r="T23" s="773"/>
      <c r="V23" s="773"/>
      <c r="Z23" s="625"/>
      <c r="AA23" s="2"/>
      <c r="AB23" s="2"/>
      <c r="AC23" s="2"/>
      <c r="AD23" s="617"/>
    </row>
    <row r="24" spans="2:30" s="1" customFormat="1" ht="30" customHeight="1">
      <c r="B24" s="1866"/>
      <c r="C24" s="1814"/>
      <c r="D24" s="1814"/>
      <c r="E24" s="1814"/>
      <c r="F24" s="1867"/>
      <c r="G24" s="408"/>
      <c r="I24" s="613" t="s">
        <v>211</v>
      </c>
      <c r="J24" s="1835" t="s">
        <v>819</v>
      </c>
      <c r="K24" s="1836"/>
      <c r="L24" s="1836"/>
      <c r="M24" s="1836"/>
      <c r="N24" s="1836"/>
      <c r="O24" s="1836"/>
      <c r="P24" s="1836"/>
      <c r="Q24" s="1836"/>
      <c r="R24" s="1836"/>
      <c r="S24" s="1836"/>
      <c r="T24" s="1836"/>
      <c r="U24" s="1881"/>
      <c r="V24" s="1872"/>
      <c r="W24" s="1873"/>
      <c r="X24" s="11" t="s">
        <v>89</v>
      </c>
      <c r="Y24" s="773"/>
      <c r="Z24" s="625"/>
      <c r="AA24" s="641" t="s">
        <v>121</v>
      </c>
      <c r="AB24" s="641" t="s">
        <v>440</v>
      </c>
      <c r="AC24" s="641" t="s">
        <v>121</v>
      </c>
      <c r="AD24" s="617"/>
    </row>
    <row r="25" spans="2:30" s="1" customFormat="1" ht="6" customHeight="1">
      <c r="B25" s="1868"/>
      <c r="C25" s="1869"/>
      <c r="D25" s="1869"/>
      <c r="E25" s="1869"/>
      <c r="F25" s="1870"/>
      <c r="G25" s="409"/>
      <c r="H25" s="8"/>
      <c r="I25" s="8"/>
      <c r="J25" s="8"/>
      <c r="K25" s="8"/>
      <c r="L25" s="8"/>
      <c r="M25" s="8"/>
      <c r="N25" s="8"/>
      <c r="O25" s="8"/>
      <c r="P25" s="8"/>
      <c r="Q25" s="8"/>
      <c r="R25" s="8"/>
      <c r="S25" s="8"/>
      <c r="T25" s="786"/>
      <c r="U25" s="786"/>
      <c r="V25" s="8"/>
      <c r="W25" s="8"/>
      <c r="X25" s="8"/>
      <c r="Y25" s="8"/>
      <c r="Z25" s="409"/>
      <c r="AA25" s="8"/>
      <c r="AB25" s="8"/>
      <c r="AC25" s="645"/>
      <c r="AD25" s="632"/>
    </row>
    <row r="26" spans="2:30" s="1" customFormat="1" ht="9.75" customHeight="1">
      <c r="B26" s="599"/>
      <c r="C26" s="599"/>
      <c r="D26" s="599"/>
      <c r="E26" s="599"/>
      <c r="F26" s="599"/>
      <c r="T26" s="773"/>
      <c r="U26" s="773"/>
    </row>
    <row r="27" spans="2:30" s="1" customFormat="1">
      <c r="B27" s="1" t="s">
        <v>820</v>
      </c>
      <c r="C27" s="599"/>
      <c r="D27" s="599"/>
      <c r="E27" s="599"/>
      <c r="F27" s="599"/>
      <c r="T27" s="773"/>
      <c r="U27" s="773"/>
    </row>
    <row r="28" spans="2:30" s="1" customFormat="1" ht="6.75" customHeight="1">
      <c r="B28" s="599"/>
      <c r="C28" s="599"/>
      <c r="D28" s="599"/>
      <c r="E28" s="599"/>
      <c r="F28" s="599"/>
      <c r="T28" s="773"/>
      <c r="U28" s="773"/>
    </row>
    <row r="29" spans="2:30" s="1" customFormat="1" ht="4.5" customHeight="1">
      <c r="B29" s="1584" t="s">
        <v>814</v>
      </c>
      <c r="C29" s="1585"/>
      <c r="D29" s="1585"/>
      <c r="E29" s="1585"/>
      <c r="F29" s="1586"/>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1866"/>
      <c r="C30" s="1814"/>
      <c r="D30" s="1814"/>
      <c r="E30" s="1814"/>
      <c r="F30" s="1867"/>
      <c r="G30" s="408"/>
      <c r="H30" s="1" t="s">
        <v>821</v>
      </c>
      <c r="Z30" s="408"/>
      <c r="AA30" s="653" t="s">
        <v>1118</v>
      </c>
      <c r="AB30" s="653" t="s">
        <v>440</v>
      </c>
      <c r="AC30" s="653" t="s">
        <v>674</v>
      </c>
      <c r="AD30" s="783"/>
    </row>
    <row r="31" spans="2:30" s="1" customFormat="1" ht="18.75" customHeight="1">
      <c r="B31" s="1866"/>
      <c r="C31" s="1814"/>
      <c r="D31" s="1814"/>
      <c r="E31" s="1814"/>
      <c r="F31" s="1867"/>
      <c r="G31" s="408"/>
      <c r="I31" s="613" t="s">
        <v>107</v>
      </c>
      <c r="J31" s="1835" t="s">
        <v>816</v>
      </c>
      <c r="K31" s="1836"/>
      <c r="L31" s="1836"/>
      <c r="M31" s="1836"/>
      <c r="N31" s="1836"/>
      <c r="O31" s="1836"/>
      <c r="P31" s="1836"/>
      <c r="Q31" s="1836"/>
      <c r="R31" s="1836"/>
      <c r="S31" s="1836"/>
      <c r="T31" s="1836"/>
      <c r="U31" s="11"/>
      <c r="V31" s="1872"/>
      <c r="W31" s="1873"/>
      <c r="X31" s="11" t="s">
        <v>89</v>
      </c>
      <c r="Z31" s="408"/>
      <c r="AA31" s="614"/>
      <c r="AB31" s="12"/>
      <c r="AC31" s="614"/>
      <c r="AD31" s="617"/>
    </row>
    <row r="32" spans="2:30" s="1" customFormat="1" ht="18.75" customHeight="1">
      <c r="B32" s="1866"/>
      <c r="C32" s="1814"/>
      <c r="D32" s="1814"/>
      <c r="E32" s="1814"/>
      <c r="F32" s="1867"/>
      <c r="G32" s="408"/>
      <c r="I32" s="784" t="s">
        <v>104</v>
      </c>
      <c r="J32" s="851" t="s">
        <v>817</v>
      </c>
      <c r="K32" s="8"/>
      <c r="L32" s="8"/>
      <c r="M32" s="8"/>
      <c r="N32" s="8"/>
      <c r="O32" s="8"/>
      <c r="P32" s="8"/>
      <c r="Q32" s="8"/>
      <c r="R32" s="8"/>
      <c r="S32" s="8"/>
      <c r="T32" s="8"/>
      <c r="U32" s="424"/>
      <c r="V32" s="1874"/>
      <c r="W32" s="1875"/>
      <c r="X32" s="424" t="s">
        <v>89</v>
      </c>
      <c r="Y32" s="773"/>
      <c r="Z32" s="625"/>
      <c r="AA32" s="641" t="s">
        <v>121</v>
      </c>
      <c r="AB32" s="641" t="s">
        <v>440</v>
      </c>
      <c r="AC32" s="641" t="s">
        <v>121</v>
      </c>
      <c r="AD32" s="617"/>
    </row>
    <row r="33" spans="2:30" s="1" customFormat="1" ht="6" customHeight="1">
      <c r="B33" s="1868"/>
      <c r="C33" s="1869"/>
      <c r="D33" s="1869"/>
      <c r="E33" s="1869"/>
      <c r="F33" s="1870"/>
      <c r="G33" s="409"/>
      <c r="H33" s="8"/>
      <c r="I33" s="8"/>
      <c r="J33" s="8"/>
      <c r="K33" s="8"/>
      <c r="L33" s="8"/>
      <c r="M33" s="8"/>
      <c r="N33" s="8"/>
      <c r="O33" s="8"/>
      <c r="P33" s="8"/>
      <c r="Q33" s="8"/>
      <c r="R33" s="8"/>
      <c r="S33" s="8"/>
      <c r="T33" s="786"/>
      <c r="U33" s="786"/>
      <c r="V33" s="8"/>
      <c r="W33" s="8"/>
      <c r="X33" s="8"/>
      <c r="Y33" s="8"/>
      <c r="Z33" s="409"/>
      <c r="AA33" s="8"/>
      <c r="AB33" s="8"/>
      <c r="AC33" s="645"/>
      <c r="AD33" s="632"/>
    </row>
    <row r="34" spans="2:30" s="1" customFormat="1" ht="9.75" customHeight="1">
      <c r="B34" s="599"/>
      <c r="C34" s="599"/>
      <c r="D34" s="599"/>
      <c r="E34" s="599"/>
      <c r="F34" s="599"/>
      <c r="T34" s="773"/>
      <c r="U34" s="773"/>
    </row>
    <row r="35" spans="2:30" s="1" customFormat="1" ht="13.5" customHeight="1">
      <c r="B35" s="1" t="s">
        <v>822</v>
      </c>
      <c r="C35" s="599"/>
      <c r="D35" s="599"/>
      <c r="E35" s="599"/>
      <c r="F35" s="599"/>
      <c r="T35" s="773"/>
      <c r="U35" s="773"/>
    </row>
    <row r="36" spans="2:30" s="1" customFormat="1" ht="6.75" customHeight="1">
      <c r="B36" s="599"/>
      <c r="C36" s="599"/>
      <c r="D36" s="599"/>
      <c r="E36" s="599"/>
      <c r="F36" s="599"/>
      <c r="T36" s="773"/>
      <c r="U36" s="773"/>
    </row>
    <row r="37" spans="2:30" s="1" customFormat="1" ht="4.5" customHeight="1">
      <c r="B37" s="1584" t="s">
        <v>814</v>
      </c>
      <c r="C37" s="1585"/>
      <c r="D37" s="1585"/>
      <c r="E37" s="1585"/>
      <c r="F37" s="1586"/>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1868"/>
      <c r="C38" s="1869"/>
      <c r="D38" s="1869"/>
      <c r="E38" s="1869"/>
      <c r="F38" s="1870"/>
      <c r="G38" s="408"/>
      <c r="H38" s="1" t="s">
        <v>823</v>
      </c>
      <c r="I38" s="8"/>
      <c r="J38" s="8"/>
      <c r="K38" s="8"/>
      <c r="L38" s="8"/>
      <c r="M38" s="8"/>
      <c r="N38" s="8"/>
      <c r="O38" s="8"/>
      <c r="P38" s="8"/>
      <c r="Q38" s="8"/>
      <c r="R38" s="8"/>
      <c r="S38" s="8"/>
      <c r="T38" s="8"/>
      <c r="U38" s="8"/>
      <c r="V38" s="8"/>
      <c r="W38" s="8"/>
      <c r="X38" s="8"/>
      <c r="Z38" s="408"/>
      <c r="AA38" s="653" t="s">
        <v>1118</v>
      </c>
      <c r="AB38" s="653" t="s">
        <v>440</v>
      </c>
      <c r="AC38" s="653" t="s">
        <v>674</v>
      </c>
      <c r="AD38" s="783"/>
    </row>
    <row r="39" spans="2:30" s="1" customFormat="1" ht="18.75" customHeight="1">
      <c r="B39" s="1866"/>
      <c r="C39" s="1585"/>
      <c r="D39" s="1814"/>
      <c r="E39" s="1814"/>
      <c r="F39" s="1867"/>
      <c r="G39" s="408"/>
      <c r="I39" s="784" t="s">
        <v>107</v>
      </c>
      <c r="J39" s="1876" t="s">
        <v>816</v>
      </c>
      <c r="K39" s="1877"/>
      <c r="L39" s="1877"/>
      <c r="M39" s="1877"/>
      <c r="N39" s="1877"/>
      <c r="O39" s="1877"/>
      <c r="P39" s="1877"/>
      <c r="Q39" s="1877"/>
      <c r="R39" s="1877"/>
      <c r="S39" s="1877"/>
      <c r="T39" s="1877"/>
      <c r="U39" s="424"/>
      <c r="V39" s="1878"/>
      <c r="W39" s="1874"/>
      <c r="X39" s="424" t="s">
        <v>89</v>
      </c>
      <c r="Z39" s="408"/>
      <c r="AA39" s="614"/>
      <c r="AB39" s="12"/>
      <c r="AC39" s="614"/>
      <c r="AD39" s="617"/>
    </row>
    <row r="40" spans="2:30" s="1" customFormat="1" ht="18.75" customHeight="1">
      <c r="B40" s="1866"/>
      <c r="C40" s="1814"/>
      <c r="D40" s="1814"/>
      <c r="E40" s="1814"/>
      <c r="F40" s="1867"/>
      <c r="G40" s="408"/>
      <c r="I40" s="784" t="s">
        <v>104</v>
      </c>
      <c r="J40" s="851" t="s">
        <v>817</v>
      </c>
      <c r="K40" s="8"/>
      <c r="L40" s="8"/>
      <c r="M40" s="8"/>
      <c r="N40" s="8"/>
      <c r="O40" s="8"/>
      <c r="P40" s="8"/>
      <c r="Q40" s="8"/>
      <c r="R40" s="8"/>
      <c r="S40" s="8"/>
      <c r="T40" s="8"/>
      <c r="U40" s="424"/>
      <c r="V40" s="1871"/>
      <c r="W40" s="1872"/>
      <c r="X40" s="424" t="s">
        <v>89</v>
      </c>
      <c r="Y40" s="773"/>
      <c r="Z40" s="625"/>
      <c r="AA40" s="641" t="s">
        <v>121</v>
      </c>
      <c r="AB40" s="641" t="s">
        <v>440</v>
      </c>
      <c r="AC40" s="641" t="s">
        <v>121</v>
      </c>
      <c r="AD40" s="617"/>
    </row>
    <row r="41" spans="2:30" s="1" customFormat="1" ht="6" customHeight="1">
      <c r="B41" s="1868"/>
      <c r="C41" s="1869"/>
      <c r="D41" s="1869"/>
      <c r="E41" s="1869"/>
      <c r="F41" s="1870"/>
      <c r="G41" s="409"/>
      <c r="H41" s="8"/>
      <c r="I41" s="8"/>
      <c r="J41" s="8"/>
      <c r="K41" s="8"/>
      <c r="L41" s="8"/>
      <c r="M41" s="8"/>
      <c r="N41" s="8"/>
      <c r="O41" s="8"/>
      <c r="P41" s="8"/>
      <c r="Q41" s="8"/>
      <c r="R41" s="8"/>
      <c r="S41" s="8"/>
      <c r="T41" s="786"/>
      <c r="U41" s="786"/>
      <c r="V41" s="8"/>
      <c r="W41" s="8"/>
      <c r="X41" s="8"/>
      <c r="Y41" s="8"/>
      <c r="Z41" s="409"/>
      <c r="AA41" s="8"/>
      <c r="AB41" s="8"/>
      <c r="AC41" s="645"/>
      <c r="AD41" s="632"/>
    </row>
    <row r="42" spans="2:30" s="1" customFormat="1" ht="4.5" customHeight="1">
      <c r="B42" s="1584" t="s">
        <v>824</v>
      </c>
      <c r="C42" s="1585"/>
      <c r="D42" s="1585"/>
      <c r="E42" s="1585"/>
      <c r="F42" s="1586"/>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1866"/>
      <c r="C43" s="1814"/>
      <c r="D43" s="1814"/>
      <c r="E43" s="1814"/>
      <c r="F43" s="1867"/>
      <c r="G43" s="408"/>
      <c r="H43" s="1" t="s">
        <v>825</v>
      </c>
      <c r="Z43" s="408"/>
      <c r="AA43" s="653" t="s">
        <v>1118</v>
      </c>
      <c r="AB43" s="653" t="s">
        <v>440</v>
      </c>
      <c r="AC43" s="653" t="s">
        <v>674</v>
      </c>
      <c r="AD43" s="783"/>
    </row>
    <row r="44" spans="2:30" s="1" customFormat="1" ht="30" customHeight="1">
      <c r="B44" s="1866"/>
      <c r="C44" s="1814"/>
      <c r="D44" s="1814"/>
      <c r="E44" s="1814"/>
      <c r="F44" s="1867"/>
      <c r="G44" s="408"/>
      <c r="I44" s="613" t="s">
        <v>107</v>
      </c>
      <c r="J44" s="1833" t="s">
        <v>826</v>
      </c>
      <c r="K44" s="1843"/>
      <c r="L44" s="1843"/>
      <c r="M44" s="1843"/>
      <c r="N44" s="1843"/>
      <c r="O44" s="1843"/>
      <c r="P44" s="1843"/>
      <c r="Q44" s="1843"/>
      <c r="R44" s="1843"/>
      <c r="S44" s="1843"/>
      <c r="T44" s="1843"/>
      <c r="U44" s="1844"/>
      <c r="V44" s="1871"/>
      <c r="W44" s="1872"/>
      <c r="X44" s="11" t="s">
        <v>89</v>
      </c>
      <c r="Z44" s="408"/>
      <c r="AA44" s="614"/>
      <c r="AB44" s="12"/>
      <c r="AC44" s="614"/>
      <c r="AD44" s="617"/>
    </row>
    <row r="45" spans="2:30" s="1" customFormat="1" ht="33" customHeight="1">
      <c r="B45" s="1866"/>
      <c r="C45" s="1814"/>
      <c r="D45" s="1814"/>
      <c r="E45" s="1814"/>
      <c r="F45" s="1867"/>
      <c r="G45" s="408"/>
      <c r="I45" s="613" t="s">
        <v>104</v>
      </c>
      <c r="J45" s="1833" t="s">
        <v>827</v>
      </c>
      <c r="K45" s="1843"/>
      <c r="L45" s="1843"/>
      <c r="M45" s="1843"/>
      <c r="N45" s="1843"/>
      <c r="O45" s="1843"/>
      <c r="P45" s="1843"/>
      <c r="Q45" s="1843"/>
      <c r="R45" s="1843"/>
      <c r="S45" s="1843"/>
      <c r="T45" s="1843"/>
      <c r="U45" s="1844"/>
      <c r="V45" s="1871"/>
      <c r="W45" s="1872"/>
      <c r="X45" s="424" t="s">
        <v>89</v>
      </c>
      <c r="Y45" s="773"/>
      <c r="Z45" s="625"/>
      <c r="AA45" s="641" t="s">
        <v>121</v>
      </c>
      <c r="AB45" s="641" t="s">
        <v>440</v>
      </c>
      <c r="AC45" s="641" t="s">
        <v>121</v>
      </c>
      <c r="AD45" s="617"/>
    </row>
    <row r="46" spans="2:30" s="1" customFormat="1" ht="6" customHeight="1">
      <c r="B46" s="1868"/>
      <c r="C46" s="1869"/>
      <c r="D46" s="1869"/>
      <c r="E46" s="1869"/>
      <c r="F46" s="1870"/>
      <c r="G46" s="409"/>
      <c r="H46" s="8"/>
      <c r="I46" s="8"/>
      <c r="J46" s="8"/>
      <c r="K46" s="8"/>
      <c r="L46" s="8"/>
      <c r="M46" s="8"/>
      <c r="N46" s="8"/>
      <c r="O46" s="8"/>
      <c r="P46" s="8"/>
      <c r="Q46" s="8"/>
      <c r="R46" s="8"/>
      <c r="S46" s="8"/>
      <c r="T46" s="786"/>
      <c r="U46" s="786"/>
      <c r="V46" s="8"/>
      <c r="W46" s="8"/>
      <c r="X46" s="8"/>
      <c r="Y46" s="8"/>
      <c r="Z46" s="409"/>
      <c r="AA46" s="8"/>
      <c r="AB46" s="8"/>
      <c r="AC46" s="645"/>
      <c r="AD46" s="632"/>
    </row>
    <row r="47" spans="2:30" s="1" customFormat="1" ht="6" customHeight="1">
      <c r="B47" s="599"/>
      <c r="C47" s="599"/>
      <c r="D47" s="599"/>
      <c r="E47" s="599"/>
      <c r="F47" s="599"/>
      <c r="T47" s="773"/>
      <c r="U47" s="773"/>
    </row>
    <row r="48" spans="2:30" s="1" customFormat="1" ht="13.5" customHeight="1">
      <c r="B48" s="1821" t="s">
        <v>545</v>
      </c>
      <c r="C48" s="1822"/>
      <c r="D48" s="774" t="s">
        <v>1631</v>
      </c>
      <c r="E48" s="774"/>
      <c r="F48" s="774"/>
      <c r="G48" s="774"/>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row>
    <row r="49" spans="2:30" s="1" customFormat="1" ht="29.25" customHeight="1">
      <c r="B49" s="1821"/>
      <c r="C49" s="1822"/>
      <c r="D49" s="1865"/>
      <c r="E49" s="1865"/>
      <c r="F49" s="1865"/>
      <c r="G49" s="1865"/>
      <c r="H49" s="1865"/>
      <c r="I49" s="1865"/>
      <c r="J49" s="1865"/>
      <c r="K49" s="1865"/>
      <c r="L49" s="1865"/>
      <c r="M49" s="1865"/>
      <c r="N49" s="1865"/>
      <c r="O49" s="1865"/>
      <c r="P49" s="1865"/>
      <c r="Q49" s="1865"/>
      <c r="R49" s="1865"/>
      <c r="S49" s="1865"/>
      <c r="T49" s="1865"/>
      <c r="U49" s="1865"/>
      <c r="V49" s="1865"/>
      <c r="W49" s="1865"/>
      <c r="X49" s="1865"/>
      <c r="Y49" s="1865"/>
      <c r="Z49" s="1865"/>
      <c r="AA49" s="1865"/>
      <c r="AB49" s="1865"/>
      <c r="AC49" s="1865"/>
      <c r="AD49" s="1865"/>
    </row>
    <row r="122" spans="3:7">
      <c r="C122" s="59"/>
      <c r="D122" s="59"/>
      <c r="E122" s="59"/>
      <c r="F122" s="59"/>
      <c r="G122" s="59"/>
    </row>
    <row r="123" spans="3:7">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3"/>
  <dataValidations count="1">
    <dataValidation type="list" allowBlank="1" showInputMessage="1" showErrorMessage="1" sqref="G9:G13 L9 Q9 P10:P11 S12 AA21 AC21 AA24 AC24 AA32 AC32 AA40 AC40 AA45 AC45" xr:uid="{C6C38E91-70D8-491E-862D-C6A6B557EC02}">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B4FD2-3F28-4B99-99D7-8DCA5E701189}">
  <sheetPr>
    <tabColor rgb="FFFFFF00"/>
  </sheetPr>
  <dimension ref="B1:AE123"/>
  <sheetViews>
    <sheetView view="pageBreakPreview" zoomScaleNormal="100" zoomScaleSheetLayoutView="100" workbookViewId="0"/>
  </sheetViews>
  <sheetFormatPr defaultColWidth="3.44140625" defaultRowHeight="13.2"/>
  <cols>
    <col min="1" max="1" width="1.21875" style="3" customWidth="1"/>
    <col min="2" max="2" width="3.109375" style="616" customWidth="1"/>
    <col min="3" max="31" width="3.109375" style="3" customWidth="1"/>
    <col min="32" max="32" width="1.21875" style="3" customWidth="1"/>
    <col min="33" max="256" width="3.44140625" style="3"/>
    <col min="257" max="257" width="1.21875" style="3" customWidth="1"/>
    <col min="258" max="287" width="3.109375" style="3" customWidth="1"/>
    <col min="288" max="288" width="1.21875" style="3" customWidth="1"/>
    <col min="289" max="512" width="3.44140625" style="3"/>
    <col min="513" max="513" width="1.21875" style="3" customWidth="1"/>
    <col min="514" max="543" width="3.109375" style="3" customWidth="1"/>
    <col min="544" max="544" width="1.21875" style="3" customWidth="1"/>
    <col min="545" max="768" width="3.44140625" style="3"/>
    <col min="769" max="769" width="1.21875" style="3" customWidth="1"/>
    <col min="770" max="799" width="3.109375" style="3" customWidth="1"/>
    <col min="800" max="800" width="1.21875" style="3" customWidth="1"/>
    <col min="801" max="1024" width="3.44140625" style="3"/>
    <col min="1025" max="1025" width="1.21875" style="3" customWidth="1"/>
    <col min="1026" max="1055" width="3.109375" style="3" customWidth="1"/>
    <col min="1056" max="1056" width="1.21875" style="3" customWidth="1"/>
    <col min="1057" max="1280" width="3.44140625" style="3"/>
    <col min="1281" max="1281" width="1.21875" style="3" customWidth="1"/>
    <col min="1282" max="1311" width="3.109375" style="3" customWidth="1"/>
    <col min="1312" max="1312" width="1.21875" style="3" customWidth="1"/>
    <col min="1313" max="1536" width="3.44140625" style="3"/>
    <col min="1537" max="1537" width="1.21875" style="3" customWidth="1"/>
    <col min="1538" max="1567" width="3.109375" style="3" customWidth="1"/>
    <col min="1568" max="1568" width="1.21875" style="3" customWidth="1"/>
    <col min="1569" max="1792" width="3.44140625" style="3"/>
    <col min="1793" max="1793" width="1.21875" style="3" customWidth="1"/>
    <col min="1794" max="1823" width="3.109375" style="3" customWidth="1"/>
    <col min="1824" max="1824" width="1.21875" style="3" customWidth="1"/>
    <col min="1825" max="2048" width="3.44140625" style="3"/>
    <col min="2049" max="2049" width="1.21875" style="3" customWidth="1"/>
    <col min="2050" max="2079" width="3.109375" style="3" customWidth="1"/>
    <col min="2080" max="2080" width="1.21875" style="3" customWidth="1"/>
    <col min="2081" max="2304" width="3.44140625" style="3"/>
    <col min="2305" max="2305" width="1.21875" style="3" customWidth="1"/>
    <col min="2306" max="2335" width="3.109375" style="3" customWidth="1"/>
    <col min="2336" max="2336" width="1.21875" style="3" customWidth="1"/>
    <col min="2337" max="2560" width="3.44140625" style="3"/>
    <col min="2561" max="2561" width="1.21875" style="3" customWidth="1"/>
    <col min="2562" max="2591" width="3.109375" style="3" customWidth="1"/>
    <col min="2592" max="2592" width="1.21875" style="3" customWidth="1"/>
    <col min="2593" max="2816" width="3.44140625" style="3"/>
    <col min="2817" max="2817" width="1.21875" style="3" customWidth="1"/>
    <col min="2818" max="2847" width="3.109375" style="3" customWidth="1"/>
    <col min="2848" max="2848" width="1.21875" style="3" customWidth="1"/>
    <col min="2849" max="3072" width="3.44140625" style="3"/>
    <col min="3073" max="3073" width="1.21875" style="3" customWidth="1"/>
    <col min="3074" max="3103" width="3.109375" style="3" customWidth="1"/>
    <col min="3104" max="3104" width="1.21875" style="3" customWidth="1"/>
    <col min="3105" max="3328" width="3.44140625" style="3"/>
    <col min="3329" max="3329" width="1.21875" style="3" customWidth="1"/>
    <col min="3330" max="3359" width="3.109375" style="3" customWidth="1"/>
    <col min="3360" max="3360" width="1.21875" style="3" customWidth="1"/>
    <col min="3361" max="3584" width="3.44140625" style="3"/>
    <col min="3585" max="3585" width="1.21875" style="3" customWidth="1"/>
    <col min="3586" max="3615" width="3.109375" style="3" customWidth="1"/>
    <col min="3616" max="3616" width="1.21875" style="3" customWidth="1"/>
    <col min="3617" max="3840" width="3.44140625" style="3"/>
    <col min="3841" max="3841" width="1.21875" style="3" customWidth="1"/>
    <col min="3842" max="3871" width="3.109375" style="3" customWidth="1"/>
    <col min="3872" max="3872" width="1.21875" style="3" customWidth="1"/>
    <col min="3873" max="4096" width="3.44140625" style="3"/>
    <col min="4097" max="4097" width="1.21875" style="3" customWidth="1"/>
    <col min="4098" max="4127" width="3.109375" style="3" customWidth="1"/>
    <col min="4128" max="4128" width="1.21875" style="3" customWidth="1"/>
    <col min="4129" max="4352" width="3.44140625" style="3"/>
    <col min="4353" max="4353" width="1.21875" style="3" customWidth="1"/>
    <col min="4354" max="4383" width="3.109375" style="3" customWidth="1"/>
    <col min="4384" max="4384" width="1.21875" style="3" customWidth="1"/>
    <col min="4385" max="4608" width="3.44140625" style="3"/>
    <col min="4609" max="4609" width="1.21875" style="3" customWidth="1"/>
    <col min="4610" max="4639" width="3.109375" style="3" customWidth="1"/>
    <col min="4640" max="4640" width="1.21875" style="3" customWidth="1"/>
    <col min="4641" max="4864" width="3.44140625" style="3"/>
    <col min="4865" max="4865" width="1.21875" style="3" customWidth="1"/>
    <col min="4866" max="4895" width="3.109375" style="3" customWidth="1"/>
    <col min="4896" max="4896" width="1.21875" style="3" customWidth="1"/>
    <col min="4897" max="5120" width="3.44140625" style="3"/>
    <col min="5121" max="5121" width="1.21875" style="3" customWidth="1"/>
    <col min="5122" max="5151" width="3.109375" style="3" customWidth="1"/>
    <col min="5152" max="5152" width="1.21875" style="3" customWidth="1"/>
    <col min="5153" max="5376" width="3.44140625" style="3"/>
    <col min="5377" max="5377" width="1.21875" style="3" customWidth="1"/>
    <col min="5378" max="5407" width="3.109375" style="3" customWidth="1"/>
    <col min="5408" max="5408" width="1.21875" style="3" customWidth="1"/>
    <col min="5409" max="5632" width="3.44140625" style="3"/>
    <col min="5633" max="5633" width="1.21875" style="3" customWidth="1"/>
    <col min="5634" max="5663" width="3.109375" style="3" customWidth="1"/>
    <col min="5664" max="5664" width="1.21875" style="3" customWidth="1"/>
    <col min="5665" max="5888" width="3.44140625" style="3"/>
    <col min="5889" max="5889" width="1.21875" style="3" customWidth="1"/>
    <col min="5890" max="5919" width="3.109375" style="3" customWidth="1"/>
    <col min="5920" max="5920" width="1.21875" style="3" customWidth="1"/>
    <col min="5921" max="6144" width="3.44140625" style="3"/>
    <col min="6145" max="6145" width="1.21875" style="3" customWidth="1"/>
    <col min="6146" max="6175" width="3.109375" style="3" customWidth="1"/>
    <col min="6176" max="6176" width="1.21875" style="3" customWidth="1"/>
    <col min="6177" max="6400" width="3.44140625" style="3"/>
    <col min="6401" max="6401" width="1.21875" style="3" customWidth="1"/>
    <col min="6402" max="6431" width="3.109375" style="3" customWidth="1"/>
    <col min="6432" max="6432" width="1.21875" style="3" customWidth="1"/>
    <col min="6433" max="6656" width="3.44140625" style="3"/>
    <col min="6657" max="6657" width="1.21875" style="3" customWidth="1"/>
    <col min="6658" max="6687" width="3.109375" style="3" customWidth="1"/>
    <col min="6688" max="6688" width="1.21875" style="3" customWidth="1"/>
    <col min="6689" max="6912" width="3.44140625" style="3"/>
    <col min="6913" max="6913" width="1.21875" style="3" customWidth="1"/>
    <col min="6914" max="6943" width="3.109375" style="3" customWidth="1"/>
    <col min="6944" max="6944" width="1.21875" style="3" customWidth="1"/>
    <col min="6945" max="7168" width="3.44140625" style="3"/>
    <col min="7169" max="7169" width="1.21875" style="3" customWidth="1"/>
    <col min="7170" max="7199" width="3.109375" style="3" customWidth="1"/>
    <col min="7200" max="7200" width="1.21875" style="3" customWidth="1"/>
    <col min="7201" max="7424" width="3.44140625" style="3"/>
    <col min="7425" max="7425" width="1.21875" style="3" customWidth="1"/>
    <col min="7426" max="7455" width="3.109375" style="3" customWidth="1"/>
    <col min="7456" max="7456" width="1.21875" style="3" customWidth="1"/>
    <col min="7457" max="7680" width="3.44140625" style="3"/>
    <col min="7681" max="7681" width="1.21875" style="3" customWidth="1"/>
    <col min="7682" max="7711" width="3.109375" style="3" customWidth="1"/>
    <col min="7712" max="7712" width="1.21875" style="3" customWidth="1"/>
    <col min="7713" max="7936" width="3.44140625" style="3"/>
    <col min="7937" max="7937" width="1.21875" style="3" customWidth="1"/>
    <col min="7938" max="7967" width="3.109375" style="3" customWidth="1"/>
    <col min="7968" max="7968" width="1.21875" style="3" customWidth="1"/>
    <col min="7969" max="8192" width="3.44140625" style="3"/>
    <col min="8193" max="8193" width="1.21875" style="3" customWidth="1"/>
    <col min="8194" max="8223" width="3.109375" style="3" customWidth="1"/>
    <col min="8224" max="8224" width="1.21875" style="3" customWidth="1"/>
    <col min="8225" max="8448" width="3.44140625" style="3"/>
    <col min="8449" max="8449" width="1.21875" style="3" customWidth="1"/>
    <col min="8450" max="8479" width="3.109375" style="3" customWidth="1"/>
    <col min="8480" max="8480" width="1.21875" style="3" customWidth="1"/>
    <col min="8481" max="8704" width="3.44140625" style="3"/>
    <col min="8705" max="8705" width="1.21875" style="3" customWidth="1"/>
    <col min="8706" max="8735" width="3.109375" style="3" customWidth="1"/>
    <col min="8736" max="8736" width="1.21875" style="3" customWidth="1"/>
    <col min="8737" max="8960" width="3.44140625" style="3"/>
    <col min="8961" max="8961" width="1.21875" style="3" customWidth="1"/>
    <col min="8962" max="8991" width="3.109375" style="3" customWidth="1"/>
    <col min="8992" max="8992" width="1.21875" style="3" customWidth="1"/>
    <col min="8993" max="9216" width="3.44140625" style="3"/>
    <col min="9217" max="9217" width="1.21875" style="3" customWidth="1"/>
    <col min="9218" max="9247" width="3.109375" style="3" customWidth="1"/>
    <col min="9248" max="9248" width="1.21875" style="3" customWidth="1"/>
    <col min="9249" max="9472" width="3.44140625" style="3"/>
    <col min="9473" max="9473" width="1.21875" style="3" customWidth="1"/>
    <col min="9474" max="9503" width="3.109375" style="3" customWidth="1"/>
    <col min="9504" max="9504" width="1.21875" style="3" customWidth="1"/>
    <col min="9505" max="9728" width="3.44140625" style="3"/>
    <col min="9729" max="9729" width="1.21875" style="3" customWidth="1"/>
    <col min="9730" max="9759" width="3.109375" style="3" customWidth="1"/>
    <col min="9760" max="9760" width="1.21875" style="3" customWidth="1"/>
    <col min="9761" max="9984" width="3.44140625" style="3"/>
    <col min="9985" max="9985" width="1.21875" style="3" customWidth="1"/>
    <col min="9986" max="10015" width="3.109375" style="3" customWidth="1"/>
    <col min="10016" max="10016" width="1.21875" style="3" customWidth="1"/>
    <col min="10017" max="10240" width="3.44140625" style="3"/>
    <col min="10241" max="10241" width="1.21875" style="3" customWidth="1"/>
    <col min="10242" max="10271" width="3.109375" style="3" customWidth="1"/>
    <col min="10272" max="10272" width="1.21875" style="3" customWidth="1"/>
    <col min="10273" max="10496" width="3.44140625" style="3"/>
    <col min="10497" max="10497" width="1.21875" style="3" customWidth="1"/>
    <col min="10498" max="10527" width="3.109375" style="3" customWidth="1"/>
    <col min="10528" max="10528" width="1.21875" style="3" customWidth="1"/>
    <col min="10529" max="10752" width="3.44140625" style="3"/>
    <col min="10753" max="10753" width="1.21875" style="3" customWidth="1"/>
    <col min="10754" max="10783" width="3.109375" style="3" customWidth="1"/>
    <col min="10784" max="10784" width="1.21875" style="3" customWidth="1"/>
    <col min="10785" max="11008" width="3.44140625" style="3"/>
    <col min="11009" max="11009" width="1.21875" style="3" customWidth="1"/>
    <col min="11010" max="11039" width="3.109375" style="3" customWidth="1"/>
    <col min="11040" max="11040" width="1.21875" style="3" customWidth="1"/>
    <col min="11041" max="11264" width="3.44140625" style="3"/>
    <col min="11265" max="11265" width="1.21875" style="3" customWidth="1"/>
    <col min="11266" max="11295" width="3.109375" style="3" customWidth="1"/>
    <col min="11296" max="11296" width="1.21875" style="3" customWidth="1"/>
    <col min="11297" max="11520" width="3.44140625" style="3"/>
    <col min="11521" max="11521" width="1.21875" style="3" customWidth="1"/>
    <col min="11522" max="11551" width="3.109375" style="3" customWidth="1"/>
    <col min="11552" max="11552" width="1.21875" style="3" customWidth="1"/>
    <col min="11553" max="11776" width="3.44140625" style="3"/>
    <col min="11777" max="11777" width="1.21875" style="3" customWidth="1"/>
    <col min="11778" max="11807" width="3.109375" style="3" customWidth="1"/>
    <col min="11808" max="11808" width="1.21875" style="3" customWidth="1"/>
    <col min="11809" max="12032" width="3.44140625" style="3"/>
    <col min="12033" max="12033" width="1.21875" style="3" customWidth="1"/>
    <col min="12034" max="12063" width="3.109375" style="3" customWidth="1"/>
    <col min="12064" max="12064" width="1.21875" style="3" customWidth="1"/>
    <col min="12065" max="12288" width="3.44140625" style="3"/>
    <col min="12289" max="12289" width="1.21875" style="3" customWidth="1"/>
    <col min="12290" max="12319" width="3.109375" style="3" customWidth="1"/>
    <col min="12320" max="12320" width="1.21875" style="3" customWidth="1"/>
    <col min="12321" max="12544" width="3.44140625" style="3"/>
    <col min="12545" max="12545" width="1.21875" style="3" customWidth="1"/>
    <col min="12546" max="12575" width="3.109375" style="3" customWidth="1"/>
    <col min="12576" max="12576" width="1.21875" style="3" customWidth="1"/>
    <col min="12577" max="12800" width="3.44140625" style="3"/>
    <col min="12801" max="12801" width="1.21875" style="3" customWidth="1"/>
    <col min="12802" max="12831" width="3.109375" style="3" customWidth="1"/>
    <col min="12832" max="12832" width="1.21875" style="3" customWidth="1"/>
    <col min="12833" max="13056" width="3.44140625" style="3"/>
    <col min="13057" max="13057" width="1.21875" style="3" customWidth="1"/>
    <col min="13058" max="13087" width="3.109375" style="3" customWidth="1"/>
    <col min="13088" max="13088" width="1.21875" style="3" customWidth="1"/>
    <col min="13089" max="13312" width="3.44140625" style="3"/>
    <col min="13313" max="13313" width="1.21875" style="3" customWidth="1"/>
    <col min="13314" max="13343" width="3.109375" style="3" customWidth="1"/>
    <col min="13344" max="13344" width="1.21875" style="3" customWidth="1"/>
    <col min="13345" max="13568" width="3.44140625" style="3"/>
    <col min="13569" max="13569" width="1.21875" style="3" customWidth="1"/>
    <col min="13570" max="13599" width="3.109375" style="3" customWidth="1"/>
    <col min="13600" max="13600" width="1.21875" style="3" customWidth="1"/>
    <col min="13601" max="13824" width="3.44140625" style="3"/>
    <col min="13825" max="13825" width="1.21875" style="3" customWidth="1"/>
    <col min="13826" max="13855" width="3.109375" style="3" customWidth="1"/>
    <col min="13856" max="13856" width="1.21875" style="3" customWidth="1"/>
    <col min="13857" max="14080" width="3.44140625" style="3"/>
    <col min="14081" max="14081" width="1.21875" style="3" customWidth="1"/>
    <col min="14082" max="14111" width="3.109375" style="3" customWidth="1"/>
    <col min="14112" max="14112" width="1.21875" style="3" customWidth="1"/>
    <col min="14113" max="14336" width="3.44140625" style="3"/>
    <col min="14337" max="14337" width="1.21875" style="3" customWidth="1"/>
    <col min="14338" max="14367" width="3.109375" style="3" customWidth="1"/>
    <col min="14368" max="14368" width="1.21875" style="3" customWidth="1"/>
    <col min="14369" max="14592" width="3.44140625" style="3"/>
    <col min="14593" max="14593" width="1.21875" style="3" customWidth="1"/>
    <col min="14594" max="14623" width="3.109375" style="3" customWidth="1"/>
    <col min="14624" max="14624" width="1.21875" style="3" customWidth="1"/>
    <col min="14625" max="14848" width="3.44140625" style="3"/>
    <col min="14849" max="14849" width="1.21875" style="3" customWidth="1"/>
    <col min="14850" max="14879" width="3.109375" style="3" customWidth="1"/>
    <col min="14880" max="14880" width="1.21875" style="3" customWidth="1"/>
    <col min="14881" max="15104" width="3.44140625" style="3"/>
    <col min="15105" max="15105" width="1.21875" style="3" customWidth="1"/>
    <col min="15106" max="15135" width="3.109375" style="3" customWidth="1"/>
    <col min="15136" max="15136" width="1.21875" style="3" customWidth="1"/>
    <col min="15137" max="15360" width="3.44140625" style="3"/>
    <col min="15361" max="15361" width="1.21875" style="3" customWidth="1"/>
    <col min="15362" max="15391" width="3.109375" style="3" customWidth="1"/>
    <col min="15392" max="15392" width="1.21875" style="3" customWidth="1"/>
    <col min="15393" max="15616" width="3.44140625" style="3"/>
    <col min="15617" max="15617" width="1.21875" style="3" customWidth="1"/>
    <col min="15618" max="15647" width="3.109375" style="3" customWidth="1"/>
    <col min="15648" max="15648" width="1.21875" style="3" customWidth="1"/>
    <col min="15649" max="15872" width="3.44140625" style="3"/>
    <col min="15873" max="15873" width="1.21875" style="3" customWidth="1"/>
    <col min="15874" max="15903" width="3.109375" style="3" customWidth="1"/>
    <col min="15904" max="15904" width="1.21875" style="3" customWidth="1"/>
    <col min="15905" max="16128" width="3.44140625" style="3"/>
    <col min="16129" max="16129" width="1.21875" style="3" customWidth="1"/>
    <col min="16130" max="16159" width="3.109375" style="3" customWidth="1"/>
    <col min="16160" max="16160" width="1.21875" style="3" customWidth="1"/>
    <col min="16161" max="16384" width="3.44140625" style="3"/>
  </cols>
  <sheetData>
    <row r="1" spans="2:31" s="1" customFormat="1"/>
    <row r="2" spans="2:31" s="1" customFormat="1">
      <c r="B2" s="1" t="s">
        <v>1617</v>
      </c>
    </row>
    <row r="3" spans="2:31" s="1" customFormat="1">
      <c r="V3" s="45" t="s">
        <v>544</v>
      </c>
      <c r="W3" s="1575"/>
      <c r="X3" s="1575"/>
      <c r="Y3" s="45" t="s">
        <v>34</v>
      </c>
      <c r="Z3" s="1575"/>
      <c r="AA3" s="1575"/>
      <c r="AB3" s="45" t="s">
        <v>392</v>
      </c>
      <c r="AC3" s="1575"/>
      <c r="AD3" s="1575"/>
      <c r="AE3" s="45" t="s">
        <v>241</v>
      </c>
    </row>
    <row r="4" spans="2:31" s="1" customFormat="1">
      <c r="AE4" s="45"/>
    </row>
    <row r="5" spans="2:31" s="1" customFormat="1">
      <c r="B5" s="1575" t="s">
        <v>808</v>
      </c>
      <c r="C5" s="1575"/>
      <c r="D5" s="1575"/>
      <c r="E5" s="1575"/>
      <c r="F5" s="1575"/>
      <c r="G5" s="1575"/>
      <c r="H5" s="1575"/>
      <c r="I5" s="1575"/>
      <c r="J5" s="1575"/>
      <c r="K5" s="1575"/>
      <c r="L5" s="1575"/>
      <c r="M5" s="1575"/>
      <c r="N5" s="1575"/>
      <c r="O5" s="1575"/>
      <c r="P5" s="1575"/>
      <c r="Q5" s="1575"/>
      <c r="R5" s="1575"/>
      <c r="S5" s="1575"/>
      <c r="T5" s="1575"/>
      <c r="U5" s="1575"/>
      <c r="V5" s="1575"/>
      <c r="W5" s="1575"/>
      <c r="X5" s="1575"/>
      <c r="Y5" s="1575"/>
      <c r="Z5" s="1575"/>
      <c r="AA5" s="1575"/>
      <c r="AB5" s="1575"/>
      <c r="AC5" s="1575"/>
      <c r="AD5" s="1575"/>
      <c r="AE5" s="1575"/>
    </row>
    <row r="6" spans="2:31" s="1" customFormat="1" ht="26.25" customHeight="1">
      <c r="B6" s="1814" t="s">
        <v>1618</v>
      </c>
      <c r="C6" s="1814"/>
      <c r="D6" s="1814"/>
      <c r="E6" s="1814"/>
      <c r="F6" s="1814"/>
      <c r="G6" s="1814"/>
      <c r="H6" s="1814"/>
      <c r="I6" s="1814"/>
      <c r="J6" s="1814"/>
      <c r="K6" s="1814"/>
      <c r="L6" s="1814"/>
      <c r="M6" s="1814"/>
      <c r="N6" s="1814"/>
      <c r="O6" s="1814"/>
      <c r="P6" s="1814"/>
      <c r="Q6" s="1814"/>
      <c r="R6" s="1814"/>
      <c r="S6" s="1814"/>
      <c r="T6" s="1814"/>
      <c r="U6" s="1814"/>
      <c r="V6" s="1814"/>
      <c r="W6" s="1814"/>
      <c r="X6" s="1814"/>
      <c r="Y6" s="1814"/>
      <c r="Z6" s="1814"/>
      <c r="AA6" s="1814"/>
      <c r="AB6" s="1814"/>
      <c r="AC6" s="1814"/>
      <c r="AD6" s="1814"/>
      <c r="AE6" s="1814"/>
    </row>
    <row r="7" spans="2:31" s="1" customFormat="1"/>
    <row r="8" spans="2:31" s="1" customFormat="1" ht="23.25" customHeight="1">
      <c r="B8" s="1861" t="s">
        <v>196</v>
      </c>
      <c r="C8" s="1861"/>
      <c r="D8" s="1861"/>
      <c r="E8" s="1861"/>
      <c r="F8" s="1789"/>
      <c r="G8" s="1862"/>
      <c r="H8" s="1863"/>
      <c r="I8" s="1863"/>
      <c r="J8" s="1863"/>
      <c r="K8" s="1863"/>
      <c r="L8" s="1863"/>
      <c r="M8" s="1863"/>
      <c r="N8" s="1863"/>
      <c r="O8" s="1863"/>
      <c r="P8" s="1863"/>
      <c r="Q8" s="1863"/>
      <c r="R8" s="1863"/>
      <c r="S8" s="1863"/>
      <c r="T8" s="1863"/>
      <c r="U8" s="1863"/>
      <c r="V8" s="1863"/>
      <c r="W8" s="1863"/>
      <c r="X8" s="1863"/>
      <c r="Y8" s="1863"/>
      <c r="Z8" s="1863"/>
      <c r="AA8" s="1863"/>
      <c r="AB8" s="1863"/>
      <c r="AC8" s="1863"/>
      <c r="AD8" s="1863"/>
      <c r="AE8" s="1864"/>
    </row>
    <row r="9" spans="2:31" ht="23.25" customHeight="1">
      <c r="B9" s="1789" t="s">
        <v>93</v>
      </c>
      <c r="C9" s="1790"/>
      <c r="D9" s="1790"/>
      <c r="E9" s="1790"/>
      <c r="F9" s="1791"/>
      <c r="G9" s="719" t="s">
        <v>121</v>
      </c>
      <c r="H9" s="639" t="s">
        <v>1173</v>
      </c>
      <c r="I9" s="639"/>
      <c r="J9" s="639"/>
      <c r="K9" s="639"/>
      <c r="L9" s="640" t="s">
        <v>121</v>
      </c>
      <c r="M9" s="639" t="s">
        <v>1174</v>
      </c>
      <c r="N9" s="639"/>
      <c r="O9" s="639"/>
      <c r="P9" s="639"/>
      <c r="Q9" s="640" t="s">
        <v>121</v>
      </c>
      <c r="R9" s="639" t="s">
        <v>1175</v>
      </c>
      <c r="S9" s="642"/>
      <c r="T9" s="642"/>
      <c r="U9" s="642"/>
      <c r="V9" s="642"/>
      <c r="W9" s="642"/>
      <c r="X9" s="642"/>
      <c r="Y9" s="642"/>
      <c r="Z9" s="642"/>
      <c r="AA9" s="642"/>
      <c r="AB9" s="642"/>
      <c r="AC9" s="642"/>
      <c r="AD9" s="642"/>
      <c r="AE9" s="741"/>
    </row>
    <row r="10" spans="2:31" ht="23.25" customHeight="1">
      <c r="B10" s="1803" t="s">
        <v>810</v>
      </c>
      <c r="C10" s="1804"/>
      <c r="D10" s="1804"/>
      <c r="E10" s="1804"/>
      <c r="F10" s="1805"/>
      <c r="G10" s="641" t="s">
        <v>121</v>
      </c>
      <c r="H10" s="1" t="s">
        <v>1619</v>
      </c>
      <c r="I10" s="2"/>
      <c r="J10" s="2"/>
      <c r="K10" s="2"/>
      <c r="L10" s="2"/>
      <c r="M10" s="2"/>
      <c r="N10" s="2"/>
      <c r="O10" s="2"/>
      <c r="P10" s="2"/>
      <c r="Q10" s="2"/>
      <c r="R10" s="641" t="s">
        <v>121</v>
      </c>
      <c r="S10" s="745" t="s">
        <v>1620</v>
      </c>
      <c r="T10" s="745"/>
      <c r="U10" s="745"/>
      <c r="V10" s="641" t="s">
        <v>121</v>
      </c>
      <c r="W10" s="745" t="s">
        <v>1621</v>
      </c>
      <c r="X10" s="745"/>
      <c r="Y10" s="745"/>
      <c r="Z10" s="641" t="s">
        <v>121</v>
      </c>
      <c r="AA10" s="745" t="s">
        <v>1622</v>
      </c>
      <c r="AB10" s="745"/>
      <c r="AC10" s="745"/>
      <c r="AD10" s="745"/>
      <c r="AE10" s="746"/>
    </row>
    <row r="11" spans="2:31" ht="23.25" customHeight="1">
      <c r="B11" s="1846"/>
      <c r="C11" s="1847"/>
      <c r="D11" s="1847"/>
      <c r="E11" s="1847"/>
      <c r="F11" s="1848"/>
      <c r="G11" s="641" t="s">
        <v>121</v>
      </c>
      <c r="H11" s="1" t="s">
        <v>1623</v>
      </c>
      <c r="I11" s="2"/>
      <c r="J11" s="2"/>
      <c r="K11" s="2"/>
      <c r="L11" s="2"/>
      <c r="M11" s="2"/>
      <c r="N11" s="2"/>
      <c r="O11" s="2"/>
      <c r="P11" s="2"/>
      <c r="Q11" s="2"/>
      <c r="R11" s="641" t="s">
        <v>121</v>
      </c>
      <c r="S11" s="1" t="s">
        <v>1624</v>
      </c>
      <c r="T11" s="745"/>
      <c r="U11" s="745"/>
      <c r="V11" s="745"/>
      <c r="W11" s="745"/>
      <c r="X11" s="745"/>
      <c r="Y11" s="745"/>
      <c r="Z11" s="745"/>
      <c r="AA11" s="745"/>
      <c r="AB11" s="745"/>
      <c r="AC11" s="745"/>
      <c r="AD11" s="745"/>
      <c r="AE11" s="746"/>
    </row>
    <row r="12" spans="2:31" ht="23.25" customHeight="1">
      <c r="B12" s="1846"/>
      <c r="C12" s="1847"/>
      <c r="D12" s="1847"/>
      <c r="E12" s="1847"/>
      <c r="F12" s="1848"/>
      <c r="G12" s="641" t="s">
        <v>121</v>
      </c>
      <c r="H12" s="1" t="s">
        <v>1625</v>
      </c>
      <c r="I12" s="2"/>
      <c r="J12" s="2"/>
      <c r="K12" s="2"/>
      <c r="L12" s="2"/>
      <c r="M12" s="2"/>
      <c r="N12" s="2"/>
      <c r="O12" s="2"/>
      <c r="P12" s="2"/>
      <c r="Q12" s="2"/>
      <c r="R12" s="641" t="s">
        <v>121</v>
      </c>
      <c r="S12" s="1" t="s">
        <v>1626</v>
      </c>
      <c r="T12" s="745"/>
      <c r="U12" s="745"/>
      <c r="V12" s="745"/>
      <c r="W12" s="745"/>
      <c r="X12" s="745"/>
      <c r="Y12" s="745"/>
      <c r="Z12" s="745"/>
      <c r="AA12" s="745"/>
      <c r="AB12" s="745"/>
      <c r="AC12" s="745"/>
      <c r="AD12" s="745"/>
      <c r="AE12" s="746"/>
    </row>
    <row r="13" spans="2:31" ht="23.25" customHeight="1">
      <c r="B13" s="1806"/>
      <c r="C13" s="1807"/>
      <c r="D13" s="1807"/>
      <c r="E13" s="1807"/>
      <c r="F13" s="1808"/>
      <c r="G13" s="641" t="s">
        <v>121</v>
      </c>
      <c r="H13" s="1" t="s">
        <v>1531</v>
      </c>
      <c r="I13" s="782"/>
      <c r="J13" s="2"/>
      <c r="K13" s="2"/>
      <c r="L13" s="2"/>
      <c r="M13" s="2"/>
      <c r="N13" s="2"/>
      <c r="O13" s="2"/>
      <c r="P13" s="2"/>
      <c r="Q13" s="2"/>
      <c r="R13" s="2"/>
      <c r="S13" s="1"/>
      <c r="T13" s="745"/>
      <c r="U13" s="745"/>
      <c r="V13" s="745"/>
      <c r="W13" s="745"/>
      <c r="X13" s="745"/>
      <c r="Y13" s="745"/>
      <c r="Z13" s="745"/>
      <c r="AA13" s="745"/>
      <c r="AB13" s="745"/>
      <c r="AC13" s="745"/>
      <c r="AD13" s="745"/>
      <c r="AE13" s="746"/>
    </row>
    <row r="14" spans="2:31" ht="23.25" customHeight="1">
      <c r="B14" s="1803" t="s">
        <v>811</v>
      </c>
      <c r="C14" s="1804"/>
      <c r="D14" s="1804"/>
      <c r="E14" s="1804"/>
      <c r="F14" s="1805"/>
      <c r="G14" s="742" t="s">
        <v>121</v>
      </c>
      <c r="H14" s="7" t="s">
        <v>1627</v>
      </c>
      <c r="I14" s="22"/>
      <c r="J14" s="22"/>
      <c r="K14" s="22"/>
      <c r="L14" s="22"/>
      <c r="M14" s="22"/>
      <c r="N14" s="22"/>
      <c r="O14" s="22"/>
      <c r="P14" s="22"/>
      <c r="Q14" s="22"/>
      <c r="R14" s="22"/>
      <c r="S14" s="743" t="s">
        <v>121</v>
      </c>
      <c r="T14" s="7" t="s">
        <v>1628</v>
      </c>
      <c r="U14" s="644"/>
      <c r="V14" s="644"/>
      <c r="W14" s="644"/>
      <c r="X14" s="644"/>
      <c r="Y14" s="644"/>
      <c r="Z14" s="644"/>
      <c r="AA14" s="644"/>
      <c r="AB14" s="644"/>
      <c r="AC14" s="644"/>
      <c r="AD14" s="644"/>
      <c r="AE14" s="744"/>
    </row>
    <row r="15" spans="2:31" ht="23.25" customHeight="1">
      <c r="B15" s="1806"/>
      <c r="C15" s="1807"/>
      <c r="D15" s="1807"/>
      <c r="E15" s="1807"/>
      <c r="F15" s="1808"/>
      <c r="G15" s="747" t="s">
        <v>121</v>
      </c>
      <c r="H15" s="8" t="s">
        <v>1629</v>
      </c>
      <c r="I15" s="645"/>
      <c r="J15" s="645"/>
      <c r="K15" s="645"/>
      <c r="L15" s="645"/>
      <c r="M15" s="645"/>
      <c r="N15" s="645"/>
      <c r="O15" s="645"/>
      <c r="P15" s="645"/>
      <c r="Q15" s="645"/>
      <c r="R15" s="645"/>
      <c r="S15" s="647"/>
      <c r="T15" s="647"/>
      <c r="U15" s="647"/>
      <c r="V15" s="647"/>
      <c r="W15" s="647"/>
      <c r="X15" s="647"/>
      <c r="Y15" s="647"/>
      <c r="Z15" s="647"/>
      <c r="AA15" s="647"/>
      <c r="AB15" s="647"/>
      <c r="AC15" s="647"/>
      <c r="AD15" s="647"/>
      <c r="AE15" s="748"/>
    </row>
    <row r="16" spans="2:31" s="1" customFormat="1"/>
    <row r="17" spans="2:31" s="1" customFormat="1">
      <c r="B17" s="1" t="s">
        <v>812</v>
      </c>
    </row>
    <row r="18" spans="2:31" s="1" customFormat="1">
      <c r="B18" s="1" t="s">
        <v>813</v>
      </c>
      <c r="AD18" s="2"/>
      <c r="AE18" s="2"/>
    </row>
    <row r="19" spans="2:31" s="1" customFormat="1" ht="6" customHeight="1"/>
    <row r="20" spans="2:31" s="1" customFormat="1" ht="6" customHeight="1">
      <c r="B20" s="1584" t="s">
        <v>814</v>
      </c>
      <c r="C20" s="1585"/>
      <c r="D20" s="1585"/>
      <c r="E20" s="1585"/>
      <c r="F20" s="1586"/>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1866"/>
      <c r="C21" s="1814"/>
      <c r="D21" s="1814"/>
      <c r="E21" s="1814"/>
      <c r="F21" s="1867"/>
      <c r="G21" s="408"/>
      <c r="H21" s="1" t="s">
        <v>828</v>
      </c>
      <c r="AA21" s="408"/>
      <c r="AB21" s="653" t="s">
        <v>1118</v>
      </c>
      <c r="AC21" s="653" t="s">
        <v>440</v>
      </c>
      <c r="AD21" s="653" t="s">
        <v>674</v>
      </c>
      <c r="AE21" s="783"/>
    </row>
    <row r="22" spans="2:31" s="1" customFormat="1" ht="15.75" customHeight="1">
      <c r="B22" s="1866"/>
      <c r="C22" s="1814"/>
      <c r="D22" s="1814"/>
      <c r="E22" s="1814"/>
      <c r="F22" s="1867"/>
      <c r="G22" s="408"/>
      <c r="I22" s="613" t="s">
        <v>107</v>
      </c>
      <c r="J22" s="1835" t="s">
        <v>816</v>
      </c>
      <c r="K22" s="1836"/>
      <c r="L22" s="1836"/>
      <c r="M22" s="1836"/>
      <c r="N22" s="1836"/>
      <c r="O22" s="1836"/>
      <c r="P22" s="1836"/>
      <c r="Q22" s="1836"/>
      <c r="R22" s="1836"/>
      <c r="S22" s="1836"/>
      <c r="T22" s="1836"/>
      <c r="U22" s="1836"/>
      <c r="V22" s="1580"/>
      <c r="W22" s="1581"/>
      <c r="X22" s="11" t="s">
        <v>89</v>
      </c>
      <c r="AA22" s="408"/>
      <c r="AB22" s="614"/>
      <c r="AC22" s="12"/>
      <c r="AD22" s="614"/>
      <c r="AE22" s="617"/>
    </row>
    <row r="23" spans="2:31" s="1" customFormat="1" ht="15.75" customHeight="1">
      <c r="B23" s="1866"/>
      <c r="C23" s="1814"/>
      <c r="D23" s="1814"/>
      <c r="E23" s="1814"/>
      <c r="F23" s="1867"/>
      <c r="G23" s="408"/>
      <c r="I23" s="784" t="s">
        <v>104</v>
      </c>
      <c r="J23" s="785" t="s">
        <v>817</v>
      </c>
      <c r="K23" s="8"/>
      <c r="L23" s="8"/>
      <c r="M23" s="8"/>
      <c r="N23" s="8"/>
      <c r="O23" s="8"/>
      <c r="P23" s="8"/>
      <c r="Q23" s="8"/>
      <c r="R23" s="8"/>
      <c r="S23" s="8"/>
      <c r="T23" s="8"/>
      <c r="U23" s="8"/>
      <c r="V23" s="1798"/>
      <c r="W23" s="1799"/>
      <c r="X23" s="424" t="s">
        <v>89</v>
      </c>
      <c r="Z23" s="773"/>
      <c r="AA23" s="625"/>
      <c r="AB23" s="641" t="s">
        <v>121</v>
      </c>
      <c r="AC23" s="641" t="s">
        <v>440</v>
      </c>
      <c r="AD23" s="641" t="s">
        <v>121</v>
      </c>
      <c r="AE23" s="617"/>
    </row>
    <row r="24" spans="2:31" s="1" customFormat="1">
      <c r="B24" s="1866"/>
      <c r="C24" s="1814"/>
      <c r="D24" s="1814"/>
      <c r="E24" s="1814"/>
      <c r="F24" s="1867"/>
      <c r="G24" s="408"/>
      <c r="H24" s="1" t="s">
        <v>286</v>
      </c>
      <c r="AA24" s="408"/>
      <c r="AD24" s="2"/>
      <c r="AE24" s="617"/>
    </row>
    <row r="25" spans="2:31" s="1" customFormat="1">
      <c r="B25" s="1866"/>
      <c r="C25" s="1814"/>
      <c r="D25" s="1814"/>
      <c r="E25" s="1814"/>
      <c r="F25" s="1867"/>
      <c r="G25" s="408"/>
      <c r="H25" s="1" t="s">
        <v>829</v>
      </c>
      <c r="U25" s="773"/>
      <c r="V25" s="773"/>
      <c r="AA25" s="408"/>
      <c r="AD25" s="2"/>
      <c r="AE25" s="617"/>
    </row>
    <row r="26" spans="2:31" s="1" customFormat="1" ht="29.25" customHeight="1">
      <c r="B26" s="1866"/>
      <c r="C26" s="1814"/>
      <c r="D26" s="1814"/>
      <c r="E26" s="1814"/>
      <c r="F26" s="1867"/>
      <c r="G26" s="408"/>
      <c r="I26" s="613" t="s">
        <v>211</v>
      </c>
      <c r="J26" s="1836" t="s">
        <v>819</v>
      </c>
      <c r="K26" s="1836"/>
      <c r="L26" s="1836"/>
      <c r="M26" s="1836"/>
      <c r="N26" s="1836"/>
      <c r="O26" s="1836"/>
      <c r="P26" s="1836"/>
      <c r="Q26" s="1836"/>
      <c r="R26" s="1836"/>
      <c r="S26" s="1836"/>
      <c r="T26" s="1836"/>
      <c r="U26" s="1836"/>
      <c r="V26" s="1580"/>
      <c r="W26" s="1581"/>
      <c r="X26" s="11" t="s">
        <v>89</v>
      </c>
      <c r="Z26" s="773"/>
      <c r="AA26" s="625"/>
      <c r="AB26" s="641" t="s">
        <v>121</v>
      </c>
      <c r="AC26" s="641" t="s">
        <v>440</v>
      </c>
      <c r="AD26" s="641" t="s">
        <v>121</v>
      </c>
      <c r="AE26" s="617"/>
    </row>
    <row r="27" spans="2:31" s="1" customFormat="1" ht="6" customHeight="1">
      <c r="B27" s="1868"/>
      <c r="C27" s="1869"/>
      <c r="D27" s="1869"/>
      <c r="E27" s="1869"/>
      <c r="F27" s="1870"/>
      <c r="G27" s="409"/>
      <c r="H27" s="8"/>
      <c r="I27" s="8"/>
      <c r="J27" s="8"/>
      <c r="K27" s="8"/>
      <c r="L27" s="8"/>
      <c r="M27" s="8"/>
      <c r="N27" s="8"/>
      <c r="O27" s="8"/>
      <c r="P27" s="8"/>
      <c r="Q27" s="8"/>
      <c r="R27" s="8"/>
      <c r="S27" s="8"/>
      <c r="T27" s="8"/>
      <c r="U27" s="786"/>
      <c r="V27" s="786"/>
      <c r="W27" s="8"/>
      <c r="X27" s="8"/>
      <c r="Y27" s="8"/>
      <c r="Z27" s="8"/>
      <c r="AA27" s="409"/>
      <c r="AB27" s="8"/>
      <c r="AC27" s="8"/>
      <c r="AD27" s="645"/>
      <c r="AE27" s="632"/>
    </row>
    <row r="28" spans="2:31" s="1" customFormat="1" ht="6" customHeight="1">
      <c r="B28" s="669"/>
      <c r="C28" s="624"/>
      <c r="D28" s="624"/>
      <c r="E28" s="624"/>
      <c r="F28" s="670"/>
      <c r="G28" s="6"/>
      <c r="H28" s="7"/>
      <c r="I28" s="7"/>
      <c r="J28" s="7"/>
      <c r="K28" s="7"/>
      <c r="L28" s="7"/>
      <c r="M28" s="7"/>
      <c r="N28" s="7"/>
      <c r="O28" s="7"/>
      <c r="P28" s="7"/>
      <c r="Q28" s="7"/>
      <c r="R28" s="7"/>
      <c r="S28" s="7"/>
      <c r="T28" s="7"/>
      <c r="U28" s="787"/>
      <c r="V28" s="787"/>
      <c r="W28" s="7"/>
      <c r="X28" s="7"/>
      <c r="Y28" s="7"/>
      <c r="Z28" s="7"/>
      <c r="AA28" s="7"/>
      <c r="AB28" s="7"/>
      <c r="AC28" s="7"/>
      <c r="AD28" s="22"/>
      <c r="AE28" s="23"/>
    </row>
    <row r="29" spans="2:31" s="1" customFormat="1">
      <c r="B29" s="1866" t="s">
        <v>830</v>
      </c>
      <c r="C29" s="1814"/>
      <c r="D29" s="1814"/>
      <c r="E29" s="1814"/>
      <c r="F29" s="1867"/>
      <c r="G29" s="788" t="s">
        <v>1630</v>
      </c>
      <c r="I29" s="789"/>
      <c r="J29" s="789"/>
      <c r="K29" s="789"/>
      <c r="L29" s="789"/>
      <c r="M29" s="789"/>
      <c r="N29" s="789"/>
      <c r="O29" s="789"/>
      <c r="P29" s="789"/>
      <c r="Q29" s="789"/>
      <c r="R29" s="789"/>
      <c r="S29" s="789"/>
      <c r="T29" s="789"/>
      <c r="U29" s="789"/>
      <c r="V29" s="789"/>
      <c r="W29" s="789"/>
      <c r="X29" s="789"/>
      <c r="Y29" s="789"/>
      <c r="Z29" s="789"/>
      <c r="AA29" s="789"/>
      <c r="AB29" s="789"/>
      <c r="AC29" s="789"/>
      <c r="AD29" s="2"/>
      <c r="AE29" s="617"/>
    </row>
    <row r="30" spans="2:31" s="1" customFormat="1" ht="54" customHeight="1">
      <c r="B30" s="1866"/>
      <c r="C30" s="1814"/>
      <c r="D30" s="1814"/>
      <c r="E30" s="1814"/>
      <c r="F30" s="1867"/>
      <c r="G30" s="1882"/>
      <c r="H30" s="1883"/>
      <c r="I30" s="1883"/>
      <c r="J30" s="1883"/>
      <c r="K30" s="1883"/>
      <c r="L30" s="1883"/>
      <c r="M30" s="1883"/>
      <c r="N30" s="1883"/>
      <c r="O30" s="1883"/>
      <c r="P30" s="1883"/>
      <c r="Q30" s="1883"/>
      <c r="R30" s="1883"/>
      <c r="S30" s="1883"/>
      <c r="T30" s="1883"/>
      <c r="U30" s="1883"/>
      <c r="V30" s="1883"/>
      <c r="W30" s="1883"/>
      <c r="X30" s="1883"/>
      <c r="Y30" s="1883"/>
      <c r="Z30" s="1883"/>
      <c r="AA30" s="1883"/>
      <c r="AB30" s="1883"/>
      <c r="AC30" s="1883"/>
      <c r="AD30" s="1883"/>
      <c r="AE30" s="1884"/>
    </row>
    <row r="31" spans="2:31" s="1" customFormat="1" ht="6" customHeight="1">
      <c r="B31" s="678"/>
      <c r="C31" s="414"/>
      <c r="D31" s="414"/>
      <c r="E31" s="414"/>
      <c r="F31" s="608"/>
      <c r="G31" s="409"/>
      <c r="H31" s="8"/>
      <c r="I31" s="8"/>
      <c r="J31" s="8"/>
      <c r="K31" s="8"/>
      <c r="L31" s="8"/>
      <c r="M31" s="8"/>
      <c r="N31" s="8"/>
      <c r="O31" s="8"/>
      <c r="P31" s="8"/>
      <c r="Q31" s="8"/>
      <c r="R31" s="8"/>
      <c r="S31" s="8"/>
      <c r="T31" s="8"/>
      <c r="U31" s="786"/>
      <c r="V31" s="786"/>
      <c r="W31" s="8"/>
      <c r="X31" s="8"/>
      <c r="Y31" s="8"/>
      <c r="Z31" s="8"/>
      <c r="AA31" s="8"/>
      <c r="AB31" s="8"/>
      <c r="AC31" s="8"/>
      <c r="AD31" s="645"/>
      <c r="AE31" s="632"/>
    </row>
    <row r="32" spans="2:31" s="1" customFormat="1" ht="9.75" customHeight="1">
      <c r="B32" s="599"/>
      <c r="C32" s="599"/>
      <c r="D32" s="599"/>
      <c r="E32" s="599"/>
      <c r="F32" s="599"/>
      <c r="U32" s="773"/>
      <c r="V32" s="773"/>
    </row>
    <row r="33" spans="2:31" s="1" customFormat="1">
      <c r="B33" s="1" t="s">
        <v>820</v>
      </c>
      <c r="C33" s="599"/>
      <c r="D33" s="599"/>
      <c r="E33" s="599"/>
      <c r="F33" s="599"/>
      <c r="U33" s="773"/>
      <c r="V33" s="773"/>
    </row>
    <row r="34" spans="2:31" s="1" customFormat="1" ht="6.75" customHeight="1">
      <c r="B34" s="599"/>
      <c r="C34" s="599"/>
      <c r="D34" s="599"/>
      <c r="E34" s="599"/>
      <c r="F34" s="599"/>
      <c r="U34" s="773"/>
      <c r="V34" s="773"/>
    </row>
    <row r="35" spans="2:31" s="1" customFormat="1" ht="4.5" customHeight="1">
      <c r="B35" s="1584" t="s">
        <v>814</v>
      </c>
      <c r="C35" s="1585"/>
      <c r="D35" s="1585"/>
      <c r="E35" s="1585"/>
      <c r="F35" s="1586"/>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1866"/>
      <c r="C36" s="1814"/>
      <c r="D36" s="1814"/>
      <c r="E36" s="1814"/>
      <c r="F36" s="1867"/>
      <c r="H36" s="1" t="s">
        <v>831</v>
      </c>
      <c r="AA36" s="408"/>
      <c r="AB36" s="653" t="s">
        <v>1118</v>
      </c>
      <c r="AC36" s="653" t="s">
        <v>440</v>
      </c>
      <c r="AD36" s="653" t="s">
        <v>674</v>
      </c>
      <c r="AE36" s="783"/>
    </row>
    <row r="37" spans="2:31" s="1" customFormat="1" ht="15.75" customHeight="1">
      <c r="B37" s="1866"/>
      <c r="C37" s="1814"/>
      <c r="D37" s="1814"/>
      <c r="E37" s="1814"/>
      <c r="F37" s="1867"/>
      <c r="I37" s="790" t="s">
        <v>107</v>
      </c>
      <c r="J37" s="1835" t="s">
        <v>816</v>
      </c>
      <c r="K37" s="1836"/>
      <c r="L37" s="1836"/>
      <c r="M37" s="1836"/>
      <c r="N37" s="1836"/>
      <c r="O37" s="1836"/>
      <c r="P37" s="1836"/>
      <c r="Q37" s="1836"/>
      <c r="R37" s="1836"/>
      <c r="S37" s="1836"/>
      <c r="T37" s="1836"/>
      <c r="U37" s="1836"/>
      <c r="V37" s="1580"/>
      <c r="W37" s="1581"/>
      <c r="X37" s="11" t="s">
        <v>89</v>
      </c>
      <c r="AA37" s="408"/>
      <c r="AB37" s="614"/>
      <c r="AC37" s="12"/>
      <c r="AD37" s="614"/>
      <c r="AE37" s="617"/>
    </row>
    <row r="38" spans="2:31" s="1" customFormat="1" ht="15.75" customHeight="1">
      <c r="B38" s="1868"/>
      <c r="C38" s="1869"/>
      <c r="D38" s="1869"/>
      <c r="E38" s="1869"/>
      <c r="F38" s="1870"/>
      <c r="I38" s="613" t="s">
        <v>104</v>
      </c>
      <c r="J38" s="785" t="s">
        <v>817</v>
      </c>
      <c r="K38" s="8"/>
      <c r="L38" s="8"/>
      <c r="M38" s="8"/>
      <c r="N38" s="8"/>
      <c r="O38" s="8"/>
      <c r="P38" s="8"/>
      <c r="Q38" s="8"/>
      <c r="R38" s="8"/>
      <c r="S38" s="8"/>
      <c r="T38" s="8"/>
      <c r="U38" s="8"/>
      <c r="V38" s="1798"/>
      <c r="W38" s="1799"/>
      <c r="X38" s="8" t="s">
        <v>89</v>
      </c>
      <c r="Y38" s="408"/>
      <c r="Z38" s="773"/>
      <c r="AA38" s="625"/>
      <c r="AB38" s="641" t="s">
        <v>121</v>
      </c>
      <c r="AC38" s="641" t="s">
        <v>440</v>
      </c>
      <c r="AD38" s="641" t="s">
        <v>121</v>
      </c>
      <c r="AE38" s="617"/>
    </row>
    <row r="39" spans="2:31" s="1" customFormat="1" ht="6" customHeight="1">
      <c r="B39" s="1868"/>
      <c r="C39" s="1578"/>
      <c r="D39" s="1869"/>
      <c r="E39" s="1869"/>
      <c r="F39" s="1870"/>
      <c r="G39" s="8"/>
      <c r="H39" s="8"/>
      <c r="I39" s="8"/>
      <c r="J39" s="8"/>
      <c r="K39" s="8"/>
      <c r="L39" s="8"/>
      <c r="M39" s="8"/>
      <c r="N39" s="8"/>
      <c r="O39" s="8"/>
      <c r="P39" s="8"/>
      <c r="Q39" s="8"/>
      <c r="R39" s="8"/>
      <c r="S39" s="8"/>
      <c r="T39" s="8"/>
      <c r="U39" s="786"/>
      <c r="V39" s="791"/>
      <c r="W39" s="612"/>
      <c r="X39" s="8"/>
      <c r="Y39" s="8"/>
      <c r="Z39" s="8"/>
      <c r="AA39" s="409"/>
      <c r="AB39" s="8"/>
      <c r="AC39" s="8"/>
      <c r="AD39" s="645"/>
      <c r="AE39" s="632"/>
    </row>
    <row r="40" spans="2:31" s="1" customFormat="1" ht="9.75" customHeight="1">
      <c r="B40" s="599"/>
      <c r="C40" s="599"/>
      <c r="D40" s="599"/>
      <c r="E40" s="599"/>
      <c r="F40" s="599"/>
      <c r="U40" s="773"/>
      <c r="V40" s="792"/>
      <c r="W40" s="12"/>
    </row>
    <row r="41" spans="2:31" s="1" customFormat="1" ht="13.5" customHeight="1">
      <c r="B41" s="1" t="s">
        <v>832</v>
      </c>
      <c r="C41" s="599"/>
      <c r="D41" s="599"/>
      <c r="E41" s="599"/>
      <c r="F41" s="599"/>
      <c r="U41" s="773"/>
      <c r="V41" s="792"/>
      <c r="W41" s="12"/>
    </row>
    <row r="42" spans="2:31" s="1" customFormat="1">
      <c r="B42" s="732" t="s">
        <v>833</v>
      </c>
      <c r="C42" s="599"/>
      <c r="D42" s="599"/>
      <c r="E42" s="599"/>
      <c r="F42" s="599"/>
      <c r="U42" s="773"/>
      <c r="V42" s="792"/>
      <c r="W42" s="12"/>
    </row>
    <row r="43" spans="2:31" s="1" customFormat="1" ht="4.5" customHeight="1">
      <c r="B43" s="1584" t="s">
        <v>814</v>
      </c>
      <c r="C43" s="1585"/>
      <c r="D43" s="1585"/>
      <c r="E43" s="1585"/>
      <c r="F43" s="1586"/>
      <c r="G43" s="6"/>
      <c r="H43" s="7"/>
      <c r="I43" s="7"/>
      <c r="J43" s="7"/>
      <c r="K43" s="7"/>
      <c r="L43" s="7"/>
      <c r="M43" s="7"/>
      <c r="N43" s="7"/>
      <c r="O43" s="7"/>
      <c r="P43" s="7"/>
      <c r="Q43" s="7"/>
      <c r="R43" s="7"/>
      <c r="S43" s="7"/>
      <c r="T43" s="7"/>
      <c r="U43" s="7"/>
      <c r="V43" s="611"/>
      <c r="W43" s="611"/>
      <c r="X43" s="7"/>
      <c r="Y43" s="7"/>
      <c r="Z43" s="7"/>
      <c r="AA43" s="6"/>
      <c r="AB43" s="7"/>
      <c r="AC43" s="7"/>
      <c r="AD43" s="22"/>
      <c r="AE43" s="23"/>
    </row>
    <row r="44" spans="2:31" s="1" customFormat="1" ht="13.5" customHeight="1">
      <c r="B44" s="1866"/>
      <c r="C44" s="1814"/>
      <c r="D44" s="1814"/>
      <c r="E44" s="1814"/>
      <c r="F44" s="1867"/>
      <c r="G44" s="408"/>
      <c r="H44" s="1" t="s">
        <v>821</v>
      </c>
      <c r="V44" s="12"/>
      <c r="W44" s="12"/>
      <c r="AA44" s="408"/>
      <c r="AB44" s="653" t="s">
        <v>1118</v>
      </c>
      <c r="AC44" s="653" t="s">
        <v>440</v>
      </c>
      <c r="AD44" s="653" t="s">
        <v>674</v>
      </c>
      <c r="AE44" s="783"/>
    </row>
    <row r="45" spans="2:31" s="1" customFormat="1" ht="15.75" customHeight="1">
      <c r="B45" s="1866"/>
      <c r="C45" s="1814"/>
      <c r="D45" s="1814"/>
      <c r="E45" s="1814"/>
      <c r="F45" s="1867"/>
      <c r="G45" s="408"/>
      <c r="I45" s="613" t="s">
        <v>107</v>
      </c>
      <c r="J45" s="1835" t="s">
        <v>816</v>
      </c>
      <c r="K45" s="1836"/>
      <c r="L45" s="1836"/>
      <c r="M45" s="1836"/>
      <c r="N45" s="1836"/>
      <c r="O45" s="1836"/>
      <c r="P45" s="1836"/>
      <c r="Q45" s="1836"/>
      <c r="R45" s="1836"/>
      <c r="S45" s="1836"/>
      <c r="T45" s="1836"/>
      <c r="U45" s="1836"/>
      <c r="V45" s="1580"/>
      <c r="W45" s="1581"/>
      <c r="X45" s="11" t="s">
        <v>89</v>
      </c>
      <c r="AA45" s="408"/>
      <c r="AB45" s="614"/>
      <c r="AC45" s="12"/>
      <c r="AD45" s="614"/>
      <c r="AE45" s="617"/>
    </row>
    <row r="46" spans="2:31" s="1" customFormat="1" ht="15.75" customHeight="1">
      <c r="B46" s="1866"/>
      <c r="C46" s="1814"/>
      <c r="D46" s="1814"/>
      <c r="E46" s="1814"/>
      <c r="F46" s="1867"/>
      <c r="G46" s="408"/>
      <c r="I46" s="784" t="s">
        <v>104</v>
      </c>
      <c r="J46" s="785" t="s">
        <v>817</v>
      </c>
      <c r="K46" s="8"/>
      <c r="L46" s="8"/>
      <c r="M46" s="8"/>
      <c r="N46" s="8"/>
      <c r="O46" s="8"/>
      <c r="P46" s="8"/>
      <c r="Q46" s="8"/>
      <c r="R46" s="8"/>
      <c r="S46" s="8"/>
      <c r="T46" s="8"/>
      <c r="U46" s="8"/>
      <c r="V46" s="1798"/>
      <c r="W46" s="1799"/>
      <c r="X46" s="424" t="s">
        <v>89</v>
      </c>
      <c r="Z46" s="773"/>
      <c r="AA46" s="625"/>
      <c r="AB46" s="641" t="s">
        <v>121</v>
      </c>
      <c r="AC46" s="641" t="s">
        <v>440</v>
      </c>
      <c r="AD46" s="641" t="s">
        <v>121</v>
      </c>
      <c r="AE46" s="617"/>
    </row>
    <row r="47" spans="2:31" s="1" customFormat="1" ht="6" customHeight="1">
      <c r="B47" s="1868"/>
      <c r="C47" s="1869"/>
      <c r="D47" s="1869"/>
      <c r="E47" s="1869"/>
      <c r="F47" s="1870"/>
      <c r="G47" s="409"/>
      <c r="H47" s="8"/>
      <c r="I47" s="8"/>
      <c r="J47" s="8"/>
      <c r="K47" s="8"/>
      <c r="L47" s="8"/>
      <c r="M47" s="8"/>
      <c r="N47" s="8"/>
      <c r="O47" s="8"/>
      <c r="P47" s="8"/>
      <c r="Q47" s="8"/>
      <c r="R47" s="8"/>
      <c r="S47" s="8"/>
      <c r="T47" s="8"/>
      <c r="U47" s="786"/>
      <c r="V47" s="791"/>
      <c r="W47" s="612"/>
      <c r="X47" s="8"/>
      <c r="Y47" s="8"/>
      <c r="Z47" s="8"/>
      <c r="AA47" s="409"/>
      <c r="AB47" s="8"/>
      <c r="AC47" s="8"/>
      <c r="AD47" s="645"/>
      <c r="AE47" s="632"/>
    </row>
    <row r="48" spans="2:31" s="1" customFormat="1" ht="4.5" customHeight="1">
      <c r="B48" s="1584" t="s">
        <v>834</v>
      </c>
      <c r="C48" s="1585"/>
      <c r="D48" s="1585"/>
      <c r="E48" s="1585"/>
      <c r="F48" s="1586"/>
      <c r="G48" s="6"/>
      <c r="H48" s="7"/>
      <c r="I48" s="7"/>
      <c r="J48" s="7"/>
      <c r="K48" s="7"/>
      <c r="L48" s="7"/>
      <c r="M48" s="7"/>
      <c r="N48" s="7"/>
      <c r="O48" s="7"/>
      <c r="P48" s="7"/>
      <c r="Q48" s="7"/>
      <c r="R48" s="7"/>
      <c r="S48" s="7"/>
      <c r="T48" s="7"/>
      <c r="U48" s="7"/>
      <c r="V48" s="611"/>
      <c r="W48" s="611"/>
      <c r="X48" s="7"/>
      <c r="Y48" s="7"/>
      <c r="Z48" s="7"/>
      <c r="AA48" s="6"/>
      <c r="AB48" s="7"/>
      <c r="AC48" s="7"/>
      <c r="AD48" s="22"/>
      <c r="AE48" s="23"/>
    </row>
    <row r="49" spans="2:31" s="1" customFormat="1" ht="13.5" customHeight="1">
      <c r="B49" s="1866"/>
      <c r="C49" s="1814"/>
      <c r="D49" s="1814"/>
      <c r="E49" s="1814"/>
      <c r="F49" s="1867"/>
      <c r="G49" s="408"/>
      <c r="H49" s="1" t="s">
        <v>835</v>
      </c>
      <c r="V49" s="12"/>
      <c r="W49" s="12"/>
      <c r="AA49" s="408"/>
      <c r="AB49" s="653" t="s">
        <v>1118</v>
      </c>
      <c r="AC49" s="653" t="s">
        <v>440</v>
      </c>
      <c r="AD49" s="653" t="s">
        <v>674</v>
      </c>
      <c r="AE49" s="783"/>
    </row>
    <row r="50" spans="2:31" s="1" customFormat="1">
      <c r="B50" s="1866"/>
      <c r="C50" s="1814"/>
      <c r="D50" s="1814"/>
      <c r="E50" s="1814"/>
      <c r="F50" s="1867"/>
      <c r="G50" s="408"/>
      <c r="I50" s="613" t="s">
        <v>107</v>
      </c>
      <c r="J50" s="1833" t="s">
        <v>836</v>
      </c>
      <c r="K50" s="1843"/>
      <c r="L50" s="1843"/>
      <c r="M50" s="1843"/>
      <c r="N50" s="1843"/>
      <c r="O50" s="1843"/>
      <c r="P50" s="1843"/>
      <c r="Q50" s="1843"/>
      <c r="R50" s="1843"/>
      <c r="S50" s="1843"/>
      <c r="T50" s="1843"/>
      <c r="U50" s="1843"/>
      <c r="V50" s="1794"/>
      <c r="W50" s="1580"/>
      <c r="X50" s="11" t="s">
        <v>89</v>
      </c>
      <c r="AA50" s="408"/>
      <c r="AB50" s="614"/>
      <c r="AC50" s="12"/>
      <c r="AD50" s="614"/>
      <c r="AE50" s="617"/>
    </row>
    <row r="51" spans="2:31" s="1" customFormat="1" ht="14.25" customHeight="1">
      <c r="B51" s="1866"/>
      <c r="C51" s="1814"/>
      <c r="D51" s="1814"/>
      <c r="E51" s="1814"/>
      <c r="F51" s="1867"/>
      <c r="G51" s="408"/>
      <c r="I51" s="784" t="s">
        <v>104</v>
      </c>
      <c r="J51" s="1835" t="s">
        <v>837</v>
      </c>
      <c r="K51" s="1836"/>
      <c r="L51" s="1836"/>
      <c r="M51" s="1836"/>
      <c r="N51" s="1836"/>
      <c r="O51" s="1836"/>
      <c r="P51" s="1836"/>
      <c r="Q51" s="1836"/>
      <c r="R51" s="1836"/>
      <c r="S51" s="1836"/>
      <c r="T51" s="1836"/>
      <c r="U51" s="1836"/>
      <c r="V51" s="1794"/>
      <c r="W51" s="1580"/>
      <c r="X51" s="424" t="s">
        <v>89</v>
      </c>
      <c r="Z51" s="773"/>
      <c r="AA51" s="625"/>
      <c r="AB51" s="641" t="s">
        <v>121</v>
      </c>
      <c r="AC51" s="641" t="s">
        <v>440</v>
      </c>
      <c r="AD51" s="641" t="s">
        <v>121</v>
      </c>
      <c r="AE51" s="617"/>
    </row>
    <row r="52" spans="2:31" s="1" customFormat="1" ht="6" customHeight="1">
      <c r="B52" s="1868"/>
      <c r="C52" s="1869"/>
      <c r="D52" s="1869"/>
      <c r="E52" s="1869"/>
      <c r="F52" s="1870"/>
      <c r="G52" s="409"/>
      <c r="H52" s="8"/>
      <c r="I52" s="8"/>
      <c r="J52" s="8"/>
      <c r="K52" s="8"/>
      <c r="L52" s="8"/>
      <c r="M52" s="8"/>
      <c r="N52" s="8"/>
      <c r="O52" s="8"/>
      <c r="P52" s="8"/>
      <c r="Q52" s="8"/>
      <c r="R52" s="8"/>
      <c r="S52" s="8"/>
      <c r="T52" s="8"/>
      <c r="U52" s="786"/>
      <c r="V52" s="791"/>
      <c r="W52" s="612"/>
      <c r="X52" s="8"/>
      <c r="Y52" s="8"/>
      <c r="Z52" s="8"/>
      <c r="AA52" s="409"/>
      <c r="AB52" s="8"/>
      <c r="AC52" s="8"/>
      <c r="AD52" s="645"/>
      <c r="AE52" s="632"/>
    </row>
    <row r="53" spans="2:31" s="1" customFormat="1" ht="4.5" customHeight="1">
      <c r="B53" s="1584" t="s">
        <v>824</v>
      </c>
      <c r="C53" s="1585"/>
      <c r="D53" s="1585"/>
      <c r="E53" s="1585"/>
      <c r="F53" s="1586"/>
      <c r="G53" s="6"/>
      <c r="H53" s="7"/>
      <c r="I53" s="7"/>
      <c r="J53" s="7"/>
      <c r="K53" s="7"/>
      <c r="L53" s="7"/>
      <c r="M53" s="7"/>
      <c r="N53" s="7"/>
      <c r="O53" s="7"/>
      <c r="P53" s="7"/>
      <c r="Q53" s="7"/>
      <c r="R53" s="7"/>
      <c r="S53" s="7"/>
      <c r="T53" s="7"/>
      <c r="U53" s="7"/>
      <c r="V53" s="611"/>
      <c r="W53" s="611"/>
      <c r="X53" s="7"/>
      <c r="Y53" s="7"/>
      <c r="Z53" s="7"/>
      <c r="AA53" s="6"/>
      <c r="AB53" s="7"/>
      <c r="AC53" s="7"/>
      <c r="AD53" s="22"/>
      <c r="AE53" s="23"/>
    </row>
    <row r="54" spans="2:31" s="1" customFormat="1" ht="13.5" customHeight="1">
      <c r="B54" s="1866"/>
      <c r="C54" s="1814"/>
      <c r="D54" s="1814"/>
      <c r="E54" s="1814"/>
      <c r="F54" s="1867"/>
      <c r="G54" s="408"/>
      <c r="H54" s="1" t="s">
        <v>825</v>
      </c>
      <c r="V54" s="12"/>
      <c r="W54" s="12"/>
      <c r="AA54" s="408"/>
      <c r="AB54" s="653" t="s">
        <v>1118</v>
      </c>
      <c r="AC54" s="653" t="s">
        <v>440</v>
      </c>
      <c r="AD54" s="653" t="s">
        <v>674</v>
      </c>
      <c r="AE54" s="783"/>
    </row>
    <row r="55" spans="2:31" s="1" customFormat="1" ht="30" customHeight="1">
      <c r="B55" s="1866"/>
      <c r="C55" s="1814"/>
      <c r="D55" s="1814"/>
      <c r="E55" s="1814"/>
      <c r="F55" s="1867"/>
      <c r="G55" s="408"/>
      <c r="I55" s="613" t="s">
        <v>107</v>
      </c>
      <c r="J55" s="1833" t="s">
        <v>838</v>
      </c>
      <c r="K55" s="1843"/>
      <c r="L55" s="1843"/>
      <c r="M55" s="1843"/>
      <c r="N55" s="1843"/>
      <c r="O55" s="1843"/>
      <c r="P55" s="1843"/>
      <c r="Q55" s="1843"/>
      <c r="R55" s="1843"/>
      <c r="S55" s="1843"/>
      <c r="T55" s="1843"/>
      <c r="U55" s="1843"/>
      <c r="V55" s="1794"/>
      <c r="W55" s="1580"/>
      <c r="X55" s="11" t="s">
        <v>89</v>
      </c>
      <c r="AA55" s="408"/>
      <c r="AD55" s="2"/>
      <c r="AE55" s="617"/>
    </row>
    <row r="56" spans="2:31" s="1" customFormat="1" ht="33" customHeight="1">
      <c r="B56" s="1866"/>
      <c r="C56" s="1814"/>
      <c r="D56" s="1814"/>
      <c r="E56" s="1814"/>
      <c r="F56" s="1867"/>
      <c r="G56" s="408"/>
      <c r="I56" s="784" t="s">
        <v>104</v>
      </c>
      <c r="J56" s="1835" t="s">
        <v>839</v>
      </c>
      <c r="K56" s="1836"/>
      <c r="L56" s="1836"/>
      <c r="M56" s="1836"/>
      <c r="N56" s="1836"/>
      <c r="O56" s="1836"/>
      <c r="P56" s="1836"/>
      <c r="Q56" s="1836"/>
      <c r="R56" s="1836"/>
      <c r="S56" s="1836"/>
      <c r="T56" s="1836"/>
      <c r="U56" s="1836"/>
      <c r="V56" s="1794"/>
      <c r="W56" s="1580"/>
      <c r="X56" s="424" t="s">
        <v>89</v>
      </c>
      <c r="Z56" s="773"/>
      <c r="AA56" s="625"/>
      <c r="AB56" s="641" t="s">
        <v>121</v>
      </c>
      <c r="AC56" s="641" t="s">
        <v>440</v>
      </c>
      <c r="AD56" s="641" t="s">
        <v>121</v>
      </c>
      <c r="AE56" s="617"/>
    </row>
    <row r="57" spans="2:31" s="1" customFormat="1" ht="6" customHeight="1">
      <c r="B57" s="1868"/>
      <c r="C57" s="1869"/>
      <c r="D57" s="1869"/>
      <c r="E57" s="1869"/>
      <c r="F57" s="1870"/>
      <c r="G57" s="409"/>
      <c r="H57" s="8"/>
      <c r="I57" s="8"/>
      <c r="J57" s="8"/>
      <c r="K57" s="8"/>
      <c r="L57" s="8"/>
      <c r="M57" s="8"/>
      <c r="N57" s="8"/>
      <c r="O57" s="8"/>
      <c r="P57" s="8"/>
      <c r="Q57" s="8"/>
      <c r="R57" s="8"/>
      <c r="S57" s="8"/>
      <c r="T57" s="8"/>
      <c r="U57" s="786"/>
      <c r="V57" s="786"/>
      <c r="W57" s="8"/>
      <c r="X57" s="8"/>
      <c r="Y57" s="8"/>
      <c r="Z57" s="8"/>
      <c r="AA57" s="409"/>
      <c r="AB57" s="8"/>
      <c r="AC57" s="8"/>
      <c r="AD57" s="645"/>
      <c r="AE57" s="632"/>
    </row>
    <row r="58" spans="2:31" s="1" customFormat="1" ht="6" customHeight="1">
      <c r="B58" s="599"/>
      <c r="C58" s="599"/>
      <c r="D58" s="599"/>
      <c r="E58" s="599"/>
      <c r="F58" s="599"/>
      <c r="U58" s="773"/>
      <c r="V58" s="773"/>
    </row>
    <row r="59" spans="2:31" s="1" customFormat="1" ht="13.5" customHeight="1">
      <c r="B59" s="1821" t="s">
        <v>840</v>
      </c>
      <c r="C59" s="1822"/>
      <c r="D59" s="774" t="s">
        <v>1631</v>
      </c>
      <c r="E59" s="774"/>
      <c r="F59" s="774"/>
      <c r="G59" s="774"/>
      <c r="H59" s="774"/>
      <c r="I59" s="774"/>
      <c r="J59" s="774"/>
      <c r="K59" s="774"/>
      <c r="L59" s="774"/>
      <c r="M59" s="774"/>
      <c r="N59" s="774"/>
      <c r="O59" s="774"/>
      <c r="P59" s="774"/>
      <c r="Q59" s="774"/>
      <c r="R59" s="774"/>
      <c r="S59" s="774"/>
      <c r="T59" s="774"/>
      <c r="U59" s="774"/>
      <c r="V59" s="774"/>
      <c r="W59" s="774"/>
      <c r="X59" s="774"/>
      <c r="Y59" s="774"/>
      <c r="Z59" s="774"/>
      <c r="AA59" s="774"/>
      <c r="AB59" s="774"/>
      <c r="AC59" s="774"/>
      <c r="AD59" s="774"/>
      <c r="AE59" s="774"/>
    </row>
    <row r="60" spans="2:31" s="1" customFormat="1" ht="37.5" customHeight="1">
      <c r="B60" s="1821" t="s">
        <v>841</v>
      </c>
      <c r="C60" s="1822"/>
      <c r="D60" s="1865" t="s">
        <v>842</v>
      </c>
      <c r="E60" s="1865"/>
      <c r="F60" s="1865"/>
      <c r="G60" s="1865"/>
      <c r="H60" s="1865"/>
      <c r="I60" s="1865"/>
      <c r="J60" s="1865"/>
      <c r="K60" s="1865"/>
      <c r="L60" s="1865"/>
      <c r="M60" s="1865"/>
      <c r="N60" s="1865"/>
      <c r="O60" s="1865"/>
      <c r="P60" s="1865"/>
      <c r="Q60" s="1865"/>
      <c r="R60" s="1865"/>
      <c r="S60" s="1865"/>
      <c r="T60" s="1865"/>
      <c r="U60" s="1865"/>
      <c r="V60" s="1865"/>
      <c r="W60" s="1865"/>
      <c r="X60" s="1865"/>
      <c r="Y60" s="1865"/>
      <c r="Z60" s="1865"/>
      <c r="AA60" s="1865"/>
      <c r="AB60" s="1865"/>
      <c r="AC60" s="1865"/>
      <c r="AD60" s="1865"/>
      <c r="AE60" s="1865"/>
    </row>
    <row r="122" spans="3:7">
      <c r="C122" s="59"/>
      <c r="D122" s="59"/>
      <c r="E122" s="59"/>
      <c r="F122" s="59"/>
      <c r="G122" s="59"/>
    </row>
    <row r="123" spans="3:7">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3"/>
  <pageMargins left="0.7" right="0.7" top="0.75" bottom="0.75" header="0.3" footer="0.3"/>
  <pageSetup paperSize="9" scale="87"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A6CA39A-A102-42A3-B16E-1F4FB0895B63}">
          <x14:formula1>
            <xm:f>"□,■"</xm:f>
          </x14:formula1>
          <xm:sqref>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AB23 JX23 TT23 ADP23 ANL23 AXH23 BHD23 BQZ23 CAV23 CKR23 CUN23 DEJ23 DOF23 DYB23 EHX23 ERT23 FBP23 FLL23 FVH23 GFD23 GOZ23 GYV23 HIR23 HSN23 ICJ23 IMF23 IWB23 JFX23 JPT23 JZP23 KJL23 KTH23 LDD23 LMZ23 LWV23 MGR23 MQN23 NAJ23 NKF23 NUB23 ODX23 ONT23 OXP23 PHL23 PRH23 QBD23 QKZ23 QUV23 RER23 RON23 RYJ23 SIF23 SSB23 TBX23 TLT23 TVP23 UFL23 UPH23 UZD23 VIZ23 VSV23 WCR23 WMN23 WWJ23 AB65559 JX65559 TT65559 ADP65559 ANL65559 AXH65559 BHD65559 BQZ65559 CAV65559 CKR65559 CUN65559 DEJ65559 DOF65559 DYB65559 EHX65559 ERT65559 FBP65559 FLL65559 FVH65559 GFD65559 GOZ65559 GYV65559 HIR65559 HSN65559 ICJ65559 IMF65559 IWB65559 JFX65559 JPT65559 JZP65559 KJL65559 KTH65559 LDD65559 LMZ65559 LWV65559 MGR65559 MQN65559 NAJ65559 NKF65559 NUB65559 ODX65559 ONT65559 OXP65559 PHL65559 PRH65559 QBD65559 QKZ65559 QUV65559 RER65559 RON65559 RYJ65559 SIF65559 SSB65559 TBX65559 TLT65559 TVP65559 UFL65559 UPH65559 UZD65559 VIZ65559 VSV65559 WCR65559 WMN65559 WWJ65559 AB131095 JX131095 TT131095 ADP131095 ANL131095 AXH131095 BHD131095 BQZ131095 CAV131095 CKR131095 CUN131095 DEJ131095 DOF131095 DYB131095 EHX131095 ERT131095 FBP131095 FLL131095 FVH131095 GFD131095 GOZ131095 GYV131095 HIR131095 HSN131095 ICJ131095 IMF131095 IWB131095 JFX131095 JPT131095 JZP131095 KJL131095 KTH131095 LDD131095 LMZ131095 LWV131095 MGR131095 MQN131095 NAJ131095 NKF131095 NUB131095 ODX131095 ONT131095 OXP131095 PHL131095 PRH131095 QBD131095 QKZ131095 QUV131095 RER131095 RON131095 RYJ131095 SIF131095 SSB131095 TBX131095 TLT131095 TVP131095 UFL131095 UPH131095 UZD131095 VIZ131095 VSV131095 WCR131095 WMN131095 WWJ131095 AB196631 JX196631 TT196631 ADP196631 ANL196631 AXH196631 BHD196631 BQZ196631 CAV196631 CKR196631 CUN196631 DEJ196631 DOF196631 DYB196631 EHX196631 ERT196631 FBP196631 FLL196631 FVH196631 GFD196631 GOZ196631 GYV196631 HIR196631 HSN196631 ICJ196631 IMF196631 IWB196631 JFX196631 JPT196631 JZP196631 KJL196631 KTH196631 LDD196631 LMZ196631 LWV196631 MGR196631 MQN196631 NAJ196631 NKF196631 NUB196631 ODX196631 ONT196631 OXP196631 PHL196631 PRH196631 QBD196631 QKZ196631 QUV196631 RER196631 RON196631 RYJ196631 SIF196631 SSB196631 TBX196631 TLT196631 TVP196631 UFL196631 UPH196631 UZD196631 VIZ196631 VSV196631 WCR196631 WMN196631 WWJ196631 AB262167 JX262167 TT262167 ADP262167 ANL262167 AXH262167 BHD262167 BQZ262167 CAV262167 CKR262167 CUN262167 DEJ262167 DOF262167 DYB262167 EHX262167 ERT262167 FBP262167 FLL262167 FVH262167 GFD262167 GOZ262167 GYV262167 HIR262167 HSN262167 ICJ262167 IMF262167 IWB262167 JFX262167 JPT262167 JZP262167 KJL262167 KTH262167 LDD262167 LMZ262167 LWV262167 MGR262167 MQN262167 NAJ262167 NKF262167 NUB262167 ODX262167 ONT262167 OXP262167 PHL262167 PRH262167 QBD262167 QKZ262167 QUV262167 RER262167 RON262167 RYJ262167 SIF262167 SSB262167 TBX262167 TLT262167 TVP262167 UFL262167 UPH262167 UZD262167 VIZ262167 VSV262167 WCR262167 WMN262167 WWJ262167 AB327703 JX327703 TT327703 ADP327703 ANL327703 AXH327703 BHD327703 BQZ327703 CAV327703 CKR327703 CUN327703 DEJ327703 DOF327703 DYB327703 EHX327703 ERT327703 FBP327703 FLL327703 FVH327703 GFD327703 GOZ327703 GYV327703 HIR327703 HSN327703 ICJ327703 IMF327703 IWB327703 JFX327703 JPT327703 JZP327703 KJL327703 KTH327703 LDD327703 LMZ327703 LWV327703 MGR327703 MQN327703 NAJ327703 NKF327703 NUB327703 ODX327703 ONT327703 OXP327703 PHL327703 PRH327703 QBD327703 QKZ327703 QUV327703 RER327703 RON327703 RYJ327703 SIF327703 SSB327703 TBX327703 TLT327703 TVP327703 UFL327703 UPH327703 UZD327703 VIZ327703 VSV327703 WCR327703 WMN327703 WWJ327703 AB393239 JX393239 TT393239 ADP393239 ANL393239 AXH393239 BHD393239 BQZ393239 CAV393239 CKR393239 CUN393239 DEJ393239 DOF393239 DYB393239 EHX393239 ERT393239 FBP393239 FLL393239 FVH393239 GFD393239 GOZ393239 GYV393239 HIR393239 HSN393239 ICJ393239 IMF393239 IWB393239 JFX393239 JPT393239 JZP393239 KJL393239 KTH393239 LDD393239 LMZ393239 LWV393239 MGR393239 MQN393239 NAJ393239 NKF393239 NUB393239 ODX393239 ONT393239 OXP393239 PHL393239 PRH393239 QBD393239 QKZ393239 QUV393239 RER393239 RON393239 RYJ393239 SIF393239 SSB393239 TBX393239 TLT393239 TVP393239 UFL393239 UPH393239 UZD393239 VIZ393239 VSV393239 WCR393239 WMN393239 WWJ393239 AB458775 JX458775 TT458775 ADP458775 ANL458775 AXH458775 BHD458775 BQZ458775 CAV458775 CKR458775 CUN458775 DEJ458775 DOF458775 DYB458775 EHX458775 ERT458775 FBP458775 FLL458775 FVH458775 GFD458775 GOZ458775 GYV458775 HIR458775 HSN458775 ICJ458775 IMF458775 IWB458775 JFX458775 JPT458775 JZP458775 KJL458775 KTH458775 LDD458775 LMZ458775 LWV458775 MGR458775 MQN458775 NAJ458775 NKF458775 NUB458775 ODX458775 ONT458775 OXP458775 PHL458775 PRH458775 QBD458775 QKZ458775 QUV458775 RER458775 RON458775 RYJ458775 SIF458775 SSB458775 TBX458775 TLT458775 TVP458775 UFL458775 UPH458775 UZD458775 VIZ458775 VSV458775 WCR458775 WMN458775 WWJ458775 AB524311 JX524311 TT524311 ADP524311 ANL524311 AXH524311 BHD524311 BQZ524311 CAV524311 CKR524311 CUN524311 DEJ524311 DOF524311 DYB524311 EHX524311 ERT524311 FBP524311 FLL524311 FVH524311 GFD524311 GOZ524311 GYV524311 HIR524311 HSN524311 ICJ524311 IMF524311 IWB524311 JFX524311 JPT524311 JZP524311 KJL524311 KTH524311 LDD524311 LMZ524311 LWV524311 MGR524311 MQN524311 NAJ524311 NKF524311 NUB524311 ODX524311 ONT524311 OXP524311 PHL524311 PRH524311 QBD524311 QKZ524311 QUV524311 RER524311 RON524311 RYJ524311 SIF524311 SSB524311 TBX524311 TLT524311 TVP524311 UFL524311 UPH524311 UZD524311 VIZ524311 VSV524311 WCR524311 WMN524311 WWJ524311 AB589847 JX589847 TT589847 ADP589847 ANL589847 AXH589847 BHD589847 BQZ589847 CAV589847 CKR589847 CUN589847 DEJ589847 DOF589847 DYB589847 EHX589847 ERT589847 FBP589847 FLL589847 FVH589847 GFD589847 GOZ589847 GYV589847 HIR589847 HSN589847 ICJ589847 IMF589847 IWB589847 JFX589847 JPT589847 JZP589847 KJL589847 KTH589847 LDD589847 LMZ589847 LWV589847 MGR589847 MQN589847 NAJ589847 NKF589847 NUB589847 ODX589847 ONT589847 OXP589847 PHL589847 PRH589847 QBD589847 QKZ589847 QUV589847 RER589847 RON589847 RYJ589847 SIF589847 SSB589847 TBX589847 TLT589847 TVP589847 UFL589847 UPH589847 UZD589847 VIZ589847 VSV589847 WCR589847 WMN589847 WWJ589847 AB655383 JX655383 TT655383 ADP655383 ANL655383 AXH655383 BHD655383 BQZ655383 CAV655383 CKR655383 CUN655383 DEJ655383 DOF655383 DYB655383 EHX655383 ERT655383 FBP655383 FLL655383 FVH655383 GFD655383 GOZ655383 GYV655383 HIR655383 HSN655383 ICJ655383 IMF655383 IWB655383 JFX655383 JPT655383 JZP655383 KJL655383 KTH655383 LDD655383 LMZ655383 LWV655383 MGR655383 MQN655383 NAJ655383 NKF655383 NUB655383 ODX655383 ONT655383 OXP655383 PHL655383 PRH655383 QBD655383 QKZ655383 QUV655383 RER655383 RON655383 RYJ655383 SIF655383 SSB655383 TBX655383 TLT655383 TVP655383 UFL655383 UPH655383 UZD655383 VIZ655383 VSV655383 WCR655383 WMN655383 WWJ655383 AB720919 JX720919 TT720919 ADP720919 ANL720919 AXH720919 BHD720919 BQZ720919 CAV720919 CKR720919 CUN720919 DEJ720919 DOF720919 DYB720919 EHX720919 ERT720919 FBP720919 FLL720919 FVH720919 GFD720919 GOZ720919 GYV720919 HIR720919 HSN720919 ICJ720919 IMF720919 IWB720919 JFX720919 JPT720919 JZP720919 KJL720919 KTH720919 LDD720919 LMZ720919 LWV720919 MGR720919 MQN720919 NAJ720919 NKF720919 NUB720919 ODX720919 ONT720919 OXP720919 PHL720919 PRH720919 QBD720919 QKZ720919 QUV720919 RER720919 RON720919 RYJ720919 SIF720919 SSB720919 TBX720919 TLT720919 TVP720919 UFL720919 UPH720919 UZD720919 VIZ720919 VSV720919 WCR720919 WMN720919 WWJ720919 AB786455 JX786455 TT786455 ADP786455 ANL786455 AXH786455 BHD786455 BQZ786455 CAV786455 CKR786455 CUN786455 DEJ786455 DOF786455 DYB786455 EHX786455 ERT786455 FBP786455 FLL786455 FVH786455 GFD786455 GOZ786455 GYV786455 HIR786455 HSN786455 ICJ786455 IMF786455 IWB786455 JFX786455 JPT786455 JZP786455 KJL786455 KTH786455 LDD786455 LMZ786455 LWV786455 MGR786455 MQN786455 NAJ786455 NKF786455 NUB786455 ODX786455 ONT786455 OXP786455 PHL786455 PRH786455 QBD786455 QKZ786455 QUV786455 RER786455 RON786455 RYJ786455 SIF786455 SSB786455 TBX786455 TLT786455 TVP786455 UFL786455 UPH786455 UZD786455 VIZ786455 VSV786455 WCR786455 WMN786455 WWJ786455 AB851991 JX851991 TT851991 ADP851991 ANL851991 AXH851991 BHD851991 BQZ851991 CAV851991 CKR851991 CUN851991 DEJ851991 DOF851991 DYB851991 EHX851991 ERT851991 FBP851991 FLL851991 FVH851991 GFD851991 GOZ851991 GYV851991 HIR851991 HSN851991 ICJ851991 IMF851991 IWB851991 JFX851991 JPT851991 JZP851991 KJL851991 KTH851991 LDD851991 LMZ851991 LWV851991 MGR851991 MQN851991 NAJ851991 NKF851991 NUB851991 ODX851991 ONT851991 OXP851991 PHL851991 PRH851991 QBD851991 QKZ851991 QUV851991 RER851991 RON851991 RYJ851991 SIF851991 SSB851991 TBX851991 TLT851991 TVP851991 UFL851991 UPH851991 UZD851991 VIZ851991 VSV851991 WCR851991 WMN851991 WWJ851991 AB917527 JX917527 TT917527 ADP917527 ANL917527 AXH917527 BHD917527 BQZ917527 CAV917527 CKR917527 CUN917527 DEJ917527 DOF917527 DYB917527 EHX917527 ERT917527 FBP917527 FLL917527 FVH917527 GFD917527 GOZ917527 GYV917527 HIR917527 HSN917527 ICJ917527 IMF917527 IWB917527 JFX917527 JPT917527 JZP917527 KJL917527 KTH917527 LDD917527 LMZ917527 LWV917527 MGR917527 MQN917527 NAJ917527 NKF917527 NUB917527 ODX917527 ONT917527 OXP917527 PHL917527 PRH917527 QBD917527 QKZ917527 QUV917527 RER917527 RON917527 RYJ917527 SIF917527 SSB917527 TBX917527 TLT917527 TVP917527 UFL917527 UPH917527 UZD917527 VIZ917527 VSV917527 WCR917527 WMN917527 WWJ917527 AB983063 JX983063 TT983063 ADP983063 ANL983063 AXH983063 BHD983063 BQZ983063 CAV983063 CKR983063 CUN983063 DEJ983063 DOF983063 DYB983063 EHX983063 ERT983063 FBP983063 FLL983063 FVH983063 GFD983063 GOZ983063 GYV983063 HIR983063 HSN983063 ICJ983063 IMF983063 IWB983063 JFX983063 JPT983063 JZP983063 KJL983063 KTH983063 LDD983063 LMZ983063 LWV983063 MGR983063 MQN983063 NAJ983063 NKF983063 NUB983063 ODX983063 ONT983063 OXP983063 PHL983063 PRH983063 QBD983063 QKZ983063 QUV983063 RER983063 RON983063 RYJ983063 SIF983063 SSB983063 TBX983063 TLT983063 TVP983063 UFL983063 UPH983063 UZD983063 VIZ983063 VSV983063 WCR983063 WMN983063 WWJ983063 AD23 JZ23 TV23 ADR23 ANN23 AXJ23 BHF23 BRB23 CAX23 CKT23 CUP23 DEL23 DOH23 DYD23 EHZ23 ERV23 FBR23 FLN23 FVJ23 GFF23 GPB23 GYX23 HIT23 HSP23 ICL23 IMH23 IWD23 JFZ23 JPV23 JZR23 KJN23 KTJ23 LDF23 LNB23 LWX23 MGT23 MQP23 NAL23 NKH23 NUD23 ODZ23 ONV23 OXR23 PHN23 PRJ23 QBF23 QLB23 QUX23 RET23 ROP23 RYL23 SIH23 SSD23 TBZ23 TLV23 TVR23 UFN23 UPJ23 UZF23 VJB23 VSX23 WCT23 WMP23 WWL23 AD65559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AD131095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AD196631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AD262167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AD327703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AD393239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AD458775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AD524311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AD589847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AD655383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AD720919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AD786455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AD851991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AD917527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AD983063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AD26 JZ26 TV26 ADR26 ANN26 AXJ26 BHF26 BRB26 CAX26 CKT26 CUP26 DEL26 DOH26 DYD26 EHZ26 ERV26 FBR26 FLN26 FVJ26 GFF26 GPB26 GYX26 HIT26 HSP26 ICL26 IMH26 IWD26 JFZ26 JPV26 JZR26 KJN26 KTJ26 LDF26 LNB26 LWX26 MGT26 MQP26 NAL26 NKH26 NUD26 ODZ26 ONV26 OXR26 PHN26 PRJ26 QBF26 QLB26 QUX26 RET26 ROP26 RYL26 SIH26 SSD26 TBZ26 TLV26 TVR26 UFN26 UPJ26 UZF26 VJB26 VSX26 WCT26 WMP26 WWL26 AD65562 JZ65562 TV65562 ADR65562 ANN65562 AXJ65562 BHF65562 BRB65562 CAX65562 CKT65562 CUP65562 DEL65562 DOH65562 DYD65562 EHZ65562 ERV65562 FBR65562 FLN65562 FVJ65562 GFF65562 GPB65562 GYX65562 HIT65562 HSP65562 ICL65562 IMH65562 IWD65562 JFZ65562 JPV65562 JZR65562 KJN65562 KTJ65562 LDF65562 LNB65562 LWX65562 MGT65562 MQP65562 NAL65562 NKH65562 NUD65562 ODZ65562 ONV65562 OXR65562 PHN65562 PRJ65562 QBF65562 QLB65562 QUX65562 RET65562 ROP65562 RYL65562 SIH65562 SSD65562 TBZ65562 TLV65562 TVR65562 UFN65562 UPJ65562 UZF65562 VJB65562 VSX65562 WCT65562 WMP65562 WWL65562 AD131098 JZ131098 TV131098 ADR131098 ANN131098 AXJ131098 BHF131098 BRB131098 CAX131098 CKT131098 CUP131098 DEL131098 DOH131098 DYD131098 EHZ131098 ERV131098 FBR131098 FLN131098 FVJ131098 GFF131098 GPB131098 GYX131098 HIT131098 HSP131098 ICL131098 IMH131098 IWD131098 JFZ131098 JPV131098 JZR131098 KJN131098 KTJ131098 LDF131098 LNB131098 LWX131098 MGT131098 MQP131098 NAL131098 NKH131098 NUD131098 ODZ131098 ONV131098 OXR131098 PHN131098 PRJ131098 QBF131098 QLB131098 QUX131098 RET131098 ROP131098 RYL131098 SIH131098 SSD131098 TBZ131098 TLV131098 TVR131098 UFN131098 UPJ131098 UZF131098 VJB131098 VSX131098 WCT131098 WMP131098 WWL131098 AD196634 JZ196634 TV196634 ADR196634 ANN196634 AXJ196634 BHF196634 BRB196634 CAX196634 CKT196634 CUP196634 DEL196634 DOH196634 DYD196634 EHZ196634 ERV196634 FBR196634 FLN196634 FVJ196634 GFF196634 GPB196634 GYX196634 HIT196634 HSP196634 ICL196634 IMH196634 IWD196634 JFZ196634 JPV196634 JZR196634 KJN196634 KTJ196634 LDF196634 LNB196634 LWX196634 MGT196634 MQP196634 NAL196634 NKH196634 NUD196634 ODZ196634 ONV196634 OXR196634 PHN196634 PRJ196634 QBF196634 QLB196634 QUX196634 RET196634 ROP196634 RYL196634 SIH196634 SSD196634 TBZ196634 TLV196634 TVR196634 UFN196634 UPJ196634 UZF196634 VJB196634 VSX196634 WCT196634 WMP196634 WWL196634 AD262170 JZ262170 TV262170 ADR262170 ANN262170 AXJ262170 BHF262170 BRB262170 CAX262170 CKT262170 CUP262170 DEL262170 DOH262170 DYD262170 EHZ262170 ERV262170 FBR262170 FLN262170 FVJ262170 GFF262170 GPB262170 GYX262170 HIT262170 HSP262170 ICL262170 IMH262170 IWD262170 JFZ262170 JPV262170 JZR262170 KJN262170 KTJ262170 LDF262170 LNB262170 LWX262170 MGT262170 MQP262170 NAL262170 NKH262170 NUD262170 ODZ262170 ONV262170 OXR262170 PHN262170 PRJ262170 QBF262170 QLB262170 QUX262170 RET262170 ROP262170 RYL262170 SIH262170 SSD262170 TBZ262170 TLV262170 TVR262170 UFN262170 UPJ262170 UZF262170 VJB262170 VSX262170 WCT262170 WMP262170 WWL262170 AD327706 JZ327706 TV327706 ADR327706 ANN327706 AXJ327706 BHF327706 BRB327706 CAX327706 CKT327706 CUP327706 DEL327706 DOH327706 DYD327706 EHZ327706 ERV327706 FBR327706 FLN327706 FVJ327706 GFF327706 GPB327706 GYX327706 HIT327706 HSP327706 ICL327706 IMH327706 IWD327706 JFZ327706 JPV327706 JZR327706 KJN327706 KTJ327706 LDF327706 LNB327706 LWX327706 MGT327706 MQP327706 NAL327706 NKH327706 NUD327706 ODZ327706 ONV327706 OXR327706 PHN327706 PRJ327706 QBF327706 QLB327706 QUX327706 RET327706 ROP327706 RYL327706 SIH327706 SSD327706 TBZ327706 TLV327706 TVR327706 UFN327706 UPJ327706 UZF327706 VJB327706 VSX327706 WCT327706 WMP327706 WWL327706 AD393242 JZ393242 TV393242 ADR393242 ANN393242 AXJ393242 BHF393242 BRB393242 CAX393242 CKT393242 CUP393242 DEL393242 DOH393242 DYD393242 EHZ393242 ERV393242 FBR393242 FLN393242 FVJ393242 GFF393242 GPB393242 GYX393242 HIT393242 HSP393242 ICL393242 IMH393242 IWD393242 JFZ393242 JPV393242 JZR393242 KJN393242 KTJ393242 LDF393242 LNB393242 LWX393242 MGT393242 MQP393242 NAL393242 NKH393242 NUD393242 ODZ393242 ONV393242 OXR393242 PHN393242 PRJ393242 QBF393242 QLB393242 QUX393242 RET393242 ROP393242 RYL393242 SIH393242 SSD393242 TBZ393242 TLV393242 TVR393242 UFN393242 UPJ393242 UZF393242 VJB393242 VSX393242 WCT393242 WMP393242 WWL393242 AD458778 JZ458778 TV458778 ADR458778 ANN458778 AXJ458778 BHF458778 BRB458778 CAX458778 CKT458778 CUP458778 DEL458778 DOH458778 DYD458778 EHZ458778 ERV458778 FBR458778 FLN458778 FVJ458778 GFF458778 GPB458778 GYX458778 HIT458778 HSP458778 ICL458778 IMH458778 IWD458778 JFZ458778 JPV458778 JZR458778 KJN458778 KTJ458778 LDF458778 LNB458778 LWX458778 MGT458778 MQP458778 NAL458778 NKH458778 NUD458778 ODZ458778 ONV458778 OXR458778 PHN458778 PRJ458778 QBF458778 QLB458778 QUX458778 RET458778 ROP458778 RYL458778 SIH458778 SSD458778 TBZ458778 TLV458778 TVR458778 UFN458778 UPJ458778 UZF458778 VJB458778 VSX458778 WCT458778 WMP458778 WWL458778 AD524314 JZ524314 TV524314 ADR524314 ANN524314 AXJ524314 BHF524314 BRB524314 CAX524314 CKT524314 CUP524314 DEL524314 DOH524314 DYD524314 EHZ524314 ERV524314 FBR524314 FLN524314 FVJ524314 GFF524314 GPB524314 GYX524314 HIT524314 HSP524314 ICL524314 IMH524314 IWD524314 JFZ524314 JPV524314 JZR524314 KJN524314 KTJ524314 LDF524314 LNB524314 LWX524314 MGT524314 MQP524314 NAL524314 NKH524314 NUD524314 ODZ524314 ONV524314 OXR524314 PHN524314 PRJ524314 QBF524314 QLB524314 QUX524314 RET524314 ROP524314 RYL524314 SIH524314 SSD524314 TBZ524314 TLV524314 TVR524314 UFN524314 UPJ524314 UZF524314 VJB524314 VSX524314 WCT524314 WMP524314 WWL524314 AD589850 JZ589850 TV589850 ADR589850 ANN589850 AXJ589850 BHF589850 BRB589850 CAX589850 CKT589850 CUP589850 DEL589850 DOH589850 DYD589850 EHZ589850 ERV589850 FBR589850 FLN589850 FVJ589850 GFF589850 GPB589850 GYX589850 HIT589850 HSP589850 ICL589850 IMH589850 IWD589850 JFZ589850 JPV589850 JZR589850 KJN589850 KTJ589850 LDF589850 LNB589850 LWX589850 MGT589850 MQP589850 NAL589850 NKH589850 NUD589850 ODZ589850 ONV589850 OXR589850 PHN589850 PRJ589850 QBF589850 QLB589850 QUX589850 RET589850 ROP589850 RYL589850 SIH589850 SSD589850 TBZ589850 TLV589850 TVR589850 UFN589850 UPJ589850 UZF589850 VJB589850 VSX589850 WCT589850 WMP589850 WWL589850 AD655386 JZ655386 TV655386 ADR655386 ANN655386 AXJ655386 BHF655386 BRB655386 CAX655386 CKT655386 CUP655386 DEL655386 DOH655386 DYD655386 EHZ655386 ERV655386 FBR655386 FLN655386 FVJ655386 GFF655386 GPB655386 GYX655386 HIT655386 HSP655386 ICL655386 IMH655386 IWD655386 JFZ655386 JPV655386 JZR655386 KJN655386 KTJ655386 LDF655386 LNB655386 LWX655386 MGT655386 MQP655386 NAL655386 NKH655386 NUD655386 ODZ655386 ONV655386 OXR655386 PHN655386 PRJ655386 QBF655386 QLB655386 QUX655386 RET655386 ROP655386 RYL655386 SIH655386 SSD655386 TBZ655386 TLV655386 TVR655386 UFN655386 UPJ655386 UZF655386 VJB655386 VSX655386 WCT655386 WMP655386 WWL655386 AD720922 JZ720922 TV720922 ADR720922 ANN720922 AXJ720922 BHF720922 BRB720922 CAX720922 CKT720922 CUP720922 DEL720922 DOH720922 DYD720922 EHZ720922 ERV720922 FBR720922 FLN720922 FVJ720922 GFF720922 GPB720922 GYX720922 HIT720922 HSP720922 ICL720922 IMH720922 IWD720922 JFZ720922 JPV720922 JZR720922 KJN720922 KTJ720922 LDF720922 LNB720922 LWX720922 MGT720922 MQP720922 NAL720922 NKH720922 NUD720922 ODZ720922 ONV720922 OXR720922 PHN720922 PRJ720922 QBF720922 QLB720922 QUX720922 RET720922 ROP720922 RYL720922 SIH720922 SSD720922 TBZ720922 TLV720922 TVR720922 UFN720922 UPJ720922 UZF720922 VJB720922 VSX720922 WCT720922 WMP720922 WWL720922 AD786458 JZ786458 TV786458 ADR786458 ANN786458 AXJ786458 BHF786458 BRB786458 CAX786458 CKT786458 CUP786458 DEL786458 DOH786458 DYD786458 EHZ786458 ERV786458 FBR786458 FLN786458 FVJ786458 GFF786458 GPB786458 GYX786458 HIT786458 HSP786458 ICL786458 IMH786458 IWD786458 JFZ786458 JPV786458 JZR786458 KJN786458 KTJ786458 LDF786458 LNB786458 LWX786458 MGT786458 MQP786458 NAL786458 NKH786458 NUD786458 ODZ786458 ONV786458 OXR786458 PHN786458 PRJ786458 QBF786458 QLB786458 QUX786458 RET786458 ROP786458 RYL786458 SIH786458 SSD786458 TBZ786458 TLV786458 TVR786458 UFN786458 UPJ786458 UZF786458 VJB786458 VSX786458 WCT786458 WMP786458 WWL786458 AD851994 JZ851994 TV851994 ADR851994 ANN851994 AXJ851994 BHF851994 BRB851994 CAX851994 CKT851994 CUP851994 DEL851994 DOH851994 DYD851994 EHZ851994 ERV851994 FBR851994 FLN851994 FVJ851994 GFF851994 GPB851994 GYX851994 HIT851994 HSP851994 ICL851994 IMH851994 IWD851994 JFZ851994 JPV851994 JZR851994 KJN851994 KTJ851994 LDF851994 LNB851994 LWX851994 MGT851994 MQP851994 NAL851994 NKH851994 NUD851994 ODZ851994 ONV851994 OXR851994 PHN851994 PRJ851994 QBF851994 QLB851994 QUX851994 RET851994 ROP851994 RYL851994 SIH851994 SSD851994 TBZ851994 TLV851994 TVR851994 UFN851994 UPJ851994 UZF851994 VJB851994 VSX851994 WCT851994 WMP851994 WWL851994 AD917530 JZ917530 TV917530 ADR917530 ANN917530 AXJ917530 BHF917530 BRB917530 CAX917530 CKT917530 CUP917530 DEL917530 DOH917530 DYD917530 EHZ917530 ERV917530 FBR917530 FLN917530 FVJ917530 GFF917530 GPB917530 GYX917530 HIT917530 HSP917530 ICL917530 IMH917530 IWD917530 JFZ917530 JPV917530 JZR917530 KJN917530 KTJ917530 LDF917530 LNB917530 LWX917530 MGT917530 MQP917530 NAL917530 NKH917530 NUD917530 ODZ917530 ONV917530 OXR917530 PHN917530 PRJ917530 QBF917530 QLB917530 QUX917530 RET917530 ROP917530 RYL917530 SIH917530 SSD917530 TBZ917530 TLV917530 TVR917530 UFN917530 UPJ917530 UZF917530 VJB917530 VSX917530 WCT917530 WMP917530 WWL917530 AD983066 JZ983066 TV983066 ADR983066 ANN983066 AXJ983066 BHF983066 BRB983066 CAX983066 CKT983066 CUP983066 DEL983066 DOH983066 DYD983066 EHZ983066 ERV983066 FBR983066 FLN983066 FVJ983066 GFF983066 GPB983066 GYX983066 HIT983066 HSP983066 ICL983066 IMH983066 IWD983066 JFZ983066 JPV983066 JZR983066 KJN983066 KTJ983066 LDF983066 LNB983066 LWX983066 MGT983066 MQP983066 NAL983066 NKH983066 NUD983066 ODZ983066 ONV983066 OXR983066 PHN983066 PRJ983066 QBF983066 QLB983066 QUX983066 RET983066 ROP983066 RYL983066 SIH983066 SSD983066 TBZ983066 TLV983066 TVR983066 UFN983066 UPJ983066 UZF983066 VJB983066 VSX983066 WCT983066 WMP983066 WWL983066 AB38 JX38 TT38 ADP38 ANL38 AXH38 BHD38 BQZ38 CAV38 CKR38 CUN38 DEJ38 DOF38 DYB38 EHX38 ERT38 FBP38 FLL38 FVH38 GFD38 GOZ38 GYV38 HIR38 HSN38 ICJ38 IMF38 IWB38 JFX38 JPT38 JZP38 KJL38 KTH38 LDD38 LMZ38 LWV38 MGR38 MQN38 NAJ38 NKF38 NUB38 ODX38 ONT38 OXP38 PHL38 PRH38 QBD38 QKZ38 QUV38 RER38 RON38 RYJ38 SIF38 SSB38 TBX38 TLT38 TVP38 UFL38 UPH38 UZD38 VIZ38 VSV38 WCR38 WMN38 WWJ38 AB65574 JX65574 TT65574 ADP65574 ANL65574 AXH65574 BHD65574 BQZ65574 CAV65574 CKR65574 CUN65574 DEJ65574 DOF65574 DYB65574 EHX65574 ERT65574 FBP65574 FLL65574 FVH65574 GFD65574 GOZ65574 GYV65574 HIR65574 HSN65574 ICJ65574 IMF65574 IWB65574 JFX65574 JPT65574 JZP65574 KJL65574 KTH65574 LDD65574 LMZ65574 LWV65574 MGR65574 MQN65574 NAJ65574 NKF65574 NUB65574 ODX65574 ONT65574 OXP65574 PHL65574 PRH65574 QBD65574 QKZ65574 QUV65574 RER65574 RON65574 RYJ65574 SIF65574 SSB65574 TBX65574 TLT65574 TVP65574 UFL65574 UPH65574 UZD65574 VIZ65574 VSV65574 WCR65574 WMN65574 WWJ65574 AB131110 JX131110 TT131110 ADP131110 ANL131110 AXH131110 BHD131110 BQZ131110 CAV131110 CKR131110 CUN131110 DEJ131110 DOF131110 DYB131110 EHX131110 ERT131110 FBP131110 FLL131110 FVH131110 GFD131110 GOZ131110 GYV131110 HIR131110 HSN131110 ICJ131110 IMF131110 IWB131110 JFX131110 JPT131110 JZP131110 KJL131110 KTH131110 LDD131110 LMZ131110 LWV131110 MGR131110 MQN131110 NAJ131110 NKF131110 NUB131110 ODX131110 ONT131110 OXP131110 PHL131110 PRH131110 QBD131110 QKZ131110 QUV131110 RER131110 RON131110 RYJ131110 SIF131110 SSB131110 TBX131110 TLT131110 TVP131110 UFL131110 UPH131110 UZD131110 VIZ131110 VSV131110 WCR131110 WMN131110 WWJ131110 AB196646 JX196646 TT196646 ADP196646 ANL196646 AXH196646 BHD196646 BQZ196646 CAV196646 CKR196646 CUN196646 DEJ196646 DOF196646 DYB196646 EHX196646 ERT196646 FBP196646 FLL196646 FVH196646 GFD196646 GOZ196646 GYV196646 HIR196646 HSN196646 ICJ196646 IMF196646 IWB196646 JFX196646 JPT196646 JZP196646 KJL196646 KTH196646 LDD196646 LMZ196646 LWV196646 MGR196646 MQN196646 NAJ196646 NKF196646 NUB196646 ODX196646 ONT196646 OXP196646 PHL196646 PRH196646 QBD196646 QKZ196646 QUV196646 RER196646 RON196646 RYJ196646 SIF196646 SSB196646 TBX196646 TLT196646 TVP196646 UFL196646 UPH196646 UZD196646 VIZ196646 VSV196646 WCR196646 WMN196646 WWJ196646 AB262182 JX262182 TT262182 ADP262182 ANL262182 AXH262182 BHD262182 BQZ262182 CAV262182 CKR262182 CUN262182 DEJ262182 DOF262182 DYB262182 EHX262182 ERT262182 FBP262182 FLL262182 FVH262182 GFD262182 GOZ262182 GYV262182 HIR262182 HSN262182 ICJ262182 IMF262182 IWB262182 JFX262182 JPT262182 JZP262182 KJL262182 KTH262182 LDD262182 LMZ262182 LWV262182 MGR262182 MQN262182 NAJ262182 NKF262182 NUB262182 ODX262182 ONT262182 OXP262182 PHL262182 PRH262182 QBD262182 QKZ262182 QUV262182 RER262182 RON262182 RYJ262182 SIF262182 SSB262182 TBX262182 TLT262182 TVP262182 UFL262182 UPH262182 UZD262182 VIZ262182 VSV262182 WCR262182 WMN262182 WWJ262182 AB327718 JX327718 TT327718 ADP327718 ANL327718 AXH327718 BHD327718 BQZ327718 CAV327718 CKR327718 CUN327718 DEJ327718 DOF327718 DYB327718 EHX327718 ERT327718 FBP327718 FLL327718 FVH327718 GFD327718 GOZ327718 GYV327718 HIR327718 HSN327718 ICJ327718 IMF327718 IWB327718 JFX327718 JPT327718 JZP327718 KJL327718 KTH327718 LDD327718 LMZ327718 LWV327718 MGR327718 MQN327718 NAJ327718 NKF327718 NUB327718 ODX327718 ONT327718 OXP327718 PHL327718 PRH327718 QBD327718 QKZ327718 QUV327718 RER327718 RON327718 RYJ327718 SIF327718 SSB327718 TBX327718 TLT327718 TVP327718 UFL327718 UPH327718 UZD327718 VIZ327718 VSV327718 WCR327718 WMN327718 WWJ327718 AB393254 JX393254 TT393254 ADP393254 ANL393254 AXH393254 BHD393254 BQZ393254 CAV393254 CKR393254 CUN393254 DEJ393254 DOF393254 DYB393254 EHX393254 ERT393254 FBP393254 FLL393254 FVH393254 GFD393254 GOZ393254 GYV393254 HIR393254 HSN393254 ICJ393254 IMF393254 IWB393254 JFX393254 JPT393254 JZP393254 KJL393254 KTH393254 LDD393254 LMZ393254 LWV393254 MGR393254 MQN393254 NAJ393254 NKF393254 NUB393254 ODX393254 ONT393254 OXP393254 PHL393254 PRH393254 QBD393254 QKZ393254 QUV393254 RER393254 RON393254 RYJ393254 SIF393254 SSB393254 TBX393254 TLT393254 TVP393254 UFL393254 UPH393254 UZD393254 VIZ393254 VSV393254 WCR393254 WMN393254 WWJ393254 AB458790 JX458790 TT458790 ADP458790 ANL458790 AXH458790 BHD458790 BQZ458790 CAV458790 CKR458790 CUN458790 DEJ458790 DOF458790 DYB458790 EHX458790 ERT458790 FBP458790 FLL458790 FVH458790 GFD458790 GOZ458790 GYV458790 HIR458790 HSN458790 ICJ458790 IMF458790 IWB458790 JFX458790 JPT458790 JZP458790 KJL458790 KTH458790 LDD458790 LMZ458790 LWV458790 MGR458790 MQN458790 NAJ458790 NKF458790 NUB458790 ODX458790 ONT458790 OXP458790 PHL458790 PRH458790 QBD458790 QKZ458790 QUV458790 RER458790 RON458790 RYJ458790 SIF458790 SSB458790 TBX458790 TLT458790 TVP458790 UFL458790 UPH458790 UZD458790 VIZ458790 VSV458790 WCR458790 WMN458790 WWJ458790 AB524326 JX524326 TT524326 ADP524326 ANL524326 AXH524326 BHD524326 BQZ524326 CAV524326 CKR524326 CUN524326 DEJ524326 DOF524326 DYB524326 EHX524326 ERT524326 FBP524326 FLL524326 FVH524326 GFD524326 GOZ524326 GYV524326 HIR524326 HSN524326 ICJ524326 IMF524326 IWB524326 JFX524326 JPT524326 JZP524326 KJL524326 KTH524326 LDD524326 LMZ524326 LWV524326 MGR524326 MQN524326 NAJ524326 NKF524326 NUB524326 ODX524326 ONT524326 OXP524326 PHL524326 PRH524326 QBD524326 QKZ524326 QUV524326 RER524326 RON524326 RYJ524326 SIF524326 SSB524326 TBX524326 TLT524326 TVP524326 UFL524326 UPH524326 UZD524326 VIZ524326 VSV524326 WCR524326 WMN524326 WWJ524326 AB589862 JX589862 TT589862 ADP589862 ANL589862 AXH589862 BHD589862 BQZ589862 CAV589862 CKR589862 CUN589862 DEJ589862 DOF589862 DYB589862 EHX589862 ERT589862 FBP589862 FLL589862 FVH589862 GFD589862 GOZ589862 GYV589862 HIR589862 HSN589862 ICJ589862 IMF589862 IWB589862 JFX589862 JPT589862 JZP589862 KJL589862 KTH589862 LDD589862 LMZ589862 LWV589862 MGR589862 MQN589862 NAJ589862 NKF589862 NUB589862 ODX589862 ONT589862 OXP589862 PHL589862 PRH589862 QBD589862 QKZ589862 QUV589862 RER589862 RON589862 RYJ589862 SIF589862 SSB589862 TBX589862 TLT589862 TVP589862 UFL589862 UPH589862 UZD589862 VIZ589862 VSV589862 WCR589862 WMN589862 WWJ589862 AB655398 JX655398 TT655398 ADP655398 ANL655398 AXH655398 BHD655398 BQZ655398 CAV655398 CKR655398 CUN655398 DEJ655398 DOF655398 DYB655398 EHX655398 ERT655398 FBP655398 FLL655398 FVH655398 GFD655398 GOZ655398 GYV655398 HIR655398 HSN655398 ICJ655398 IMF655398 IWB655398 JFX655398 JPT655398 JZP655398 KJL655398 KTH655398 LDD655398 LMZ655398 LWV655398 MGR655398 MQN655398 NAJ655398 NKF655398 NUB655398 ODX655398 ONT655398 OXP655398 PHL655398 PRH655398 QBD655398 QKZ655398 QUV655398 RER655398 RON655398 RYJ655398 SIF655398 SSB655398 TBX655398 TLT655398 TVP655398 UFL655398 UPH655398 UZD655398 VIZ655398 VSV655398 WCR655398 WMN655398 WWJ655398 AB720934 JX720934 TT720934 ADP720934 ANL720934 AXH720934 BHD720934 BQZ720934 CAV720934 CKR720934 CUN720934 DEJ720934 DOF720934 DYB720934 EHX720934 ERT720934 FBP720934 FLL720934 FVH720934 GFD720934 GOZ720934 GYV720934 HIR720934 HSN720934 ICJ720934 IMF720934 IWB720934 JFX720934 JPT720934 JZP720934 KJL720934 KTH720934 LDD720934 LMZ720934 LWV720934 MGR720934 MQN720934 NAJ720934 NKF720934 NUB720934 ODX720934 ONT720934 OXP720934 PHL720934 PRH720934 QBD720934 QKZ720934 QUV720934 RER720934 RON720934 RYJ720934 SIF720934 SSB720934 TBX720934 TLT720934 TVP720934 UFL720934 UPH720934 UZD720934 VIZ720934 VSV720934 WCR720934 WMN720934 WWJ720934 AB786470 JX786470 TT786470 ADP786470 ANL786470 AXH786470 BHD786470 BQZ786470 CAV786470 CKR786470 CUN786470 DEJ786470 DOF786470 DYB786470 EHX786470 ERT786470 FBP786470 FLL786470 FVH786470 GFD786470 GOZ786470 GYV786470 HIR786470 HSN786470 ICJ786470 IMF786470 IWB786470 JFX786470 JPT786470 JZP786470 KJL786470 KTH786470 LDD786470 LMZ786470 LWV786470 MGR786470 MQN786470 NAJ786470 NKF786470 NUB786470 ODX786470 ONT786470 OXP786470 PHL786470 PRH786470 QBD786470 QKZ786470 QUV786470 RER786470 RON786470 RYJ786470 SIF786470 SSB786470 TBX786470 TLT786470 TVP786470 UFL786470 UPH786470 UZD786470 VIZ786470 VSV786470 WCR786470 WMN786470 WWJ786470 AB852006 JX852006 TT852006 ADP852006 ANL852006 AXH852006 BHD852006 BQZ852006 CAV852006 CKR852006 CUN852006 DEJ852006 DOF852006 DYB852006 EHX852006 ERT852006 FBP852006 FLL852006 FVH852006 GFD852006 GOZ852006 GYV852006 HIR852006 HSN852006 ICJ852006 IMF852006 IWB852006 JFX852006 JPT852006 JZP852006 KJL852006 KTH852006 LDD852006 LMZ852006 LWV852006 MGR852006 MQN852006 NAJ852006 NKF852006 NUB852006 ODX852006 ONT852006 OXP852006 PHL852006 PRH852006 QBD852006 QKZ852006 QUV852006 RER852006 RON852006 RYJ852006 SIF852006 SSB852006 TBX852006 TLT852006 TVP852006 UFL852006 UPH852006 UZD852006 VIZ852006 VSV852006 WCR852006 WMN852006 WWJ852006 AB917542 JX917542 TT917542 ADP917542 ANL917542 AXH917542 BHD917542 BQZ917542 CAV917542 CKR917542 CUN917542 DEJ917542 DOF917542 DYB917542 EHX917542 ERT917542 FBP917542 FLL917542 FVH917542 GFD917542 GOZ917542 GYV917542 HIR917542 HSN917542 ICJ917542 IMF917542 IWB917542 JFX917542 JPT917542 JZP917542 KJL917542 KTH917542 LDD917542 LMZ917542 LWV917542 MGR917542 MQN917542 NAJ917542 NKF917542 NUB917542 ODX917542 ONT917542 OXP917542 PHL917542 PRH917542 QBD917542 QKZ917542 QUV917542 RER917542 RON917542 RYJ917542 SIF917542 SSB917542 TBX917542 TLT917542 TVP917542 UFL917542 UPH917542 UZD917542 VIZ917542 VSV917542 WCR917542 WMN917542 WWJ917542 AB983078 JX983078 TT983078 ADP983078 ANL983078 AXH983078 BHD983078 BQZ983078 CAV983078 CKR983078 CUN983078 DEJ983078 DOF983078 DYB983078 EHX983078 ERT983078 FBP983078 FLL983078 FVH983078 GFD983078 GOZ983078 GYV983078 HIR983078 HSN983078 ICJ983078 IMF983078 IWB983078 JFX983078 JPT983078 JZP983078 KJL983078 KTH983078 LDD983078 LMZ983078 LWV983078 MGR983078 MQN983078 NAJ983078 NKF983078 NUB983078 ODX983078 ONT983078 OXP983078 PHL983078 PRH983078 QBD983078 QKZ983078 QUV983078 RER983078 RON983078 RYJ983078 SIF983078 SSB983078 TBX983078 TLT983078 TVP983078 UFL983078 UPH983078 UZD983078 VIZ983078 VSV983078 WCR983078 WMN983078 WWJ983078 AD38 JZ38 TV38 ADR38 ANN38 AXJ38 BHF38 BRB38 CAX38 CKT38 CUP38 DEL38 DOH38 DYD38 EHZ38 ERV38 FBR38 FLN38 FVJ38 GFF38 GPB38 GYX38 HIT38 HSP38 ICL38 IMH38 IWD38 JFZ38 JPV38 JZR38 KJN38 KTJ38 LDF38 LNB38 LWX38 MGT38 MQP38 NAL38 NKH38 NUD38 ODZ38 ONV38 OXR38 PHN38 PRJ38 QBF38 QLB38 QUX38 RET38 ROP38 RYL38 SIH38 SSD38 TBZ38 TLV38 TVR38 UFN38 UPJ38 UZF38 VJB38 VSX38 WCT38 WMP38 WWL38 AD65574 JZ65574 TV65574 ADR65574 ANN65574 AXJ65574 BHF65574 BRB65574 CAX65574 CKT65574 CUP65574 DEL65574 DOH65574 DYD65574 EHZ65574 ERV65574 FBR65574 FLN65574 FVJ65574 GFF65574 GPB65574 GYX65574 HIT65574 HSP65574 ICL65574 IMH65574 IWD65574 JFZ65574 JPV65574 JZR65574 KJN65574 KTJ65574 LDF65574 LNB65574 LWX65574 MGT65574 MQP65574 NAL65574 NKH65574 NUD65574 ODZ65574 ONV65574 OXR65574 PHN65574 PRJ65574 QBF65574 QLB65574 QUX65574 RET65574 ROP65574 RYL65574 SIH65574 SSD65574 TBZ65574 TLV65574 TVR65574 UFN65574 UPJ65574 UZF65574 VJB65574 VSX65574 WCT65574 WMP65574 WWL65574 AD131110 JZ131110 TV131110 ADR131110 ANN131110 AXJ131110 BHF131110 BRB131110 CAX131110 CKT131110 CUP131110 DEL131110 DOH131110 DYD131110 EHZ131110 ERV131110 FBR131110 FLN131110 FVJ131110 GFF131110 GPB131110 GYX131110 HIT131110 HSP131110 ICL131110 IMH131110 IWD131110 JFZ131110 JPV131110 JZR131110 KJN131110 KTJ131110 LDF131110 LNB131110 LWX131110 MGT131110 MQP131110 NAL131110 NKH131110 NUD131110 ODZ131110 ONV131110 OXR131110 PHN131110 PRJ131110 QBF131110 QLB131110 QUX131110 RET131110 ROP131110 RYL131110 SIH131110 SSD131110 TBZ131110 TLV131110 TVR131110 UFN131110 UPJ131110 UZF131110 VJB131110 VSX131110 WCT131110 WMP131110 WWL131110 AD196646 JZ196646 TV196646 ADR196646 ANN196646 AXJ196646 BHF196646 BRB196646 CAX196646 CKT196646 CUP196646 DEL196646 DOH196646 DYD196646 EHZ196646 ERV196646 FBR196646 FLN196646 FVJ196646 GFF196646 GPB196646 GYX196646 HIT196646 HSP196646 ICL196646 IMH196646 IWD196646 JFZ196646 JPV196646 JZR196646 KJN196646 KTJ196646 LDF196646 LNB196646 LWX196646 MGT196646 MQP196646 NAL196646 NKH196646 NUD196646 ODZ196646 ONV196646 OXR196646 PHN196646 PRJ196646 QBF196646 QLB196646 QUX196646 RET196646 ROP196646 RYL196646 SIH196646 SSD196646 TBZ196646 TLV196646 TVR196646 UFN196646 UPJ196646 UZF196646 VJB196646 VSX196646 WCT196646 WMP196646 WWL196646 AD262182 JZ262182 TV262182 ADR262182 ANN262182 AXJ262182 BHF262182 BRB262182 CAX262182 CKT262182 CUP262182 DEL262182 DOH262182 DYD262182 EHZ262182 ERV262182 FBR262182 FLN262182 FVJ262182 GFF262182 GPB262182 GYX262182 HIT262182 HSP262182 ICL262182 IMH262182 IWD262182 JFZ262182 JPV262182 JZR262182 KJN262182 KTJ262182 LDF262182 LNB262182 LWX262182 MGT262182 MQP262182 NAL262182 NKH262182 NUD262182 ODZ262182 ONV262182 OXR262182 PHN262182 PRJ262182 QBF262182 QLB262182 QUX262182 RET262182 ROP262182 RYL262182 SIH262182 SSD262182 TBZ262182 TLV262182 TVR262182 UFN262182 UPJ262182 UZF262182 VJB262182 VSX262182 WCT262182 WMP262182 WWL262182 AD327718 JZ327718 TV327718 ADR327718 ANN327718 AXJ327718 BHF327718 BRB327718 CAX327718 CKT327718 CUP327718 DEL327718 DOH327718 DYD327718 EHZ327718 ERV327718 FBR327718 FLN327718 FVJ327718 GFF327718 GPB327718 GYX327718 HIT327718 HSP327718 ICL327718 IMH327718 IWD327718 JFZ327718 JPV327718 JZR327718 KJN327718 KTJ327718 LDF327718 LNB327718 LWX327718 MGT327718 MQP327718 NAL327718 NKH327718 NUD327718 ODZ327718 ONV327718 OXR327718 PHN327718 PRJ327718 QBF327718 QLB327718 QUX327718 RET327718 ROP327718 RYL327718 SIH327718 SSD327718 TBZ327718 TLV327718 TVR327718 UFN327718 UPJ327718 UZF327718 VJB327718 VSX327718 WCT327718 WMP327718 WWL327718 AD393254 JZ393254 TV393254 ADR393254 ANN393254 AXJ393254 BHF393254 BRB393254 CAX393254 CKT393254 CUP393254 DEL393254 DOH393254 DYD393254 EHZ393254 ERV393254 FBR393254 FLN393254 FVJ393254 GFF393254 GPB393254 GYX393254 HIT393254 HSP393254 ICL393254 IMH393254 IWD393254 JFZ393254 JPV393254 JZR393254 KJN393254 KTJ393254 LDF393254 LNB393254 LWX393254 MGT393254 MQP393254 NAL393254 NKH393254 NUD393254 ODZ393254 ONV393254 OXR393254 PHN393254 PRJ393254 QBF393254 QLB393254 QUX393254 RET393254 ROP393254 RYL393254 SIH393254 SSD393254 TBZ393254 TLV393254 TVR393254 UFN393254 UPJ393254 UZF393254 VJB393254 VSX393254 WCT393254 WMP393254 WWL393254 AD458790 JZ458790 TV458790 ADR458790 ANN458790 AXJ458790 BHF458790 BRB458790 CAX458790 CKT458790 CUP458790 DEL458790 DOH458790 DYD458790 EHZ458790 ERV458790 FBR458790 FLN458790 FVJ458790 GFF458790 GPB458790 GYX458790 HIT458790 HSP458790 ICL458790 IMH458790 IWD458790 JFZ458790 JPV458790 JZR458790 KJN458790 KTJ458790 LDF458790 LNB458790 LWX458790 MGT458790 MQP458790 NAL458790 NKH458790 NUD458790 ODZ458790 ONV458790 OXR458790 PHN458790 PRJ458790 QBF458790 QLB458790 QUX458790 RET458790 ROP458790 RYL458790 SIH458790 SSD458790 TBZ458790 TLV458790 TVR458790 UFN458790 UPJ458790 UZF458790 VJB458790 VSX458790 WCT458790 WMP458790 WWL458790 AD524326 JZ524326 TV524326 ADR524326 ANN524326 AXJ524326 BHF524326 BRB524326 CAX524326 CKT524326 CUP524326 DEL524326 DOH524326 DYD524326 EHZ524326 ERV524326 FBR524326 FLN524326 FVJ524326 GFF524326 GPB524326 GYX524326 HIT524326 HSP524326 ICL524326 IMH524326 IWD524326 JFZ524326 JPV524326 JZR524326 KJN524326 KTJ524326 LDF524326 LNB524326 LWX524326 MGT524326 MQP524326 NAL524326 NKH524326 NUD524326 ODZ524326 ONV524326 OXR524326 PHN524326 PRJ524326 QBF524326 QLB524326 QUX524326 RET524326 ROP524326 RYL524326 SIH524326 SSD524326 TBZ524326 TLV524326 TVR524326 UFN524326 UPJ524326 UZF524326 VJB524326 VSX524326 WCT524326 WMP524326 WWL524326 AD589862 JZ589862 TV589862 ADR589862 ANN589862 AXJ589862 BHF589862 BRB589862 CAX589862 CKT589862 CUP589862 DEL589862 DOH589862 DYD589862 EHZ589862 ERV589862 FBR589862 FLN589862 FVJ589862 GFF589862 GPB589862 GYX589862 HIT589862 HSP589862 ICL589862 IMH589862 IWD589862 JFZ589862 JPV589862 JZR589862 KJN589862 KTJ589862 LDF589862 LNB589862 LWX589862 MGT589862 MQP589862 NAL589862 NKH589862 NUD589862 ODZ589862 ONV589862 OXR589862 PHN589862 PRJ589862 QBF589862 QLB589862 QUX589862 RET589862 ROP589862 RYL589862 SIH589862 SSD589862 TBZ589862 TLV589862 TVR589862 UFN589862 UPJ589862 UZF589862 VJB589862 VSX589862 WCT589862 WMP589862 WWL589862 AD655398 JZ655398 TV655398 ADR655398 ANN655398 AXJ655398 BHF655398 BRB655398 CAX655398 CKT655398 CUP655398 DEL655398 DOH655398 DYD655398 EHZ655398 ERV655398 FBR655398 FLN655398 FVJ655398 GFF655398 GPB655398 GYX655398 HIT655398 HSP655398 ICL655398 IMH655398 IWD655398 JFZ655398 JPV655398 JZR655398 KJN655398 KTJ655398 LDF655398 LNB655398 LWX655398 MGT655398 MQP655398 NAL655398 NKH655398 NUD655398 ODZ655398 ONV655398 OXR655398 PHN655398 PRJ655398 QBF655398 QLB655398 QUX655398 RET655398 ROP655398 RYL655398 SIH655398 SSD655398 TBZ655398 TLV655398 TVR655398 UFN655398 UPJ655398 UZF655398 VJB655398 VSX655398 WCT655398 WMP655398 WWL655398 AD720934 JZ720934 TV720934 ADR720934 ANN720934 AXJ720934 BHF720934 BRB720934 CAX720934 CKT720934 CUP720934 DEL720934 DOH720934 DYD720934 EHZ720934 ERV720934 FBR720934 FLN720934 FVJ720934 GFF720934 GPB720934 GYX720934 HIT720934 HSP720934 ICL720934 IMH720934 IWD720934 JFZ720934 JPV720934 JZR720934 KJN720934 KTJ720934 LDF720934 LNB720934 LWX720934 MGT720934 MQP720934 NAL720934 NKH720934 NUD720934 ODZ720934 ONV720934 OXR720934 PHN720934 PRJ720934 QBF720934 QLB720934 QUX720934 RET720934 ROP720934 RYL720934 SIH720934 SSD720934 TBZ720934 TLV720934 TVR720934 UFN720934 UPJ720934 UZF720934 VJB720934 VSX720934 WCT720934 WMP720934 WWL720934 AD786470 JZ786470 TV786470 ADR786470 ANN786470 AXJ786470 BHF786470 BRB786470 CAX786470 CKT786470 CUP786470 DEL786470 DOH786470 DYD786470 EHZ786470 ERV786470 FBR786470 FLN786470 FVJ786470 GFF786470 GPB786470 GYX786470 HIT786470 HSP786470 ICL786470 IMH786470 IWD786470 JFZ786470 JPV786470 JZR786470 KJN786470 KTJ786470 LDF786470 LNB786470 LWX786470 MGT786470 MQP786470 NAL786470 NKH786470 NUD786470 ODZ786470 ONV786470 OXR786470 PHN786470 PRJ786470 QBF786470 QLB786470 QUX786470 RET786470 ROP786470 RYL786470 SIH786470 SSD786470 TBZ786470 TLV786470 TVR786470 UFN786470 UPJ786470 UZF786470 VJB786470 VSX786470 WCT786470 WMP786470 WWL786470 AD852006 JZ852006 TV852006 ADR852006 ANN852006 AXJ852006 BHF852006 BRB852006 CAX852006 CKT852006 CUP852006 DEL852006 DOH852006 DYD852006 EHZ852006 ERV852006 FBR852006 FLN852006 FVJ852006 GFF852006 GPB852006 GYX852006 HIT852006 HSP852006 ICL852006 IMH852006 IWD852006 JFZ852006 JPV852006 JZR852006 KJN852006 KTJ852006 LDF852006 LNB852006 LWX852006 MGT852006 MQP852006 NAL852006 NKH852006 NUD852006 ODZ852006 ONV852006 OXR852006 PHN852006 PRJ852006 QBF852006 QLB852006 QUX852006 RET852006 ROP852006 RYL852006 SIH852006 SSD852006 TBZ852006 TLV852006 TVR852006 UFN852006 UPJ852006 UZF852006 VJB852006 VSX852006 WCT852006 WMP852006 WWL852006 AD917542 JZ917542 TV917542 ADR917542 ANN917542 AXJ917542 BHF917542 BRB917542 CAX917542 CKT917542 CUP917542 DEL917542 DOH917542 DYD917542 EHZ917542 ERV917542 FBR917542 FLN917542 FVJ917542 GFF917542 GPB917542 GYX917542 HIT917542 HSP917542 ICL917542 IMH917542 IWD917542 JFZ917542 JPV917542 JZR917542 KJN917542 KTJ917542 LDF917542 LNB917542 LWX917542 MGT917542 MQP917542 NAL917542 NKH917542 NUD917542 ODZ917542 ONV917542 OXR917542 PHN917542 PRJ917542 QBF917542 QLB917542 QUX917542 RET917542 ROP917542 RYL917542 SIH917542 SSD917542 TBZ917542 TLV917542 TVR917542 UFN917542 UPJ917542 UZF917542 VJB917542 VSX917542 WCT917542 WMP917542 WWL917542 AD983078 JZ983078 TV983078 ADR983078 ANN983078 AXJ983078 BHF983078 BRB983078 CAX983078 CKT983078 CUP983078 DEL983078 DOH983078 DYD983078 EHZ983078 ERV983078 FBR983078 FLN983078 FVJ983078 GFF983078 GPB983078 GYX983078 HIT983078 HSP983078 ICL983078 IMH983078 IWD983078 JFZ983078 JPV983078 JZR983078 KJN983078 KTJ983078 LDF983078 LNB983078 LWX983078 MGT983078 MQP983078 NAL983078 NKH983078 NUD983078 ODZ983078 ONV983078 OXR983078 PHN983078 PRJ983078 QBF983078 QLB983078 QUX983078 RET983078 ROP983078 RYL983078 SIH983078 SSD983078 TBZ983078 TLV983078 TVR983078 UFN983078 UPJ983078 UZF983078 VJB983078 VSX983078 WCT983078 WMP983078 WWL983078 AB46 JX46 TT46 ADP46 ANL46 AXH46 BHD46 BQZ46 CAV46 CKR46 CUN46 DEJ46 DOF46 DYB46 EHX46 ERT46 FBP46 FLL46 FVH46 GFD46 GOZ46 GYV46 HIR46 HSN46 ICJ46 IMF46 IWB46 JFX46 JPT46 JZP46 KJL46 KTH46 LDD46 LMZ46 LWV46 MGR46 MQN46 NAJ46 NKF46 NUB46 ODX46 ONT46 OXP46 PHL46 PRH46 QBD46 QKZ46 QUV46 RER46 RON46 RYJ46 SIF46 SSB46 TBX46 TLT46 TVP46 UFL46 UPH46 UZD46 VIZ46 VSV46 WCR46 WMN46 WWJ46 AB65582 JX65582 TT65582 ADP65582 ANL65582 AXH65582 BHD65582 BQZ65582 CAV65582 CKR65582 CUN65582 DEJ65582 DOF65582 DYB65582 EHX65582 ERT65582 FBP65582 FLL65582 FVH65582 GFD65582 GOZ65582 GYV65582 HIR65582 HSN65582 ICJ65582 IMF65582 IWB65582 JFX65582 JPT65582 JZP65582 KJL65582 KTH65582 LDD65582 LMZ65582 LWV65582 MGR65582 MQN65582 NAJ65582 NKF65582 NUB65582 ODX65582 ONT65582 OXP65582 PHL65582 PRH65582 QBD65582 QKZ65582 QUV65582 RER65582 RON65582 RYJ65582 SIF65582 SSB65582 TBX65582 TLT65582 TVP65582 UFL65582 UPH65582 UZD65582 VIZ65582 VSV65582 WCR65582 WMN65582 WWJ65582 AB131118 JX131118 TT131118 ADP131118 ANL131118 AXH131118 BHD131118 BQZ131118 CAV131118 CKR131118 CUN131118 DEJ131118 DOF131118 DYB131118 EHX131118 ERT131118 FBP131118 FLL131118 FVH131118 GFD131118 GOZ131118 GYV131118 HIR131118 HSN131118 ICJ131118 IMF131118 IWB131118 JFX131118 JPT131118 JZP131118 KJL131118 KTH131118 LDD131118 LMZ131118 LWV131118 MGR131118 MQN131118 NAJ131118 NKF131118 NUB131118 ODX131118 ONT131118 OXP131118 PHL131118 PRH131118 QBD131118 QKZ131118 QUV131118 RER131118 RON131118 RYJ131118 SIF131118 SSB131118 TBX131118 TLT131118 TVP131118 UFL131118 UPH131118 UZD131118 VIZ131118 VSV131118 WCR131118 WMN131118 WWJ131118 AB196654 JX196654 TT196654 ADP196654 ANL196654 AXH196654 BHD196654 BQZ196654 CAV196654 CKR196654 CUN196654 DEJ196654 DOF196654 DYB196654 EHX196654 ERT196654 FBP196654 FLL196654 FVH196654 GFD196654 GOZ196654 GYV196654 HIR196654 HSN196654 ICJ196654 IMF196654 IWB196654 JFX196654 JPT196654 JZP196654 KJL196654 KTH196654 LDD196654 LMZ196654 LWV196654 MGR196654 MQN196654 NAJ196654 NKF196654 NUB196654 ODX196654 ONT196654 OXP196654 PHL196654 PRH196654 QBD196654 QKZ196654 QUV196654 RER196654 RON196654 RYJ196654 SIF196654 SSB196654 TBX196654 TLT196654 TVP196654 UFL196654 UPH196654 UZD196654 VIZ196654 VSV196654 WCR196654 WMN196654 WWJ196654 AB262190 JX262190 TT262190 ADP262190 ANL262190 AXH262190 BHD262190 BQZ262190 CAV262190 CKR262190 CUN262190 DEJ262190 DOF262190 DYB262190 EHX262190 ERT262190 FBP262190 FLL262190 FVH262190 GFD262190 GOZ262190 GYV262190 HIR262190 HSN262190 ICJ262190 IMF262190 IWB262190 JFX262190 JPT262190 JZP262190 KJL262190 KTH262190 LDD262190 LMZ262190 LWV262190 MGR262190 MQN262190 NAJ262190 NKF262190 NUB262190 ODX262190 ONT262190 OXP262190 PHL262190 PRH262190 QBD262190 QKZ262190 QUV262190 RER262190 RON262190 RYJ262190 SIF262190 SSB262190 TBX262190 TLT262190 TVP262190 UFL262190 UPH262190 UZD262190 VIZ262190 VSV262190 WCR262190 WMN262190 WWJ262190 AB327726 JX327726 TT327726 ADP327726 ANL327726 AXH327726 BHD327726 BQZ327726 CAV327726 CKR327726 CUN327726 DEJ327726 DOF327726 DYB327726 EHX327726 ERT327726 FBP327726 FLL327726 FVH327726 GFD327726 GOZ327726 GYV327726 HIR327726 HSN327726 ICJ327726 IMF327726 IWB327726 JFX327726 JPT327726 JZP327726 KJL327726 KTH327726 LDD327726 LMZ327726 LWV327726 MGR327726 MQN327726 NAJ327726 NKF327726 NUB327726 ODX327726 ONT327726 OXP327726 PHL327726 PRH327726 QBD327726 QKZ327726 QUV327726 RER327726 RON327726 RYJ327726 SIF327726 SSB327726 TBX327726 TLT327726 TVP327726 UFL327726 UPH327726 UZD327726 VIZ327726 VSV327726 WCR327726 WMN327726 WWJ327726 AB393262 JX393262 TT393262 ADP393262 ANL393262 AXH393262 BHD393262 BQZ393262 CAV393262 CKR393262 CUN393262 DEJ393262 DOF393262 DYB393262 EHX393262 ERT393262 FBP393262 FLL393262 FVH393262 GFD393262 GOZ393262 GYV393262 HIR393262 HSN393262 ICJ393262 IMF393262 IWB393262 JFX393262 JPT393262 JZP393262 KJL393262 KTH393262 LDD393262 LMZ393262 LWV393262 MGR393262 MQN393262 NAJ393262 NKF393262 NUB393262 ODX393262 ONT393262 OXP393262 PHL393262 PRH393262 QBD393262 QKZ393262 QUV393262 RER393262 RON393262 RYJ393262 SIF393262 SSB393262 TBX393262 TLT393262 TVP393262 UFL393262 UPH393262 UZD393262 VIZ393262 VSV393262 WCR393262 WMN393262 WWJ393262 AB458798 JX458798 TT458798 ADP458798 ANL458798 AXH458798 BHD458798 BQZ458798 CAV458798 CKR458798 CUN458798 DEJ458798 DOF458798 DYB458798 EHX458798 ERT458798 FBP458798 FLL458798 FVH458798 GFD458798 GOZ458798 GYV458798 HIR458798 HSN458798 ICJ458798 IMF458798 IWB458798 JFX458798 JPT458798 JZP458798 KJL458798 KTH458798 LDD458798 LMZ458798 LWV458798 MGR458798 MQN458798 NAJ458798 NKF458798 NUB458798 ODX458798 ONT458798 OXP458798 PHL458798 PRH458798 QBD458798 QKZ458798 QUV458798 RER458798 RON458798 RYJ458798 SIF458798 SSB458798 TBX458798 TLT458798 TVP458798 UFL458798 UPH458798 UZD458798 VIZ458798 VSV458798 WCR458798 WMN458798 WWJ458798 AB524334 JX524334 TT524334 ADP524334 ANL524334 AXH524334 BHD524334 BQZ524334 CAV524334 CKR524334 CUN524334 DEJ524334 DOF524334 DYB524334 EHX524334 ERT524334 FBP524334 FLL524334 FVH524334 GFD524334 GOZ524334 GYV524334 HIR524334 HSN524334 ICJ524334 IMF524334 IWB524334 JFX524334 JPT524334 JZP524334 KJL524334 KTH524334 LDD524334 LMZ524334 LWV524334 MGR524334 MQN524334 NAJ524334 NKF524334 NUB524334 ODX524334 ONT524334 OXP524334 PHL524334 PRH524334 QBD524334 QKZ524334 QUV524334 RER524334 RON524334 RYJ524334 SIF524334 SSB524334 TBX524334 TLT524334 TVP524334 UFL524334 UPH524334 UZD524334 VIZ524334 VSV524334 WCR524334 WMN524334 WWJ524334 AB589870 JX589870 TT589870 ADP589870 ANL589870 AXH589870 BHD589870 BQZ589870 CAV589870 CKR589870 CUN589870 DEJ589870 DOF589870 DYB589870 EHX589870 ERT589870 FBP589870 FLL589870 FVH589870 GFD589870 GOZ589870 GYV589870 HIR589870 HSN589870 ICJ589870 IMF589870 IWB589870 JFX589870 JPT589870 JZP589870 KJL589870 KTH589870 LDD589870 LMZ589870 LWV589870 MGR589870 MQN589870 NAJ589870 NKF589870 NUB589870 ODX589870 ONT589870 OXP589870 PHL589870 PRH589870 QBD589870 QKZ589870 QUV589870 RER589870 RON589870 RYJ589870 SIF589870 SSB589870 TBX589870 TLT589870 TVP589870 UFL589870 UPH589870 UZD589870 VIZ589870 VSV589870 WCR589870 WMN589870 WWJ589870 AB655406 JX655406 TT655406 ADP655406 ANL655406 AXH655406 BHD655406 BQZ655406 CAV655406 CKR655406 CUN655406 DEJ655406 DOF655406 DYB655406 EHX655406 ERT655406 FBP655406 FLL655406 FVH655406 GFD655406 GOZ655406 GYV655406 HIR655406 HSN655406 ICJ655406 IMF655406 IWB655406 JFX655406 JPT655406 JZP655406 KJL655406 KTH655406 LDD655406 LMZ655406 LWV655406 MGR655406 MQN655406 NAJ655406 NKF655406 NUB655406 ODX655406 ONT655406 OXP655406 PHL655406 PRH655406 QBD655406 QKZ655406 QUV655406 RER655406 RON655406 RYJ655406 SIF655406 SSB655406 TBX655406 TLT655406 TVP655406 UFL655406 UPH655406 UZD655406 VIZ655406 VSV655406 WCR655406 WMN655406 WWJ655406 AB720942 JX720942 TT720942 ADP720942 ANL720942 AXH720942 BHD720942 BQZ720942 CAV720942 CKR720942 CUN720942 DEJ720942 DOF720942 DYB720942 EHX720942 ERT720942 FBP720942 FLL720942 FVH720942 GFD720942 GOZ720942 GYV720942 HIR720942 HSN720942 ICJ720942 IMF720942 IWB720942 JFX720942 JPT720942 JZP720942 KJL720942 KTH720942 LDD720942 LMZ720942 LWV720942 MGR720942 MQN720942 NAJ720942 NKF720942 NUB720942 ODX720942 ONT720942 OXP720942 PHL720942 PRH720942 QBD720942 QKZ720942 QUV720942 RER720942 RON720942 RYJ720942 SIF720942 SSB720942 TBX720942 TLT720942 TVP720942 UFL720942 UPH720942 UZD720942 VIZ720942 VSV720942 WCR720942 WMN720942 WWJ720942 AB786478 JX786478 TT786478 ADP786478 ANL786478 AXH786478 BHD786478 BQZ786478 CAV786478 CKR786478 CUN786478 DEJ786478 DOF786478 DYB786478 EHX786478 ERT786478 FBP786478 FLL786478 FVH786478 GFD786478 GOZ786478 GYV786478 HIR786478 HSN786478 ICJ786478 IMF786478 IWB786478 JFX786478 JPT786478 JZP786478 KJL786478 KTH786478 LDD786478 LMZ786478 LWV786478 MGR786478 MQN786478 NAJ786478 NKF786478 NUB786478 ODX786478 ONT786478 OXP786478 PHL786478 PRH786478 QBD786478 QKZ786478 QUV786478 RER786478 RON786478 RYJ786478 SIF786478 SSB786478 TBX786478 TLT786478 TVP786478 UFL786478 UPH786478 UZD786478 VIZ786478 VSV786478 WCR786478 WMN786478 WWJ786478 AB852014 JX852014 TT852014 ADP852014 ANL852014 AXH852014 BHD852014 BQZ852014 CAV852014 CKR852014 CUN852014 DEJ852014 DOF852014 DYB852014 EHX852014 ERT852014 FBP852014 FLL852014 FVH852014 GFD852014 GOZ852014 GYV852014 HIR852014 HSN852014 ICJ852014 IMF852014 IWB852014 JFX852014 JPT852014 JZP852014 KJL852014 KTH852014 LDD852014 LMZ852014 LWV852014 MGR852014 MQN852014 NAJ852014 NKF852014 NUB852014 ODX852014 ONT852014 OXP852014 PHL852014 PRH852014 QBD852014 QKZ852014 QUV852014 RER852014 RON852014 RYJ852014 SIF852014 SSB852014 TBX852014 TLT852014 TVP852014 UFL852014 UPH852014 UZD852014 VIZ852014 VSV852014 WCR852014 WMN852014 WWJ852014 AB917550 JX917550 TT917550 ADP917550 ANL917550 AXH917550 BHD917550 BQZ917550 CAV917550 CKR917550 CUN917550 DEJ917550 DOF917550 DYB917550 EHX917550 ERT917550 FBP917550 FLL917550 FVH917550 GFD917550 GOZ917550 GYV917550 HIR917550 HSN917550 ICJ917550 IMF917550 IWB917550 JFX917550 JPT917550 JZP917550 KJL917550 KTH917550 LDD917550 LMZ917550 LWV917550 MGR917550 MQN917550 NAJ917550 NKF917550 NUB917550 ODX917550 ONT917550 OXP917550 PHL917550 PRH917550 QBD917550 QKZ917550 QUV917550 RER917550 RON917550 RYJ917550 SIF917550 SSB917550 TBX917550 TLT917550 TVP917550 UFL917550 UPH917550 UZD917550 VIZ917550 VSV917550 WCR917550 WMN917550 WWJ917550 AB983086 JX983086 TT983086 ADP983086 ANL983086 AXH983086 BHD983086 BQZ983086 CAV983086 CKR983086 CUN983086 DEJ983086 DOF983086 DYB983086 EHX983086 ERT983086 FBP983086 FLL983086 FVH983086 GFD983086 GOZ983086 GYV983086 HIR983086 HSN983086 ICJ983086 IMF983086 IWB983086 JFX983086 JPT983086 JZP983086 KJL983086 KTH983086 LDD983086 LMZ983086 LWV983086 MGR983086 MQN983086 NAJ983086 NKF983086 NUB983086 ODX983086 ONT983086 OXP983086 PHL983086 PRH983086 QBD983086 QKZ983086 QUV983086 RER983086 RON983086 RYJ983086 SIF983086 SSB983086 TBX983086 TLT983086 TVP983086 UFL983086 UPH983086 UZD983086 VIZ983086 VSV983086 WCR983086 WMN983086 WWJ983086 AD46 JZ46 TV46 ADR46 ANN46 AXJ46 BHF46 BRB46 CAX46 CKT46 CUP46 DEL46 DOH46 DYD46 EHZ46 ERV46 FBR46 FLN46 FVJ46 GFF46 GPB46 GYX46 HIT46 HSP46 ICL46 IMH46 IWD46 JFZ46 JPV46 JZR46 KJN46 KTJ46 LDF46 LNB46 LWX46 MGT46 MQP46 NAL46 NKH46 NUD46 ODZ46 ONV46 OXR46 PHN46 PRJ46 QBF46 QLB46 QUX46 RET46 ROP46 RYL46 SIH46 SSD46 TBZ46 TLV46 TVR46 UFN46 UPJ46 UZF46 VJB46 VSX46 WCT46 WMP46 WWL46 AD65582 JZ65582 TV65582 ADR65582 ANN65582 AXJ65582 BHF65582 BRB65582 CAX65582 CKT65582 CUP65582 DEL65582 DOH65582 DYD65582 EHZ65582 ERV65582 FBR65582 FLN65582 FVJ65582 GFF65582 GPB65582 GYX65582 HIT65582 HSP65582 ICL65582 IMH65582 IWD65582 JFZ65582 JPV65582 JZR65582 KJN65582 KTJ65582 LDF65582 LNB65582 LWX65582 MGT65582 MQP65582 NAL65582 NKH65582 NUD65582 ODZ65582 ONV65582 OXR65582 PHN65582 PRJ65582 QBF65582 QLB65582 QUX65582 RET65582 ROP65582 RYL65582 SIH65582 SSD65582 TBZ65582 TLV65582 TVR65582 UFN65582 UPJ65582 UZF65582 VJB65582 VSX65582 WCT65582 WMP65582 WWL65582 AD131118 JZ131118 TV131118 ADR131118 ANN131118 AXJ131118 BHF131118 BRB131118 CAX131118 CKT131118 CUP131118 DEL131118 DOH131118 DYD131118 EHZ131118 ERV131118 FBR131118 FLN131118 FVJ131118 GFF131118 GPB131118 GYX131118 HIT131118 HSP131118 ICL131118 IMH131118 IWD131118 JFZ131118 JPV131118 JZR131118 KJN131118 KTJ131118 LDF131118 LNB131118 LWX131118 MGT131118 MQP131118 NAL131118 NKH131118 NUD131118 ODZ131118 ONV131118 OXR131118 PHN131118 PRJ131118 QBF131118 QLB131118 QUX131118 RET131118 ROP131118 RYL131118 SIH131118 SSD131118 TBZ131118 TLV131118 TVR131118 UFN131118 UPJ131118 UZF131118 VJB131118 VSX131118 WCT131118 WMP131118 WWL131118 AD196654 JZ196654 TV196654 ADR196654 ANN196654 AXJ196654 BHF196654 BRB196654 CAX196654 CKT196654 CUP196654 DEL196654 DOH196654 DYD196654 EHZ196654 ERV196654 FBR196654 FLN196654 FVJ196654 GFF196654 GPB196654 GYX196654 HIT196654 HSP196654 ICL196654 IMH196654 IWD196654 JFZ196654 JPV196654 JZR196654 KJN196654 KTJ196654 LDF196654 LNB196654 LWX196654 MGT196654 MQP196654 NAL196654 NKH196654 NUD196654 ODZ196654 ONV196654 OXR196654 PHN196654 PRJ196654 QBF196654 QLB196654 QUX196654 RET196654 ROP196654 RYL196654 SIH196654 SSD196654 TBZ196654 TLV196654 TVR196654 UFN196654 UPJ196654 UZF196654 VJB196654 VSX196654 WCT196654 WMP196654 WWL196654 AD262190 JZ262190 TV262190 ADR262190 ANN262190 AXJ262190 BHF262190 BRB262190 CAX262190 CKT262190 CUP262190 DEL262190 DOH262190 DYD262190 EHZ262190 ERV262190 FBR262190 FLN262190 FVJ262190 GFF262190 GPB262190 GYX262190 HIT262190 HSP262190 ICL262190 IMH262190 IWD262190 JFZ262190 JPV262190 JZR262190 KJN262190 KTJ262190 LDF262190 LNB262190 LWX262190 MGT262190 MQP262190 NAL262190 NKH262190 NUD262190 ODZ262190 ONV262190 OXR262190 PHN262190 PRJ262190 QBF262190 QLB262190 QUX262190 RET262190 ROP262190 RYL262190 SIH262190 SSD262190 TBZ262190 TLV262190 TVR262190 UFN262190 UPJ262190 UZF262190 VJB262190 VSX262190 WCT262190 WMP262190 WWL262190 AD327726 JZ327726 TV327726 ADR327726 ANN327726 AXJ327726 BHF327726 BRB327726 CAX327726 CKT327726 CUP327726 DEL327726 DOH327726 DYD327726 EHZ327726 ERV327726 FBR327726 FLN327726 FVJ327726 GFF327726 GPB327726 GYX327726 HIT327726 HSP327726 ICL327726 IMH327726 IWD327726 JFZ327726 JPV327726 JZR327726 KJN327726 KTJ327726 LDF327726 LNB327726 LWX327726 MGT327726 MQP327726 NAL327726 NKH327726 NUD327726 ODZ327726 ONV327726 OXR327726 PHN327726 PRJ327726 QBF327726 QLB327726 QUX327726 RET327726 ROP327726 RYL327726 SIH327726 SSD327726 TBZ327726 TLV327726 TVR327726 UFN327726 UPJ327726 UZF327726 VJB327726 VSX327726 WCT327726 WMP327726 WWL327726 AD393262 JZ393262 TV393262 ADR393262 ANN393262 AXJ393262 BHF393262 BRB393262 CAX393262 CKT393262 CUP393262 DEL393262 DOH393262 DYD393262 EHZ393262 ERV393262 FBR393262 FLN393262 FVJ393262 GFF393262 GPB393262 GYX393262 HIT393262 HSP393262 ICL393262 IMH393262 IWD393262 JFZ393262 JPV393262 JZR393262 KJN393262 KTJ393262 LDF393262 LNB393262 LWX393262 MGT393262 MQP393262 NAL393262 NKH393262 NUD393262 ODZ393262 ONV393262 OXR393262 PHN393262 PRJ393262 QBF393262 QLB393262 QUX393262 RET393262 ROP393262 RYL393262 SIH393262 SSD393262 TBZ393262 TLV393262 TVR393262 UFN393262 UPJ393262 UZF393262 VJB393262 VSX393262 WCT393262 WMP393262 WWL393262 AD458798 JZ458798 TV458798 ADR458798 ANN458798 AXJ458798 BHF458798 BRB458798 CAX458798 CKT458798 CUP458798 DEL458798 DOH458798 DYD458798 EHZ458798 ERV458798 FBR458798 FLN458798 FVJ458798 GFF458798 GPB458798 GYX458798 HIT458798 HSP458798 ICL458798 IMH458798 IWD458798 JFZ458798 JPV458798 JZR458798 KJN458798 KTJ458798 LDF458798 LNB458798 LWX458798 MGT458798 MQP458798 NAL458798 NKH458798 NUD458798 ODZ458798 ONV458798 OXR458798 PHN458798 PRJ458798 QBF458798 QLB458798 QUX458798 RET458798 ROP458798 RYL458798 SIH458798 SSD458798 TBZ458798 TLV458798 TVR458798 UFN458798 UPJ458798 UZF458798 VJB458798 VSX458798 WCT458798 WMP458798 WWL458798 AD524334 JZ524334 TV524334 ADR524334 ANN524334 AXJ524334 BHF524334 BRB524334 CAX524334 CKT524334 CUP524334 DEL524334 DOH524334 DYD524334 EHZ524334 ERV524334 FBR524334 FLN524334 FVJ524334 GFF524334 GPB524334 GYX524334 HIT524334 HSP524334 ICL524334 IMH524334 IWD524334 JFZ524334 JPV524334 JZR524334 KJN524334 KTJ524334 LDF524334 LNB524334 LWX524334 MGT524334 MQP524334 NAL524334 NKH524334 NUD524334 ODZ524334 ONV524334 OXR524334 PHN524334 PRJ524334 QBF524334 QLB524334 QUX524334 RET524334 ROP524334 RYL524334 SIH524334 SSD524334 TBZ524334 TLV524334 TVR524334 UFN524334 UPJ524334 UZF524334 VJB524334 VSX524334 WCT524334 WMP524334 WWL524334 AD589870 JZ589870 TV589870 ADR589870 ANN589870 AXJ589870 BHF589870 BRB589870 CAX589870 CKT589870 CUP589870 DEL589870 DOH589870 DYD589870 EHZ589870 ERV589870 FBR589870 FLN589870 FVJ589870 GFF589870 GPB589870 GYX589870 HIT589870 HSP589870 ICL589870 IMH589870 IWD589870 JFZ589870 JPV589870 JZR589870 KJN589870 KTJ589870 LDF589870 LNB589870 LWX589870 MGT589870 MQP589870 NAL589870 NKH589870 NUD589870 ODZ589870 ONV589870 OXR589870 PHN589870 PRJ589870 QBF589870 QLB589870 QUX589870 RET589870 ROP589870 RYL589870 SIH589870 SSD589870 TBZ589870 TLV589870 TVR589870 UFN589870 UPJ589870 UZF589870 VJB589870 VSX589870 WCT589870 WMP589870 WWL589870 AD655406 JZ655406 TV655406 ADR655406 ANN655406 AXJ655406 BHF655406 BRB655406 CAX655406 CKT655406 CUP655406 DEL655406 DOH655406 DYD655406 EHZ655406 ERV655406 FBR655406 FLN655406 FVJ655406 GFF655406 GPB655406 GYX655406 HIT655406 HSP655406 ICL655406 IMH655406 IWD655406 JFZ655406 JPV655406 JZR655406 KJN655406 KTJ655406 LDF655406 LNB655406 LWX655406 MGT655406 MQP655406 NAL655406 NKH655406 NUD655406 ODZ655406 ONV655406 OXR655406 PHN655406 PRJ655406 QBF655406 QLB655406 QUX655406 RET655406 ROP655406 RYL655406 SIH655406 SSD655406 TBZ655406 TLV655406 TVR655406 UFN655406 UPJ655406 UZF655406 VJB655406 VSX655406 WCT655406 WMP655406 WWL655406 AD720942 JZ720942 TV720942 ADR720942 ANN720942 AXJ720942 BHF720942 BRB720942 CAX720942 CKT720942 CUP720942 DEL720942 DOH720942 DYD720942 EHZ720942 ERV720942 FBR720942 FLN720942 FVJ720942 GFF720942 GPB720942 GYX720942 HIT720942 HSP720942 ICL720942 IMH720942 IWD720942 JFZ720942 JPV720942 JZR720942 KJN720942 KTJ720942 LDF720942 LNB720942 LWX720942 MGT720942 MQP720942 NAL720942 NKH720942 NUD720942 ODZ720942 ONV720942 OXR720942 PHN720942 PRJ720942 QBF720942 QLB720942 QUX720942 RET720942 ROP720942 RYL720942 SIH720942 SSD720942 TBZ720942 TLV720942 TVR720942 UFN720942 UPJ720942 UZF720942 VJB720942 VSX720942 WCT720942 WMP720942 WWL720942 AD786478 JZ786478 TV786478 ADR786478 ANN786478 AXJ786478 BHF786478 BRB786478 CAX786478 CKT786478 CUP786478 DEL786478 DOH786478 DYD786478 EHZ786478 ERV786478 FBR786478 FLN786478 FVJ786478 GFF786478 GPB786478 GYX786478 HIT786478 HSP786478 ICL786478 IMH786478 IWD786478 JFZ786478 JPV786478 JZR786478 KJN786478 KTJ786478 LDF786478 LNB786478 LWX786478 MGT786478 MQP786478 NAL786478 NKH786478 NUD786478 ODZ786478 ONV786478 OXR786478 PHN786478 PRJ786478 QBF786478 QLB786478 QUX786478 RET786478 ROP786478 RYL786478 SIH786478 SSD786478 TBZ786478 TLV786478 TVR786478 UFN786478 UPJ786478 UZF786478 VJB786478 VSX786478 WCT786478 WMP786478 WWL786478 AD852014 JZ852014 TV852014 ADR852014 ANN852014 AXJ852014 BHF852014 BRB852014 CAX852014 CKT852014 CUP852014 DEL852014 DOH852014 DYD852014 EHZ852014 ERV852014 FBR852014 FLN852014 FVJ852014 GFF852014 GPB852014 GYX852014 HIT852014 HSP852014 ICL852014 IMH852014 IWD852014 JFZ852014 JPV852014 JZR852014 KJN852014 KTJ852014 LDF852014 LNB852014 LWX852014 MGT852014 MQP852014 NAL852014 NKH852014 NUD852014 ODZ852014 ONV852014 OXR852014 PHN852014 PRJ852014 QBF852014 QLB852014 QUX852014 RET852014 ROP852014 RYL852014 SIH852014 SSD852014 TBZ852014 TLV852014 TVR852014 UFN852014 UPJ852014 UZF852014 VJB852014 VSX852014 WCT852014 WMP852014 WWL852014 AD917550 JZ917550 TV917550 ADR917550 ANN917550 AXJ917550 BHF917550 BRB917550 CAX917550 CKT917550 CUP917550 DEL917550 DOH917550 DYD917550 EHZ917550 ERV917550 FBR917550 FLN917550 FVJ917550 GFF917550 GPB917550 GYX917550 HIT917550 HSP917550 ICL917550 IMH917550 IWD917550 JFZ917550 JPV917550 JZR917550 KJN917550 KTJ917550 LDF917550 LNB917550 LWX917550 MGT917550 MQP917550 NAL917550 NKH917550 NUD917550 ODZ917550 ONV917550 OXR917550 PHN917550 PRJ917550 QBF917550 QLB917550 QUX917550 RET917550 ROP917550 RYL917550 SIH917550 SSD917550 TBZ917550 TLV917550 TVR917550 UFN917550 UPJ917550 UZF917550 VJB917550 VSX917550 WCT917550 WMP917550 WWL917550 AD983086 JZ983086 TV983086 ADR983086 ANN983086 AXJ983086 BHF983086 BRB983086 CAX983086 CKT983086 CUP983086 DEL983086 DOH983086 DYD983086 EHZ983086 ERV983086 FBR983086 FLN983086 FVJ983086 GFF983086 GPB983086 GYX983086 HIT983086 HSP983086 ICL983086 IMH983086 IWD983086 JFZ983086 JPV983086 JZR983086 KJN983086 KTJ983086 LDF983086 LNB983086 LWX983086 MGT983086 MQP983086 NAL983086 NKH983086 NUD983086 ODZ983086 ONV983086 OXR983086 PHN983086 PRJ983086 QBF983086 QLB983086 QUX983086 RET983086 ROP983086 RYL983086 SIH983086 SSD983086 TBZ983086 TLV983086 TVR983086 UFN983086 UPJ983086 UZF983086 VJB983086 VSX983086 WCT983086 WMP983086 WWL983086 AB51 JX51 TT51 ADP51 ANL51 AXH51 BHD51 BQZ51 CAV51 CKR51 CUN51 DEJ51 DOF51 DYB51 EHX51 ERT51 FBP51 FLL51 FVH51 GFD51 GOZ51 GYV51 HIR51 HSN51 ICJ51 IMF51 IWB51 JFX51 JPT51 JZP51 KJL51 KTH51 LDD51 LMZ51 LWV51 MGR51 MQN51 NAJ51 NKF51 NUB51 ODX51 ONT51 OXP51 PHL51 PRH51 QBD51 QKZ51 QUV51 RER51 RON51 RYJ51 SIF51 SSB51 TBX51 TLT51 TVP51 UFL51 UPH51 UZD51 VIZ51 VSV51 WCR51 WMN51 WWJ51 AB65587 JX65587 TT65587 ADP65587 ANL65587 AXH65587 BHD65587 BQZ65587 CAV65587 CKR65587 CUN65587 DEJ65587 DOF65587 DYB65587 EHX65587 ERT65587 FBP65587 FLL65587 FVH65587 GFD65587 GOZ65587 GYV65587 HIR65587 HSN65587 ICJ65587 IMF65587 IWB65587 JFX65587 JPT65587 JZP65587 KJL65587 KTH65587 LDD65587 LMZ65587 LWV65587 MGR65587 MQN65587 NAJ65587 NKF65587 NUB65587 ODX65587 ONT65587 OXP65587 PHL65587 PRH65587 QBD65587 QKZ65587 QUV65587 RER65587 RON65587 RYJ65587 SIF65587 SSB65587 TBX65587 TLT65587 TVP65587 UFL65587 UPH65587 UZD65587 VIZ65587 VSV65587 WCR65587 WMN65587 WWJ65587 AB131123 JX131123 TT131123 ADP131123 ANL131123 AXH131123 BHD131123 BQZ131123 CAV131123 CKR131123 CUN131123 DEJ131123 DOF131123 DYB131123 EHX131123 ERT131123 FBP131123 FLL131123 FVH131123 GFD131123 GOZ131123 GYV131123 HIR131123 HSN131123 ICJ131123 IMF131123 IWB131123 JFX131123 JPT131123 JZP131123 KJL131123 KTH131123 LDD131123 LMZ131123 LWV131123 MGR131123 MQN131123 NAJ131123 NKF131123 NUB131123 ODX131123 ONT131123 OXP131123 PHL131123 PRH131123 QBD131123 QKZ131123 QUV131123 RER131123 RON131123 RYJ131123 SIF131123 SSB131123 TBX131123 TLT131123 TVP131123 UFL131123 UPH131123 UZD131123 VIZ131123 VSV131123 WCR131123 WMN131123 WWJ131123 AB196659 JX196659 TT196659 ADP196659 ANL196659 AXH196659 BHD196659 BQZ196659 CAV196659 CKR196659 CUN196659 DEJ196659 DOF196659 DYB196659 EHX196659 ERT196659 FBP196659 FLL196659 FVH196659 GFD196659 GOZ196659 GYV196659 HIR196659 HSN196659 ICJ196659 IMF196659 IWB196659 JFX196659 JPT196659 JZP196659 KJL196659 KTH196659 LDD196659 LMZ196659 LWV196659 MGR196659 MQN196659 NAJ196659 NKF196659 NUB196659 ODX196659 ONT196659 OXP196659 PHL196659 PRH196659 QBD196659 QKZ196659 QUV196659 RER196659 RON196659 RYJ196659 SIF196659 SSB196659 TBX196659 TLT196659 TVP196659 UFL196659 UPH196659 UZD196659 VIZ196659 VSV196659 WCR196659 WMN196659 WWJ196659 AB262195 JX262195 TT262195 ADP262195 ANL262195 AXH262195 BHD262195 BQZ262195 CAV262195 CKR262195 CUN262195 DEJ262195 DOF262195 DYB262195 EHX262195 ERT262195 FBP262195 FLL262195 FVH262195 GFD262195 GOZ262195 GYV262195 HIR262195 HSN262195 ICJ262195 IMF262195 IWB262195 JFX262195 JPT262195 JZP262195 KJL262195 KTH262195 LDD262195 LMZ262195 LWV262195 MGR262195 MQN262195 NAJ262195 NKF262195 NUB262195 ODX262195 ONT262195 OXP262195 PHL262195 PRH262195 QBD262195 QKZ262195 QUV262195 RER262195 RON262195 RYJ262195 SIF262195 SSB262195 TBX262195 TLT262195 TVP262195 UFL262195 UPH262195 UZD262195 VIZ262195 VSV262195 WCR262195 WMN262195 WWJ262195 AB327731 JX327731 TT327731 ADP327731 ANL327731 AXH327731 BHD327731 BQZ327731 CAV327731 CKR327731 CUN327731 DEJ327731 DOF327731 DYB327731 EHX327731 ERT327731 FBP327731 FLL327731 FVH327731 GFD327731 GOZ327731 GYV327731 HIR327731 HSN327731 ICJ327731 IMF327731 IWB327731 JFX327731 JPT327731 JZP327731 KJL327731 KTH327731 LDD327731 LMZ327731 LWV327731 MGR327731 MQN327731 NAJ327731 NKF327731 NUB327731 ODX327731 ONT327731 OXP327731 PHL327731 PRH327731 QBD327731 QKZ327731 QUV327731 RER327731 RON327731 RYJ327731 SIF327731 SSB327731 TBX327731 TLT327731 TVP327731 UFL327731 UPH327731 UZD327731 VIZ327731 VSV327731 WCR327731 WMN327731 WWJ327731 AB393267 JX393267 TT393267 ADP393267 ANL393267 AXH393267 BHD393267 BQZ393267 CAV393267 CKR393267 CUN393267 DEJ393267 DOF393267 DYB393267 EHX393267 ERT393267 FBP393267 FLL393267 FVH393267 GFD393267 GOZ393267 GYV393267 HIR393267 HSN393267 ICJ393267 IMF393267 IWB393267 JFX393267 JPT393267 JZP393267 KJL393267 KTH393267 LDD393267 LMZ393267 LWV393267 MGR393267 MQN393267 NAJ393267 NKF393267 NUB393267 ODX393267 ONT393267 OXP393267 PHL393267 PRH393267 QBD393267 QKZ393267 QUV393267 RER393267 RON393267 RYJ393267 SIF393267 SSB393267 TBX393267 TLT393267 TVP393267 UFL393267 UPH393267 UZD393267 VIZ393267 VSV393267 WCR393267 WMN393267 WWJ393267 AB458803 JX458803 TT458803 ADP458803 ANL458803 AXH458803 BHD458803 BQZ458803 CAV458803 CKR458803 CUN458803 DEJ458803 DOF458803 DYB458803 EHX458803 ERT458803 FBP458803 FLL458803 FVH458803 GFD458803 GOZ458803 GYV458803 HIR458803 HSN458803 ICJ458803 IMF458803 IWB458803 JFX458803 JPT458803 JZP458803 KJL458803 KTH458803 LDD458803 LMZ458803 LWV458803 MGR458803 MQN458803 NAJ458803 NKF458803 NUB458803 ODX458803 ONT458803 OXP458803 PHL458803 PRH458803 QBD458803 QKZ458803 QUV458803 RER458803 RON458803 RYJ458803 SIF458803 SSB458803 TBX458803 TLT458803 TVP458803 UFL458803 UPH458803 UZD458803 VIZ458803 VSV458803 WCR458803 WMN458803 WWJ458803 AB524339 JX524339 TT524339 ADP524339 ANL524339 AXH524339 BHD524339 BQZ524339 CAV524339 CKR524339 CUN524339 DEJ524339 DOF524339 DYB524339 EHX524339 ERT524339 FBP524339 FLL524339 FVH524339 GFD524339 GOZ524339 GYV524339 HIR524339 HSN524339 ICJ524339 IMF524339 IWB524339 JFX524339 JPT524339 JZP524339 KJL524339 KTH524339 LDD524339 LMZ524339 LWV524339 MGR524339 MQN524339 NAJ524339 NKF524339 NUB524339 ODX524339 ONT524339 OXP524339 PHL524339 PRH524339 QBD524339 QKZ524339 QUV524339 RER524339 RON524339 RYJ524339 SIF524339 SSB524339 TBX524339 TLT524339 TVP524339 UFL524339 UPH524339 UZD524339 VIZ524339 VSV524339 WCR524339 WMN524339 WWJ524339 AB589875 JX589875 TT589875 ADP589875 ANL589875 AXH589875 BHD589875 BQZ589875 CAV589875 CKR589875 CUN589875 DEJ589875 DOF589875 DYB589875 EHX589875 ERT589875 FBP589875 FLL589875 FVH589875 GFD589875 GOZ589875 GYV589875 HIR589875 HSN589875 ICJ589875 IMF589875 IWB589875 JFX589875 JPT589875 JZP589875 KJL589875 KTH589875 LDD589875 LMZ589875 LWV589875 MGR589875 MQN589875 NAJ589875 NKF589875 NUB589875 ODX589875 ONT589875 OXP589875 PHL589875 PRH589875 QBD589875 QKZ589875 QUV589875 RER589875 RON589875 RYJ589875 SIF589875 SSB589875 TBX589875 TLT589875 TVP589875 UFL589875 UPH589875 UZD589875 VIZ589875 VSV589875 WCR589875 WMN589875 WWJ589875 AB655411 JX655411 TT655411 ADP655411 ANL655411 AXH655411 BHD655411 BQZ655411 CAV655411 CKR655411 CUN655411 DEJ655411 DOF655411 DYB655411 EHX655411 ERT655411 FBP655411 FLL655411 FVH655411 GFD655411 GOZ655411 GYV655411 HIR655411 HSN655411 ICJ655411 IMF655411 IWB655411 JFX655411 JPT655411 JZP655411 KJL655411 KTH655411 LDD655411 LMZ655411 LWV655411 MGR655411 MQN655411 NAJ655411 NKF655411 NUB655411 ODX655411 ONT655411 OXP655411 PHL655411 PRH655411 QBD655411 QKZ655411 QUV655411 RER655411 RON655411 RYJ655411 SIF655411 SSB655411 TBX655411 TLT655411 TVP655411 UFL655411 UPH655411 UZD655411 VIZ655411 VSV655411 WCR655411 WMN655411 WWJ655411 AB720947 JX720947 TT720947 ADP720947 ANL720947 AXH720947 BHD720947 BQZ720947 CAV720947 CKR720947 CUN720947 DEJ720947 DOF720947 DYB720947 EHX720947 ERT720947 FBP720947 FLL720947 FVH720947 GFD720947 GOZ720947 GYV720947 HIR720947 HSN720947 ICJ720947 IMF720947 IWB720947 JFX720947 JPT720947 JZP720947 KJL720947 KTH720947 LDD720947 LMZ720947 LWV720947 MGR720947 MQN720947 NAJ720947 NKF720947 NUB720947 ODX720947 ONT720947 OXP720947 PHL720947 PRH720947 QBD720947 QKZ720947 QUV720947 RER720947 RON720947 RYJ720947 SIF720947 SSB720947 TBX720947 TLT720947 TVP720947 UFL720947 UPH720947 UZD720947 VIZ720947 VSV720947 WCR720947 WMN720947 WWJ720947 AB786483 JX786483 TT786483 ADP786483 ANL786483 AXH786483 BHD786483 BQZ786483 CAV786483 CKR786483 CUN786483 DEJ786483 DOF786483 DYB786483 EHX786483 ERT786483 FBP786483 FLL786483 FVH786483 GFD786483 GOZ786483 GYV786483 HIR786483 HSN786483 ICJ786483 IMF786483 IWB786483 JFX786483 JPT786483 JZP786483 KJL786483 KTH786483 LDD786483 LMZ786483 LWV786483 MGR786483 MQN786483 NAJ786483 NKF786483 NUB786483 ODX786483 ONT786483 OXP786483 PHL786483 PRH786483 QBD786483 QKZ786483 QUV786483 RER786483 RON786483 RYJ786483 SIF786483 SSB786483 TBX786483 TLT786483 TVP786483 UFL786483 UPH786483 UZD786483 VIZ786483 VSV786483 WCR786483 WMN786483 WWJ786483 AB852019 JX852019 TT852019 ADP852019 ANL852019 AXH852019 BHD852019 BQZ852019 CAV852019 CKR852019 CUN852019 DEJ852019 DOF852019 DYB852019 EHX852019 ERT852019 FBP852019 FLL852019 FVH852019 GFD852019 GOZ852019 GYV852019 HIR852019 HSN852019 ICJ852019 IMF852019 IWB852019 JFX852019 JPT852019 JZP852019 KJL852019 KTH852019 LDD852019 LMZ852019 LWV852019 MGR852019 MQN852019 NAJ852019 NKF852019 NUB852019 ODX852019 ONT852019 OXP852019 PHL852019 PRH852019 QBD852019 QKZ852019 QUV852019 RER852019 RON852019 RYJ852019 SIF852019 SSB852019 TBX852019 TLT852019 TVP852019 UFL852019 UPH852019 UZD852019 VIZ852019 VSV852019 WCR852019 WMN852019 WWJ852019 AB917555 JX917555 TT917555 ADP917555 ANL917555 AXH917555 BHD917555 BQZ917555 CAV917555 CKR917555 CUN917555 DEJ917555 DOF917555 DYB917555 EHX917555 ERT917555 FBP917555 FLL917555 FVH917555 GFD917555 GOZ917555 GYV917555 HIR917555 HSN917555 ICJ917555 IMF917555 IWB917555 JFX917555 JPT917555 JZP917555 KJL917555 KTH917555 LDD917555 LMZ917555 LWV917555 MGR917555 MQN917555 NAJ917555 NKF917555 NUB917555 ODX917555 ONT917555 OXP917555 PHL917555 PRH917555 QBD917555 QKZ917555 QUV917555 RER917555 RON917555 RYJ917555 SIF917555 SSB917555 TBX917555 TLT917555 TVP917555 UFL917555 UPH917555 UZD917555 VIZ917555 VSV917555 WCR917555 WMN917555 WWJ917555 AB983091 JX983091 TT983091 ADP983091 ANL983091 AXH983091 BHD983091 BQZ983091 CAV983091 CKR983091 CUN983091 DEJ983091 DOF983091 DYB983091 EHX983091 ERT983091 FBP983091 FLL983091 FVH983091 GFD983091 GOZ983091 GYV983091 HIR983091 HSN983091 ICJ983091 IMF983091 IWB983091 JFX983091 JPT983091 JZP983091 KJL983091 KTH983091 LDD983091 LMZ983091 LWV983091 MGR983091 MQN983091 NAJ983091 NKF983091 NUB983091 ODX983091 ONT983091 OXP983091 PHL983091 PRH983091 QBD983091 QKZ983091 QUV983091 RER983091 RON983091 RYJ983091 SIF983091 SSB983091 TBX983091 TLT983091 TVP983091 UFL983091 UPH983091 UZD983091 VIZ983091 VSV983091 WCR983091 WMN983091 WWJ983091 AD51 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AD65587 JZ65587 TV65587 ADR65587 ANN65587 AXJ65587 BHF65587 BRB65587 CAX65587 CKT65587 CUP65587 DEL65587 DOH65587 DYD65587 EHZ65587 ERV65587 FBR65587 FLN65587 FVJ65587 GFF65587 GPB65587 GYX65587 HIT65587 HSP65587 ICL65587 IMH65587 IWD65587 JFZ65587 JPV65587 JZR65587 KJN65587 KTJ65587 LDF65587 LNB65587 LWX65587 MGT65587 MQP65587 NAL65587 NKH65587 NUD65587 ODZ65587 ONV65587 OXR65587 PHN65587 PRJ65587 QBF65587 QLB65587 QUX65587 RET65587 ROP65587 RYL65587 SIH65587 SSD65587 TBZ65587 TLV65587 TVR65587 UFN65587 UPJ65587 UZF65587 VJB65587 VSX65587 WCT65587 WMP65587 WWL65587 AD131123 JZ131123 TV131123 ADR131123 ANN131123 AXJ131123 BHF131123 BRB131123 CAX131123 CKT131123 CUP131123 DEL131123 DOH131123 DYD131123 EHZ131123 ERV131123 FBR131123 FLN131123 FVJ131123 GFF131123 GPB131123 GYX131123 HIT131123 HSP131123 ICL131123 IMH131123 IWD131123 JFZ131123 JPV131123 JZR131123 KJN131123 KTJ131123 LDF131123 LNB131123 LWX131123 MGT131123 MQP131123 NAL131123 NKH131123 NUD131123 ODZ131123 ONV131123 OXR131123 PHN131123 PRJ131123 QBF131123 QLB131123 QUX131123 RET131123 ROP131123 RYL131123 SIH131123 SSD131123 TBZ131123 TLV131123 TVR131123 UFN131123 UPJ131123 UZF131123 VJB131123 VSX131123 WCT131123 WMP131123 WWL131123 AD196659 JZ196659 TV196659 ADR196659 ANN196659 AXJ196659 BHF196659 BRB196659 CAX196659 CKT196659 CUP196659 DEL196659 DOH196659 DYD196659 EHZ196659 ERV196659 FBR196659 FLN196659 FVJ196659 GFF196659 GPB196659 GYX196659 HIT196659 HSP196659 ICL196659 IMH196659 IWD196659 JFZ196659 JPV196659 JZR196659 KJN196659 KTJ196659 LDF196659 LNB196659 LWX196659 MGT196659 MQP196659 NAL196659 NKH196659 NUD196659 ODZ196659 ONV196659 OXR196659 PHN196659 PRJ196659 QBF196659 QLB196659 QUX196659 RET196659 ROP196659 RYL196659 SIH196659 SSD196659 TBZ196659 TLV196659 TVR196659 UFN196659 UPJ196659 UZF196659 VJB196659 VSX196659 WCT196659 WMP196659 WWL196659 AD262195 JZ262195 TV262195 ADR262195 ANN262195 AXJ262195 BHF262195 BRB262195 CAX262195 CKT262195 CUP262195 DEL262195 DOH262195 DYD262195 EHZ262195 ERV262195 FBR262195 FLN262195 FVJ262195 GFF262195 GPB262195 GYX262195 HIT262195 HSP262195 ICL262195 IMH262195 IWD262195 JFZ262195 JPV262195 JZR262195 KJN262195 KTJ262195 LDF262195 LNB262195 LWX262195 MGT262195 MQP262195 NAL262195 NKH262195 NUD262195 ODZ262195 ONV262195 OXR262195 PHN262195 PRJ262195 QBF262195 QLB262195 QUX262195 RET262195 ROP262195 RYL262195 SIH262195 SSD262195 TBZ262195 TLV262195 TVR262195 UFN262195 UPJ262195 UZF262195 VJB262195 VSX262195 WCT262195 WMP262195 WWL262195 AD327731 JZ327731 TV327731 ADR327731 ANN327731 AXJ327731 BHF327731 BRB327731 CAX327731 CKT327731 CUP327731 DEL327731 DOH327731 DYD327731 EHZ327731 ERV327731 FBR327731 FLN327731 FVJ327731 GFF327731 GPB327731 GYX327731 HIT327731 HSP327731 ICL327731 IMH327731 IWD327731 JFZ327731 JPV327731 JZR327731 KJN327731 KTJ327731 LDF327731 LNB327731 LWX327731 MGT327731 MQP327731 NAL327731 NKH327731 NUD327731 ODZ327731 ONV327731 OXR327731 PHN327731 PRJ327731 QBF327731 QLB327731 QUX327731 RET327731 ROP327731 RYL327731 SIH327731 SSD327731 TBZ327731 TLV327731 TVR327731 UFN327731 UPJ327731 UZF327731 VJB327731 VSX327731 WCT327731 WMP327731 WWL327731 AD393267 JZ393267 TV393267 ADR393267 ANN393267 AXJ393267 BHF393267 BRB393267 CAX393267 CKT393267 CUP393267 DEL393267 DOH393267 DYD393267 EHZ393267 ERV393267 FBR393267 FLN393267 FVJ393267 GFF393267 GPB393267 GYX393267 HIT393267 HSP393267 ICL393267 IMH393267 IWD393267 JFZ393267 JPV393267 JZR393267 KJN393267 KTJ393267 LDF393267 LNB393267 LWX393267 MGT393267 MQP393267 NAL393267 NKH393267 NUD393267 ODZ393267 ONV393267 OXR393267 PHN393267 PRJ393267 QBF393267 QLB393267 QUX393267 RET393267 ROP393267 RYL393267 SIH393267 SSD393267 TBZ393267 TLV393267 TVR393267 UFN393267 UPJ393267 UZF393267 VJB393267 VSX393267 WCT393267 WMP393267 WWL393267 AD458803 JZ458803 TV458803 ADR458803 ANN458803 AXJ458803 BHF458803 BRB458803 CAX458803 CKT458803 CUP458803 DEL458803 DOH458803 DYD458803 EHZ458803 ERV458803 FBR458803 FLN458803 FVJ458803 GFF458803 GPB458803 GYX458803 HIT458803 HSP458803 ICL458803 IMH458803 IWD458803 JFZ458803 JPV458803 JZR458803 KJN458803 KTJ458803 LDF458803 LNB458803 LWX458803 MGT458803 MQP458803 NAL458803 NKH458803 NUD458803 ODZ458803 ONV458803 OXR458803 PHN458803 PRJ458803 QBF458803 QLB458803 QUX458803 RET458803 ROP458803 RYL458803 SIH458803 SSD458803 TBZ458803 TLV458803 TVR458803 UFN458803 UPJ458803 UZF458803 VJB458803 VSX458803 WCT458803 WMP458803 WWL458803 AD524339 JZ524339 TV524339 ADR524339 ANN524339 AXJ524339 BHF524339 BRB524339 CAX524339 CKT524339 CUP524339 DEL524339 DOH524339 DYD524339 EHZ524339 ERV524339 FBR524339 FLN524339 FVJ524339 GFF524339 GPB524339 GYX524339 HIT524339 HSP524339 ICL524339 IMH524339 IWD524339 JFZ524339 JPV524339 JZR524339 KJN524339 KTJ524339 LDF524339 LNB524339 LWX524339 MGT524339 MQP524339 NAL524339 NKH524339 NUD524339 ODZ524339 ONV524339 OXR524339 PHN524339 PRJ524339 QBF524339 QLB524339 QUX524339 RET524339 ROP524339 RYL524339 SIH524339 SSD524339 TBZ524339 TLV524339 TVR524339 UFN524339 UPJ524339 UZF524339 VJB524339 VSX524339 WCT524339 WMP524339 WWL524339 AD589875 JZ589875 TV589875 ADR589875 ANN589875 AXJ589875 BHF589875 BRB589875 CAX589875 CKT589875 CUP589875 DEL589875 DOH589875 DYD589875 EHZ589875 ERV589875 FBR589875 FLN589875 FVJ589875 GFF589875 GPB589875 GYX589875 HIT589875 HSP589875 ICL589875 IMH589875 IWD589875 JFZ589875 JPV589875 JZR589875 KJN589875 KTJ589875 LDF589875 LNB589875 LWX589875 MGT589875 MQP589875 NAL589875 NKH589875 NUD589875 ODZ589875 ONV589875 OXR589875 PHN589875 PRJ589875 QBF589875 QLB589875 QUX589875 RET589875 ROP589875 RYL589875 SIH589875 SSD589875 TBZ589875 TLV589875 TVR589875 UFN589875 UPJ589875 UZF589875 VJB589875 VSX589875 WCT589875 WMP589875 WWL589875 AD655411 JZ655411 TV655411 ADR655411 ANN655411 AXJ655411 BHF655411 BRB655411 CAX655411 CKT655411 CUP655411 DEL655411 DOH655411 DYD655411 EHZ655411 ERV655411 FBR655411 FLN655411 FVJ655411 GFF655411 GPB655411 GYX655411 HIT655411 HSP655411 ICL655411 IMH655411 IWD655411 JFZ655411 JPV655411 JZR655411 KJN655411 KTJ655411 LDF655411 LNB655411 LWX655411 MGT655411 MQP655411 NAL655411 NKH655411 NUD655411 ODZ655411 ONV655411 OXR655411 PHN655411 PRJ655411 QBF655411 QLB655411 QUX655411 RET655411 ROP655411 RYL655411 SIH655411 SSD655411 TBZ655411 TLV655411 TVR655411 UFN655411 UPJ655411 UZF655411 VJB655411 VSX655411 WCT655411 WMP655411 WWL655411 AD720947 JZ720947 TV720947 ADR720947 ANN720947 AXJ720947 BHF720947 BRB720947 CAX720947 CKT720947 CUP720947 DEL720947 DOH720947 DYD720947 EHZ720947 ERV720947 FBR720947 FLN720947 FVJ720947 GFF720947 GPB720947 GYX720947 HIT720947 HSP720947 ICL720947 IMH720947 IWD720947 JFZ720947 JPV720947 JZR720947 KJN720947 KTJ720947 LDF720947 LNB720947 LWX720947 MGT720947 MQP720947 NAL720947 NKH720947 NUD720947 ODZ720947 ONV720947 OXR720947 PHN720947 PRJ720947 QBF720947 QLB720947 QUX720947 RET720947 ROP720947 RYL720947 SIH720947 SSD720947 TBZ720947 TLV720947 TVR720947 UFN720947 UPJ720947 UZF720947 VJB720947 VSX720947 WCT720947 WMP720947 WWL720947 AD786483 JZ786483 TV786483 ADR786483 ANN786483 AXJ786483 BHF786483 BRB786483 CAX786483 CKT786483 CUP786483 DEL786483 DOH786483 DYD786483 EHZ786483 ERV786483 FBR786483 FLN786483 FVJ786483 GFF786483 GPB786483 GYX786483 HIT786483 HSP786483 ICL786483 IMH786483 IWD786483 JFZ786483 JPV786483 JZR786483 KJN786483 KTJ786483 LDF786483 LNB786483 LWX786483 MGT786483 MQP786483 NAL786483 NKH786483 NUD786483 ODZ786483 ONV786483 OXR786483 PHN786483 PRJ786483 QBF786483 QLB786483 QUX786483 RET786483 ROP786483 RYL786483 SIH786483 SSD786483 TBZ786483 TLV786483 TVR786483 UFN786483 UPJ786483 UZF786483 VJB786483 VSX786483 WCT786483 WMP786483 WWL786483 AD852019 JZ852019 TV852019 ADR852019 ANN852019 AXJ852019 BHF852019 BRB852019 CAX852019 CKT852019 CUP852019 DEL852019 DOH852019 DYD852019 EHZ852019 ERV852019 FBR852019 FLN852019 FVJ852019 GFF852019 GPB852019 GYX852019 HIT852019 HSP852019 ICL852019 IMH852019 IWD852019 JFZ852019 JPV852019 JZR852019 KJN852019 KTJ852019 LDF852019 LNB852019 LWX852019 MGT852019 MQP852019 NAL852019 NKH852019 NUD852019 ODZ852019 ONV852019 OXR852019 PHN852019 PRJ852019 QBF852019 QLB852019 QUX852019 RET852019 ROP852019 RYL852019 SIH852019 SSD852019 TBZ852019 TLV852019 TVR852019 UFN852019 UPJ852019 UZF852019 VJB852019 VSX852019 WCT852019 WMP852019 WWL852019 AD917555 JZ917555 TV917555 ADR917555 ANN917555 AXJ917555 BHF917555 BRB917555 CAX917555 CKT917555 CUP917555 DEL917555 DOH917555 DYD917555 EHZ917555 ERV917555 FBR917555 FLN917555 FVJ917555 GFF917555 GPB917555 GYX917555 HIT917555 HSP917555 ICL917555 IMH917555 IWD917555 JFZ917555 JPV917555 JZR917555 KJN917555 KTJ917555 LDF917555 LNB917555 LWX917555 MGT917555 MQP917555 NAL917555 NKH917555 NUD917555 ODZ917555 ONV917555 OXR917555 PHN917555 PRJ917555 QBF917555 QLB917555 QUX917555 RET917555 ROP917555 RYL917555 SIH917555 SSD917555 TBZ917555 TLV917555 TVR917555 UFN917555 UPJ917555 UZF917555 VJB917555 VSX917555 WCT917555 WMP917555 WWL917555 AD983091 JZ983091 TV983091 ADR983091 ANN983091 AXJ983091 BHF983091 BRB983091 CAX983091 CKT983091 CUP983091 DEL983091 DOH983091 DYD983091 EHZ983091 ERV983091 FBR983091 FLN983091 FVJ983091 GFF983091 GPB983091 GYX983091 HIT983091 HSP983091 ICL983091 IMH983091 IWD983091 JFZ983091 JPV983091 JZR983091 KJN983091 KTJ983091 LDF983091 LNB983091 LWX983091 MGT983091 MQP983091 NAL983091 NKH983091 NUD983091 ODZ983091 ONV983091 OXR983091 PHN983091 PRJ983091 QBF983091 QLB983091 QUX983091 RET983091 ROP983091 RYL983091 SIH983091 SSD983091 TBZ983091 TLV983091 TVR983091 UFN983091 UPJ983091 UZF983091 VJB983091 VSX983091 WCT983091 WMP983091 WWL983091 AB56 JX56 TT56 ADP56 ANL56 AXH56 BHD56 BQZ56 CAV56 CKR56 CUN56 DEJ56 DOF56 DYB56 EHX56 ERT56 FBP56 FLL56 FVH56 GFD56 GOZ56 GYV56 HIR56 HSN56 ICJ56 IMF56 IWB56 JFX56 JPT56 JZP56 KJL56 KTH56 LDD56 LMZ56 LWV56 MGR56 MQN56 NAJ56 NKF56 NUB56 ODX56 ONT56 OXP56 PHL56 PRH56 QBD56 QKZ56 QUV56 RER56 RON56 RYJ56 SIF56 SSB56 TBX56 TLT56 TVP56 UFL56 UPH56 UZD56 VIZ56 VSV56 WCR56 WMN56 WWJ56 AB65592 JX65592 TT65592 ADP65592 ANL65592 AXH65592 BHD65592 BQZ65592 CAV65592 CKR65592 CUN65592 DEJ65592 DOF65592 DYB65592 EHX65592 ERT65592 FBP65592 FLL65592 FVH65592 GFD65592 GOZ65592 GYV65592 HIR65592 HSN65592 ICJ65592 IMF65592 IWB65592 JFX65592 JPT65592 JZP65592 KJL65592 KTH65592 LDD65592 LMZ65592 LWV65592 MGR65592 MQN65592 NAJ65592 NKF65592 NUB65592 ODX65592 ONT65592 OXP65592 PHL65592 PRH65592 QBD65592 QKZ65592 QUV65592 RER65592 RON65592 RYJ65592 SIF65592 SSB65592 TBX65592 TLT65592 TVP65592 UFL65592 UPH65592 UZD65592 VIZ65592 VSV65592 WCR65592 WMN65592 WWJ65592 AB131128 JX131128 TT131128 ADP131128 ANL131128 AXH131128 BHD131128 BQZ131128 CAV131128 CKR131128 CUN131128 DEJ131128 DOF131128 DYB131128 EHX131128 ERT131128 FBP131128 FLL131128 FVH131128 GFD131128 GOZ131128 GYV131128 HIR131128 HSN131128 ICJ131128 IMF131128 IWB131128 JFX131128 JPT131128 JZP131128 KJL131128 KTH131128 LDD131128 LMZ131128 LWV131128 MGR131128 MQN131128 NAJ131128 NKF131128 NUB131128 ODX131128 ONT131128 OXP131128 PHL131128 PRH131128 QBD131128 QKZ131128 QUV131128 RER131128 RON131128 RYJ131128 SIF131128 SSB131128 TBX131128 TLT131128 TVP131128 UFL131128 UPH131128 UZD131128 VIZ131128 VSV131128 WCR131128 WMN131128 WWJ131128 AB196664 JX196664 TT196664 ADP196664 ANL196664 AXH196664 BHD196664 BQZ196664 CAV196664 CKR196664 CUN196664 DEJ196664 DOF196664 DYB196664 EHX196664 ERT196664 FBP196664 FLL196664 FVH196664 GFD196664 GOZ196664 GYV196664 HIR196664 HSN196664 ICJ196664 IMF196664 IWB196664 JFX196664 JPT196664 JZP196664 KJL196664 KTH196664 LDD196664 LMZ196664 LWV196664 MGR196664 MQN196664 NAJ196664 NKF196664 NUB196664 ODX196664 ONT196664 OXP196664 PHL196664 PRH196664 QBD196664 QKZ196664 QUV196664 RER196664 RON196664 RYJ196664 SIF196664 SSB196664 TBX196664 TLT196664 TVP196664 UFL196664 UPH196664 UZD196664 VIZ196664 VSV196664 WCR196664 WMN196664 WWJ196664 AB262200 JX262200 TT262200 ADP262200 ANL262200 AXH262200 BHD262200 BQZ262200 CAV262200 CKR262200 CUN262200 DEJ262200 DOF262200 DYB262200 EHX262200 ERT262200 FBP262200 FLL262200 FVH262200 GFD262200 GOZ262200 GYV262200 HIR262200 HSN262200 ICJ262200 IMF262200 IWB262200 JFX262200 JPT262200 JZP262200 KJL262200 KTH262200 LDD262200 LMZ262200 LWV262200 MGR262200 MQN262200 NAJ262200 NKF262200 NUB262200 ODX262200 ONT262200 OXP262200 PHL262200 PRH262200 QBD262200 QKZ262200 QUV262200 RER262200 RON262200 RYJ262200 SIF262200 SSB262200 TBX262200 TLT262200 TVP262200 UFL262200 UPH262200 UZD262200 VIZ262200 VSV262200 WCR262200 WMN262200 WWJ262200 AB327736 JX327736 TT327736 ADP327736 ANL327736 AXH327736 BHD327736 BQZ327736 CAV327736 CKR327736 CUN327736 DEJ327736 DOF327736 DYB327736 EHX327736 ERT327736 FBP327736 FLL327736 FVH327736 GFD327736 GOZ327736 GYV327736 HIR327736 HSN327736 ICJ327736 IMF327736 IWB327736 JFX327736 JPT327736 JZP327736 KJL327736 KTH327736 LDD327736 LMZ327736 LWV327736 MGR327736 MQN327736 NAJ327736 NKF327736 NUB327736 ODX327736 ONT327736 OXP327736 PHL327736 PRH327736 QBD327736 QKZ327736 QUV327736 RER327736 RON327736 RYJ327736 SIF327736 SSB327736 TBX327736 TLT327736 TVP327736 UFL327736 UPH327736 UZD327736 VIZ327736 VSV327736 WCR327736 WMN327736 WWJ327736 AB393272 JX393272 TT393272 ADP393272 ANL393272 AXH393272 BHD393272 BQZ393272 CAV393272 CKR393272 CUN393272 DEJ393272 DOF393272 DYB393272 EHX393272 ERT393272 FBP393272 FLL393272 FVH393272 GFD393272 GOZ393272 GYV393272 HIR393272 HSN393272 ICJ393272 IMF393272 IWB393272 JFX393272 JPT393272 JZP393272 KJL393272 KTH393272 LDD393272 LMZ393272 LWV393272 MGR393272 MQN393272 NAJ393272 NKF393272 NUB393272 ODX393272 ONT393272 OXP393272 PHL393272 PRH393272 QBD393272 QKZ393272 QUV393272 RER393272 RON393272 RYJ393272 SIF393272 SSB393272 TBX393272 TLT393272 TVP393272 UFL393272 UPH393272 UZD393272 VIZ393272 VSV393272 WCR393272 WMN393272 WWJ393272 AB458808 JX458808 TT458808 ADP458808 ANL458808 AXH458808 BHD458808 BQZ458808 CAV458808 CKR458808 CUN458808 DEJ458808 DOF458808 DYB458808 EHX458808 ERT458808 FBP458808 FLL458808 FVH458808 GFD458808 GOZ458808 GYV458808 HIR458808 HSN458808 ICJ458808 IMF458808 IWB458808 JFX458808 JPT458808 JZP458808 KJL458808 KTH458808 LDD458808 LMZ458808 LWV458808 MGR458808 MQN458808 NAJ458808 NKF458808 NUB458808 ODX458808 ONT458808 OXP458808 PHL458808 PRH458808 QBD458808 QKZ458808 QUV458808 RER458808 RON458808 RYJ458808 SIF458808 SSB458808 TBX458808 TLT458808 TVP458808 UFL458808 UPH458808 UZD458808 VIZ458808 VSV458808 WCR458808 WMN458808 WWJ458808 AB524344 JX524344 TT524344 ADP524344 ANL524344 AXH524344 BHD524344 BQZ524344 CAV524344 CKR524344 CUN524344 DEJ524344 DOF524344 DYB524344 EHX524344 ERT524344 FBP524344 FLL524344 FVH524344 GFD524344 GOZ524344 GYV524344 HIR524344 HSN524344 ICJ524344 IMF524344 IWB524344 JFX524344 JPT524344 JZP524344 KJL524344 KTH524344 LDD524344 LMZ524344 LWV524344 MGR524344 MQN524344 NAJ524344 NKF524344 NUB524344 ODX524344 ONT524344 OXP524344 PHL524344 PRH524344 QBD524344 QKZ524344 QUV524344 RER524344 RON524344 RYJ524344 SIF524344 SSB524344 TBX524344 TLT524344 TVP524344 UFL524344 UPH524344 UZD524344 VIZ524344 VSV524344 WCR524344 WMN524344 WWJ524344 AB589880 JX589880 TT589880 ADP589880 ANL589880 AXH589880 BHD589880 BQZ589880 CAV589880 CKR589880 CUN589880 DEJ589880 DOF589880 DYB589880 EHX589880 ERT589880 FBP589880 FLL589880 FVH589880 GFD589880 GOZ589880 GYV589880 HIR589880 HSN589880 ICJ589880 IMF589880 IWB589880 JFX589880 JPT589880 JZP589880 KJL589880 KTH589880 LDD589880 LMZ589880 LWV589880 MGR589880 MQN589880 NAJ589880 NKF589880 NUB589880 ODX589880 ONT589880 OXP589880 PHL589880 PRH589880 QBD589880 QKZ589880 QUV589880 RER589880 RON589880 RYJ589880 SIF589880 SSB589880 TBX589880 TLT589880 TVP589880 UFL589880 UPH589880 UZD589880 VIZ589880 VSV589880 WCR589880 WMN589880 WWJ589880 AB655416 JX655416 TT655416 ADP655416 ANL655416 AXH655416 BHD655416 BQZ655416 CAV655416 CKR655416 CUN655416 DEJ655416 DOF655416 DYB655416 EHX655416 ERT655416 FBP655416 FLL655416 FVH655416 GFD655416 GOZ655416 GYV655416 HIR655416 HSN655416 ICJ655416 IMF655416 IWB655416 JFX655416 JPT655416 JZP655416 KJL655416 KTH655416 LDD655416 LMZ655416 LWV655416 MGR655416 MQN655416 NAJ655416 NKF655416 NUB655416 ODX655416 ONT655416 OXP655416 PHL655416 PRH655416 QBD655416 QKZ655416 QUV655416 RER655416 RON655416 RYJ655416 SIF655416 SSB655416 TBX655416 TLT655416 TVP655416 UFL655416 UPH655416 UZD655416 VIZ655416 VSV655416 WCR655416 WMN655416 WWJ655416 AB720952 JX720952 TT720952 ADP720952 ANL720952 AXH720952 BHD720952 BQZ720952 CAV720952 CKR720952 CUN720952 DEJ720952 DOF720952 DYB720952 EHX720952 ERT720952 FBP720952 FLL720952 FVH720952 GFD720952 GOZ720952 GYV720952 HIR720952 HSN720952 ICJ720952 IMF720952 IWB720952 JFX720952 JPT720952 JZP720952 KJL720952 KTH720952 LDD720952 LMZ720952 LWV720952 MGR720952 MQN720952 NAJ720952 NKF720952 NUB720952 ODX720952 ONT720952 OXP720952 PHL720952 PRH720952 QBD720952 QKZ720952 QUV720952 RER720952 RON720952 RYJ720952 SIF720952 SSB720952 TBX720952 TLT720952 TVP720952 UFL720952 UPH720952 UZD720952 VIZ720952 VSV720952 WCR720952 WMN720952 WWJ720952 AB786488 JX786488 TT786488 ADP786488 ANL786488 AXH786488 BHD786488 BQZ786488 CAV786488 CKR786488 CUN786488 DEJ786488 DOF786488 DYB786488 EHX786488 ERT786488 FBP786488 FLL786488 FVH786488 GFD786488 GOZ786488 GYV786488 HIR786488 HSN786488 ICJ786488 IMF786488 IWB786488 JFX786488 JPT786488 JZP786488 KJL786488 KTH786488 LDD786488 LMZ786488 LWV786488 MGR786488 MQN786488 NAJ786488 NKF786488 NUB786488 ODX786488 ONT786488 OXP786488 PHL786488 PRH786488 QBD786488 QKZ786488 QUV786488 RER786488 RON786488 RYJ786488 SIF786488 SSB786488 TBX786488 TLT786488 TVP786488 UFL786488 UPH786488 UZD786488 VIZ786488 VSV786488 WCR786488 WMN786488 WWJ786488 AB852024 JX852024 TT852024 ADP852024 ANL852024 AXH852024 BHD852024 BQZ852024 CAV852024 CKR852024 CUN852024 DEJ852024 DOF852024 DYB852024 EHX852024 ERT852024 FBP852024 FLL852024 FVH852024 GFD852024 GOZ852024 GYV852024 HIR852024 HSN852024 ICJ852024 IMF852024 IWB852024 JFX852024 JPT852024 JZP852024 KJL852024 KTH852024 LDD852024 LMZ852024 LWV852024 MGR852024 MQN852024 NAJ852024 NKF852024 NUB852024 ODX852024 ONT852024 OXP852024 PHL852024 PRH852024 QBD852024 QKZ852024 QUV852024 RER852024 RON852024 RYJ852024 SIF852024 SSB852024 TBX852024 TLT852024 TVP852024 UFL852024 UPH852024 UZD852024 VIZ852024 VSV852024 WCR852024 WMN852024 WWJ852024 AB917560 JX917560 TT917560 ADP917560 ANL917560 AXH917560 BHD917560 BQZ917560 CAV917560 CKR917560 CUN917560 DEJ917560 DOF917560 DYB917560 EHX917560 ERT917560 FBP917560 FLL917560 FVH917560 GFD917560 GOZ917560 GYV917560 HIR917560 HSN917560 ICJ917560 IMF917560 IWB917560 JFX917560 JPT917560 JZP917560 KJL917560 KTH917560 LDD917560 LMZ917560 LWV917560 MGR917560 MQN917560 NAJ917560 NKF917560 NUB917560 ODX917560 ONT917560 OXP917560 PHL917560 PRH917560 QBD917560 QKZ917560 QUV917560 RER917560 RON917560 RYJ917560 SIF917560 SSB917560 TBX917560 TLT917560 TVP917560 UFL917560 UPH917560 UZD917560 VIZ917560 VSV917560 WCR917560 WMN917560 WWJ917560 AB983096 JX983096 TT983096 ADP983096 ANL983096 AXH983096 BHD983096 BQZ983096 CAV983096 CKR983096 CUN983096 DEJ983096 DOF983096 DYB983096 EHX983096 ERT983096 FBP983096 FLL983096 FVH983096 GFD983096 GOZ983096 GYV983096 HIR983096 HSN983096 ICJ983096 IMF983096 IWB983096 JFX983096 JPT983096 JZP983096 KJL983096 KTH983096 LDD983096 LMZ983096 LWV983096 MGR983096 MQN983096 NAJ983096 NKF983096 NUB983096 ODX983096 ONT983096 OXP983096 PHL983096 PRH983096 QBD983096 QKZ983096 QUV983096 RER983096 RON983096 RYJ983096 SIF983096 SSB983096 TBX983096 TLT983096 TVP983096 UFL983096 UPH983096 UZD983096 VIZ983096 VSV983096 WCR983096 WMN983096 WWJ983096 AD56 JZ56 TV56 ADR56 ANN56 AXJ56 BHF56 BRB56 CAX56 CKT56 CUP56 DEL56 DOH56 DYD56 EHZ56 ERV56 FBR56 FLN56 FVJ56 GFF56 GPB56 GYX56 HIT56 HSP56 ICL56 IMH56 IWD56 JFZ56 JPV56 JZR56 KJN56 KTJ56 LDF56 LNB56 LWX56 MGT56 MQP56 NAL56 NKH56 NUD56 ODZ56 ONV56 OXR56 PHN56 PRJ56 QBF56 QLB56 QUX56 RET56 ROP56 RYL56 SIH56 SSD56 TBZ56 TLV56 TVR56 UFN56 UPJ56 UZF56 VJB56 VSX56 WCT56 WMP56 WWL56 AD65592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AD131128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AD196664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AD262200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AD327736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AD393272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AD458808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AD524344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AD589880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AD655416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AD720952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AD786488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AD852024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AD917560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AD983096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G9:G15 JC9:JC15 SY9:SY15 ACU9:ACU15 AMQ9:AMQ15 AWM9:AWM15 BGI9:BGI15 BQE9:BQE15 CAA9:CAA15 CJW9:CJW15 CTS9:CTS15 DDO9:DDO15 DNK9:DNK15 DXG9:DXG15 EHC9:EHC15 EQY9:EQY15 FAU9:FAU15 FKQ9:FKQ15 FUM9:FUM15 GEI9:GEI15 GOE9:GOE15 GYA9:GYA15 HHW9:HHW15 HRS9:HRS15 IBO9:IBO15 ILK9:ILK15 IVG9:IVG15 JFC9:JFC15 JOY9:JOY15 JYU9:JYU15 KIQ9:KIQ15 KSM9:KSM15 LCI9:LCI15 LME9:LME15 LWA9:LWA15 MFW9:MFW15 MPS9:MPS15 MZO9:MZO15 NJK9:NJK15 NTG9:NTG15 ODC9:ODC15 OMY9:OMY15 OWU9:OWU15 PGQ9:PGQ15 PQM9:PQM15 QAI9:QAI15 QKE9:QKE15 QUA9:QUA15 RDW9:RDW15 RNS9:RNS15 RXO9:RXO15 SHK9:SHK15 SRG9:SRG15 TBC9:TBC15 TKY9:TKY15 TUU9:TUU15 UEQ9:UEQ15 UOM9:UOM15 UYI9:UYI15 VIE9:VIE15 VSA9:VSA15 WBW9:WBW15 WLS9:WLS15 WVO9:WVO15 G65545:G65551 JC65545:JC65551 SY65545:SY65551 ACU65545:ACU65551 AMQ65545:AMQ65551 AWM65545:AWM65551 BGI65545:BGI65551 BQE65545:BQE65551 CAA65545:CAA65551 CJW65545:CJW65551 CTS65545:CTS65551 DDO65545:DDO65551 DNK65545:DNK65551 DXG65545:DXG65551 EHC65545:EHC65551 EQY65545:EQY65551 FAU65545:FAU65551 FKQ65545:FKQ65551 FUM65545:FUM65551 GEI65545:GEI65551 GOE65545:GOE65551 GYA65545:GYA65551 HHW65545:HHW65551 HRS65545:HRS65551 IBO65545:IBO65551 ILK65545:ILK65551 IVG65545:IVG65551 JFC65545:JFC65551 JOY65545:JOY65551 JYU65545:JYU65551 KIQ65545:KIQ65551 KSM65545:KSM65551 LCI65545:LCI65551 LME65545:LME65551 LWA65545:LWA65551 MFW65545:MFW65551 MPS65545:MPS65551 MZO65545:MZO65551 NJK65545:NJK65551 NTG65545:NTG65551 ODC65545:ODC65551 OMY65545:OMY65551 OWU65545:OWU65551 PGQ65545:PGQ65551 PQM65545:PQM65551 QAI65545:QAI65551 QKE65545:QKE65551 QUA65545:QUA65551 RDW65545:RDW65551 RNS65545:RNS65551 RXO65545:RXO65551 SHK65545:SHK65551 SRG65545:SRG65551 TBC65545:TBC65551 TKY65545:TKY65551 TUU65545:TUU65551 UEQ65545:UEQ65551 UOM65545:UOM65551 UYI65545:UYI65551 VIE65545:VIE65551 VSA65545:VSA65551 WBW65545:WBW65551 WLS65545:WLS65551 WVO65545:WVO65551 G131081:G131087 JC131081:JC131087 SY131081:SY131087 ACU131081:ACU131087 AMQ131081:AMQ131087 AWM131081:AWM131087 BGI131081:BGI131087 BQE131081:BQE131087 CAA131081:CAA131087 CJW131081:CJW131087 CTS131081:CTS131087 DDO131081:DDO131087 DNK131081:DNK131087 DXG131081:DXG131087 EHC131081:EHC131087 EQY131081:EQY131087 FAU131081:FAU131087 FKQ131081:FKQ131087 FUM131081:FUM131087 GEI131081:GEI131087 GOE131081:GOE131087 GYA131081:GYA131087 HHW131081:HHW131087 HRS131081:HRS131087 IBO131081:IBO131087 ILK131081:ILK131087 IVG131081:IVG131087 JFC131081:JFC131087 JOY131081:JOY131087 JYU131081:JYU131087 KIQ131081:KIQ131087 KSM131081:KSM131087 LCI131081:LCI131087 LME131081:LME131087 LWA131081:LWA131087 MFW131081:MFW131087 MPS131081:MPS131087 MZO131081:MZO131087 NJK131081:NJK131087 NTG131081:NTG131087 ODC131081:ODC131087 OMY131081:OMY131087 OWU131081:OWU131087 PGQ131081:PGQ131087 PQM131081:PQM131087 QAI131081:QAI131087 QKE131081:QKE131087 QUA131081:QUA131087 RDW131081:RDW131087 RNS131081:RNS131087 RXO131081:RXO131087 SHK131081:SHK131087 SRG131081:SRG131087 TBC131081:TBC131087 TKY131081:TKY131087 TUU131081:TUU131087 UEQ131081:UEQ131087 UOM131081:UOM131087 UYI131081:UYI131087 VIE131081:VIE131087 VSA131081:VSA131087 WBW131081:WBW131087 WLS131081:WLS131087 WVO131081:WVO131087 G196617:G196623 JC196617:JC196623 SY196617:SY196623 ACU196617:ACU196623 AMQ196617:AMQ196623 AWM196617:AWM196623 BGI196617:BGI196623 BQE196617:BQE196623 CAA196617:CAA196623 CJW196617:CJW196623 CTS196617:CTS196623 DDO196617:DDO196623 DNK196617:DNK196623 DXG196617:DXG196623 EHC196617:EHC196623 EQY196617:EQY196623 FAU196617:FAU196623 FKQ196617:FKQ196623 FUM196617:FUM196623 GEI196617:GEI196623 GOE196617:GOE196623 GYA196617:GYA196623 HHW196617:HHW196623 HRS196617:HRS196623 IBO196617:IBO196623 ILK196617:ILK196623 IVG196617:IVG196623 JFC196617:JFC196623 JOY196617:JOY196623 JYU196617:JYU196623 KIQ196617:KIQ196623 KSM196617:KSM196623 LCI196617:LCI196623 LME196617:LME196623 LWA196617:LWA196623 MFW196617:MFW196623 MPS196617:MPS196623 MZO196617:MZO196623 NJK196617:NJK196623 NTG196617:NTG196623 ODC196617:ODC196623 OMY196617:OMY196623 OWU196617:OWU196623 PGQ196617:PGQ196623 PQM196617:PQM196623 QAI196617:QAI196623 QKE196617:QKE196623 QUA196617:QUA196623 RDW196617:RDW196623 RNS196617:RNS196623 RXO196617:RXO196623 SHK196617:SHK196623 SRG196617:SRG196623 TBC196617:TBC196623 TKY196617:TKY196623 TUU196617:TUU196623 UEQ196617:UEQ196623 UOM196617:UOM196623 UYI196617:UYI196623 VIE196617:VIE196623 VSA196617:VSA196623 WBW196617:WBW196623 WLS196617:WLS196623 WVO196617:WVO196623 G262153:G262159 JC262153:JC262159 SY262153:SY262159 ACU262153:ACU262159 AMQ262153:AMQ262159 AWM262153:AWM262159 BGI262153:BGI262159 BQE262153:BQE262159 CAA262153:CAA262159 CJW262153:CJW262159 CTS262153:CTS262159 DDO262153:DDO262159 DNK262153:DNK262159 DXG262153:DXG262159 EHC262153:EHC262159 EQY262153:EQY262159 FAU262153:FAU262159 FKQ262153:FKQ262159 FUM262153:FUM262159 GEI262153:GEI262159 GOE262153:GOE262159 GYA262153:GYA262159 HHW262153:HHW262159 HRS262153:HRS262159 IBO262153:IBO262159 ILK262153:ILK262159 IVG262153:IVG262159 JFC262153:JFC262159 JOY262153:JOY262159 JYU262153:JYU262159 KIQ262153:KIQ262159 KSM262153:KSM262159 LCI262153:LCI262159 LME262153:LME262159 LWA262153:LWA262159 MFW262153:MFW262159 MPS262153:MPS262159 MZO262153:MZO262159 NJK262153:NJK262159 NTG262153:NTG262159 ODC262153:ODC262159 OMY262153:OMY262159 OWU262153:OWU262159 PGQ262153:PGQ262159 PQM262153:PQM262159 QAI262153:QAI262159 QKE262153:QKE262159 QUA262153:QUA262159 RDW262153:RDW262159 RNS262153:RNS262159 RXO262153:RXO262159 SHK262153:SHK262159 SRG262153:SRG262159 TBC262153:TBC262159 TKY262153:TKY262159 TUU262153:TUU262159 UEQ262153:UEQ262159 UOM262153:UOM262159 UYI262153:UYI262159 VIE262153:VIE262159 VSA262153:VSA262159 WBW262153:WBW262159 WLS262153:WLS262159 WVO262153:WVO262159 G327689:G327695 JC327689:JC327695 SY327689:SY327695 ACU327689:ACU327695 AMQ327689:AMQ327695 AWM327689:AWM327695 BGI327689:BGI327695 BQE327689:BQE327695 CAA327689:CAA327695 CJW327689:CJW327695 CTS327689:CTS327695 DDO327689:DDO327695 DNK327689:DNK327695 DXG327689:DXG327695 EHC327689:EHC327695 EQY327689:EQY327695 FAU327689:FAU327695 FKQ327689:FKQ327695 FUM327689:FUM327695 GEI327689:GEI327695 GOE327689:GOE327695 GYA327689:GYA327695 HHW327689:HHW327695 HRS327689:HRS327695 IBO327689:IBO327695 ILK327689:ILK327695 IVG327689:IVG327695 JFC327689:JFC327695 JOY327689:JOY327695 JYU327689:JYU327695 KIQ327689:KIQ327695 KSM327689:KSM327695 LCI327689:LCI327695 LME327689:LME327695 LWA327689:LWA327695 MFW327689:MFW327695 MPS327689:MPS327695 MZO327689:MZO327695 NJK327689:NJK327695 NTG327689:NTG327695 ODC327689:ODC327695 OMY327689:OMY327695 OWU327689:OWU327695 PGQ327689:PGQ327695 PQM327689:PQM327695 QAI327689:QAI327695 QKE327689:QKE327695 QUA327689:QUA327695 RDW327689:RDW327695 RNS327689:RNS327695 RXO327689:RXO327695 SHK327689:SHK327695 SRG327689:SRG327695 TBC327689:TBC327695 TKY327689:TKY327695 TUU327689:TUU327695 UEQ327689:UEQ327695 UOM327689:UOM327695 UYI327689:UYI327695 VIE327689:VIE327695 VSA327689:VSA327695 WBW327689:WBW327695 WLS327689:WLS327695 WVO327689:WVO327695 G393225:G393231 JC393225:JC393231 SY393225:SY393231 ACU393225:ACU393231 AMQ393225:AMQ393231 AWM393225:AWM393231 BGI393225:BGI393231 BQE393225:BQE393231 CAA393225:CAA393231 CJW393225:CJW393231 CTS393225:CTS393231 DDO393225:DDO393231 DNK393225:DNK393231 DXG393225:DXG393231 EHC393225:EHC393231 EQY393225:EQY393231 FAU393225:FAU393231 FKQ393225:FKQ393231 FUM393225:FUM393231 GEI393225:GEI393231 GOE393225:GOE393231 GYA393225:GYA393231 HHW393225:HHW393231 HRS393225:HRS393231 IBO393225:IBO393231 ILK393225:ILK393231 IVG393225:IVG393231 JFC393225:JFC393231 JOY393225:JOY393231 JYU393225:JYU393231 KIQ393225:KIQ393231 KSM393225:KSM393231 LCI393225:LCI393231 LME393225:LME393231 LWA393225:LWA393231 MFW393225:MFW393231 MPS393225:MPS393231 MZO393225:MZO393231 NJK393225:NJK393231 NTG393225:NTG393231 ODC393225:ODC393231 OMY393225:OMY393231 OWU393225:OWU393231 PGQ393225:PGQ393231 PQM393225:PQM393231 QAI393225:QAI393231 QKE393225:QKE393231 QUA393225:QUA393231 RDW393225:RDW393231 RNS393225:RNS393231 RXO393225:RXO393231 SHK393225:SHK393231 SRG393225:SRG393231 TBC393225:TBC393231 TKY393225:TKY393231 TUU393225:TUU393231 UEQ393225:UEQ393231 UOM393225:UOM393231 UYI393225:UYI393231 VIE393225:VIE393231 VSA393225:VSA393231 WBW393225:WBW393231 WLS393225:WLS393231 WVO393225:WVO393231 G458761:G458767 JC458761:JC458767 SY458761:SY458767 ACU458761:ACU458767 AMQ458761:AMQ458767 AWM458761:AWM458767 BGI458761:BGI458767 BQE458761:BQE458767 CAA458761:CAA458767 CJW458761:CJW458767 CTS458761:CTS458767 DDO458761:DDO458767 DNK458761:DNK458767 DXG458761:DXG458767 EHC458761:EHC458767 EQY458761:EQY458767 FAU458761:FAU458767 FKQ458761:FKQ458767 FUM458761:FUM458767 GEI458761:GEI458767 GOE458761:GOE458767 GYA458761:GYA458767 HHW458761:HHW458767 HRS458761:HRS458767 IBO458761:IBO458767 ILK458761:ILK458767 IVG458761:IVG458767 JFC458761:JFC458767 JOY458761:JOY458767 JYU458761:JYU458767 KIQ458761:KIQ458767 KSM458761:KSM458767 LCI458761:LCI458767 LME458761:LME458767 LWA458761:LWA458767 MFW458761:MFW458767 MPS458761:MPS458767 MZO458761:MZO458767 NJK458761:NJK458767 NTG458761:NTG458767 ODC458761:ODC458767 OMY458761:OMY458767 OWU458761:OWU458767 PGQ458761:PGQ458767 PQM458761:PQM458767 QAI458761:QAI458767 QKE458761:QKE458767 QUA458761:QUA458767 RDW458761:RDW458767 RNS458761:RNS458767 RXO458761:RXO458767 SHK458761:SHK458767 SRG458761:SRG458767 TBC458761:TBC458767 TKY458761:TKY458767 TUU458761:TUU458767 UEQ458761:UEQ458767 UOM458761:UOM458767 UYI458761:UYI458767 VIE458761:VIE458767 VSA458761:VSA458767 WBW458761:WBW458767 WLS458761:WLS458767 WVO458761:WVO458767 G524297:G524303 JC524297:JC524303 SY524297:SY524303 ACU524297:ACU524303 AMQ524297:AMQ524303 AWM524297:AWM524303 BGI524297:BGI524303 BQE524297:BQE524303 CAA524297:CAA524303 CJW524297:CJW524303 CTS524297:CTS524303 DDO524297:DDO524303 DNK524297:DNK524303 DXG524297:DXG524303 EHC524297:EHC524303 EQY524297:EQY524303 FAU524297:FAU524303 FKQ524297:FKQ524303 FUM524297:FUM524303 GEI524297:GEI524303 GOE524297:GOE524303 GYA524297:GYA524303 HHW524297:HHW524303 HRS524297:HRS524303 IBO524297:IBO524303 ILK524297:ILK524303 IVG524297:IVG524303 JFC524297:JFC524303 JOY524297:JOY524303 JYU524297:JYU524303 KIQ524297:KIQ524303 KSM524297:KSM524303 LCI524297:LCI524303 LME524297:LME524303 LWA524297:LWA524303 MFW524297:MFW524303 MPS524297:MPS524303 MZO524297:MZO524303 NJK524297:NJK524303 NTG524297:NTG524303 ODC524297:ODC524303 OMY524297:OMY524303 OWU524297:OWU524303 PGQ524297:PGQ524303 PQM524297:PQM524303 QAI524297:QAI524303 QKE524297:QKE524303 QUA524297:QUA524303 RDW524297:RDW524303 RNS524297:RNS524303 RXO524297:RXO524303 SHK524297:SHK524303 SRG524297:SRG524303 TBC524297:TBC524303 TKY524297:TKY524303 TUU524297:TUU524303 UEQ524297:UEQ524303 UOM524297:UOM524303 UYI524297:UYI524303 VIE524297:VIE524303 VSA524297:VSA524303 WBW524297:WBW524303 WLS524297:WLS524303 WVO524297:WVO524303 G589833:G589839 JC589833:JC589839 SY589833:SY589839 ACU589833:ACU589839 AMQ589833:AMQ589839 AWM589833:AWM589839 BGI589833:BGI589839 BQE589833:BQE589839 CAA589833:CAA589839 CJW589833:CJW589839 CTS589833:CTS589839 DDO589833:DDO589839 DNK589833:DNK589839 DXG589833:DXG589839 EHC589833:EHC589839 EQY589833:EQY589839 FAU589833:FAU589839 FKQ589833:FKQ589839 FUM589833:FUM589839 GEI589833:GEI589839 GOE589833:GOE589839 GYA589833:GYA589839 HHW589833:HHW589839 HRS589833:HRS589839 IBO589833:IBO589839 ILK589833:ILK589839 IVG589833:IVG589839 JFC589833:JFC589839 JOY589833:JOY589839 JYU589833:JYU589839 KIQ589833:KIQ589839 KSM589833:KSM589839 LCI589833:LCI589839 LME589833:LME589839 LWA589833:LWA589839 MFW589833:MFW589839 MPS589833:MPS589839 MZO589833:MZO589839 NJK589833:NJK589839 NTG589833:NTG589839 ODC589833:ODC589839 OMY589833:OMY589839 OWU589833:OWU589839 PGQ589833:PGQ589839 PQM589833:PQM589839 QAI589833:QAI589839 QKE589833:QKE589839 QUA589833:QUA589839 RDW589833:RDW589839 RNS589833:RNS589839 RXO589833:RXO589839 SHK589833:SHK589839 SRG589833:SRG589839 TBC589833:TBC589839 TKY589833:TKY589839 TUU589833:TUU589839 UEQ589833:UEQ589839 UOM589833:UOM589839 UYI589833:UYI589839 VIE589833:VIE589839 VSA589833:VSA589839 WBW589833:WBW589839 WLS589833:WLS589839 WVO589833:WVO589839 G655369:G655375 JC655369:JC655375 SY655369:SY655375 ACU655369:ACU655375 AMQ655369:AMQ655375 AWM655369:AWM655375 BGI655369:BGI655375 BQE655369:BQE655375 CAA655369:CAA655375 CJW655369:CJW655375 CTS655369:CTS655375 DDO655369:DDO655375 DNK655369:DNK655375 DXG655369:DXG655375 EHC655369:EHC655375 EQY655369:EQY655375 FAU655369:FAU655375 FKQ655369:FKQ655375 FUM655369:FUM655375 GEI655369:GEI655375 GOE655369:GOE655375 GYA655369:GYA655375 HHW655369:HHW655375 HRS655369:HRS655375 IBO655369:IBO655375 ILK655369:ILK655375 IVG655369:IVG655375 JFC655369:JFC655375 JOY655369:JOY655375 JYU655369:JYU655375 KIQ655369:KIQ655375 KSM655369:KSM655375 LCI655369:LCI655375 LME655369:LME655375 LWA655369:LWA655375 MFW655369:MFW655375 MPS655369:MPS655375 MZO655369:MZO655375 NJK655369:NJK655375 NTG655369:NTG655375 ODC655369:ODC655375 OMY655369:OMY655375 OWU655369:OWU655375 PGQ655369:PGQ655375 PQM655369:PQM655375 QAI655369:QAI655375 QKE655369:QKE655375 QUA655369:QUA655375 RDW655369:RDW655375 RNS655369:RNS655375 RXO655369:RXO655375 SHK655369:SHK655375 SRG655369:SRG655375 TBC655369:TBC655375 TKY655369:TKY655375 TUU655369:TUU655375 UEQ655369:UEQ655375 UOM655369:UOM655375 UYI655369:UYI655375 VIE655369:VIE655375 VSA655369:VSA655375 WBW655369:WBW655375 WLS655369:WLS655375 WVO655369:WVO655375 G720905:G720911 JC720905:JC720911 SY720905:SY720911 ACU720905:ACU720911 AMQ720905:AMQ720911 AWM720905:AWM720911 BGI720905:BGI720911 BQE720905:BQE720911 CAA720905:CAA720911 CJW720905:CJW720911 CTS720905:CTS720911 DDO720905:DDO720911 DNK720905:DNK720911 DXG720905:DXG720911 EHC720905:EHC720911 EQY720905:EQY720911 FAU720905:FAU720911 FKQ720905:FKQ720911 FUM720905:FUM720911 GEI720905:GEI720911 GOE720905:GOE720911 GYA720905:GYA720911 HHW720905:HHW720911 HRS720905:HRS720911 IBO720905:IBO720911 ILK720905:ILK720911 IVG720905:IVG720911 JFC720905:JFC720911 JOY720905:JOY720911 JYU720905:JYU720911 KIQ720905:KIQ720911 KSM720905:KSM720911 LCI720905:LCI720911 LME720905:LME720911 LWA720905:LWA720911 MFW720905:MFW720911 MPS720905:MPS720911 MZO720905:MZO720911 NJK720905:NJK720911 NTG720905:NTG720911 ODC720905:ODC720911 OMY720905:OMY720911 OWU720905:OWU720911 PGQ720905:PGQ720911 PQM720905:PQM720911 QAI720905:QAI720911 QKE720905:QKE720911 QUA720905:QUA720911 RDW720905:RDW720911 RNS720905:RNS720911 RXO720905:RXO720911 SHK720905:SHK720911 SRG720905:SRG720911 TBC720905:TBC720911 TKY720905:TKY720911 TUU720905:TUU720911 UEQ720905:UEQ720911 UOM720905:UOM720911 UYI720905:UYI720911 VIE720905:VIE720911 VSA720905:VSA720911 WBW720905:WBW720911 WLS720905:WLS720911 WVO720905:WVO720911 G786441:G786447 JC786441:JC786447 SY786441:SY786447 ACU786441:ACU786447 AMQ786441:AMQ786447 AWM786441:AWM786447 BGI786441:BGI786447 BQE786441:BQE786447 CAA786441:CAA786447 CJW786441:CJW786447 CTS786441:CTS786447 DDO786441:DDO786447 DNK786441:DNK786447 DXG786441:DXG786447 EHC786441:EHC786447 EQY786441:EQY786447 FAU786441:FAU786447 FKQ786441:FKQ786447 FUM786441:FUM786447 GEI786441:GEI786447 GOE786441:GOE786447 GYA786441:GYA786447 HHW786441:HHW786447 HRS786441:HRS786447 IBO786441:IBO786447 ILK786441:ILK786447 IVG786441:IVG786447 JFC786441:JFC786447 JOY786441:JOY786447 JYU786441:JYU786447 KIQ786441:KIQ786447 KSM786441:KSM786447 LCI786441:LCI786447 LME786441:LME786447 LWA786441:LWA786447 MFW786441:MFW786447 MPS786441:MPS786447 MZO786441:MZO786447 NJK786441:NJK786447 NTG786441:NTG786447 ODC786441:ODC786447 OMY786441:OMY786447 OWU786441:OWU786447 PGQ786441:PGQ786447 PQM786441:PQM786447 QAI786441:QAI786447 QKE786441:QKE786447 QUA786441:QUA786447 RDW786441:RDW786447 RNS786441:RNS786447 RXO786441:RXO786447 SHK786441:SHK786447 SRG786441:SRG786447 TBC786441:TBC786447 TKY786441:TKY786447 TUU786441:TUU786447 UEQ786441:UEQ786447 UOM786441:UOM786447 UYI786441:UYI786447 VIE786441:VIE786447 VSA786441:VSA786447 WBW786441:WBW786447 WLS786441:WLS786447 WVO786441:WVO786447 G851977:G851983 JC851977:JC851983 SY851977:SY851983 ACU851977:ACU851983 AMQ851977:AMQ851983 AWM851977:AWM851983 BGI851977:BGI851983 BQE851977:BQE851983 CAA851977:CAA851983 CJW851977:CJW851983 CTS851977:CTS851983 DDO851977:DDO851983 DNK851977:DNK851983 DXG851977:DXG851983 EHC851977:EHC851983 EQY851977:EQY851983 FAU851977:FAU851983 FKQ851977:FKQ851983 FUM851977:FUM851983 GEI851977:GEI851983 GOE851977:GOE851983 GYA851977:GYA851983 HHW851977:HHW851983 HRS851977:HRS851983 IBO851977:IBO851983 ILK851977:ILK851983 IVG851977:IVG851983 JFC851977:JFC851983 JOY851977:JOY851983 JYU851977:JYU851983 KIQ851977:KIQ851983 KSM851977:KSM851983 LCI851977:LCI851983 LME851977:LME851983 LWA851977:LWA851983 MFW851977:MFW851983 MPS851977:MPS851983 MZO851977:MZO851983 NJK851977:NJK851983 NTG851977:NTG851983 ODC851977:ODC851983 OMY851977:OMY851983 OWU851977:OWU851983 PGQ851977:PGQ851983 PQM851977:PQM851983 QAI851977:QAI851983 QKE851977:QKE851983 QUA851977:QUA851983 RDW851977:RDW851983 RNS851977:RNS851983 RXO851977:RXO851983 SHK851977:SHK851983 SRG851977:SRG851983 TBC851977:TBC851983 TKY851977:TKY851983 TUU851977:TUU851983 UEQ851977:UEQ851983 UOM851977:UOM851983 UYI851977:UYI851983 VIE851977:VIE851983 VSA851977:VSA851983 WBW851977:WBW851983 WLS851977:WLS851983 WVO851977:WVO851983 G917513:G917519 JC917513:JC917519 SY917513:SY917519 ACU917513:ACU917519 AMQ917513:AMQ917519 AWM917513:AWM917519 BGI917513:BGI917519 BQE917513:BQE917519 CAA917513:CAA917519 CJW917513:CJW917519 CTS917513:CTS917519 DDO917513:DDO917519 DNK917513:DNK917519 DXG917513:DXG917519 EHC917513:EHC917519 EQY917513:EQY917519 FAU917513:FAU917519 FKQ917513:FKQ917519 FUM917513:FUM917519 GEI917513:GEI917519 GOE917513:GOE917519 GYA917513:GYA917519 HHW917513:HHW917519 HRS917513:HRS917519 IBO917513:IBO917519 ILK917513:ILK917519 IVG917513:IVG917519 JFC917513:JFC917519 JOY917513:JOY917519 JYU917513:JYU917519 KIQ917513:KIQ917519 KSM917513:KSM917519 LCI917513:LCI917519 LME917513:LME917519 LWA917513:LWA917519 MFW917513:MFW917519 MPS917513:MPS917519 MZO917513:MZO917519 NJK917513:NJK917519 NTG917513:NTG917519 ODC917513:ODC917519 OMY917513:OMY917519 OWU917513:OWU917519 PGQ917513:PGQ917519 PQM917513:PQM917519 QAI917513:QAI917519 QKE917513:QKE917519 QUA917513:QUA917519 RDW917513:RDW917519 RNS917513:RNS917519 RXO917513:RXO917519 SHK917513:SHK917519 SRG917513:SRG917519 TBC917513:TBC917519 TKY917513:TKY917519 TUU917513:TUU917519 UEQ917513:UEQ917519 UOM917513:UOM917519 UYI917513:UYI917519 VIE917513:VIE917519 VSA917513:VSA917519 WBW917513:WBW917519 WLS917513:WLS917519 WVO917513:WVO917519 G983049:G983055 JC983049:JC983055 SY983049:SY983055 ACU983049:ACU983055 AMQ983049:AMQ983055 AWM983049:AWM983055 BGI983049:BGI983055 BQE983049:BQE983055 CAA983049:CAA983055 CJW983049:CJW983055 CTS983049:CTS983055 DDO983049:DDO983055 DNK983049:DNK983055 DXG983049:DXG983055 EHC983049:EHC983055 EQY983049:EQY983055 FAU983049:FAU983055 FKQ983049:FKQ983055 FUM983049:FUM983055 GEI983049:GEI983055 GOE983049:GOE983055 GYA983049:GYA983055 HHW983049:HHW983055 HRS983049:HRS983055 IBO983049:IBO983055 ILK983049:ILK983055 IVG983049:IVG983055 JFC983049:JFC983055 JOY983049:JOY983055 JYU983049:JYU983055 KIQ983049:KIQ983055 KSM983049:KSM983055 LCI983049:LCI983055 LME983049:LME983055 LWA983049:LWA983055 MFW983049:MFW983055 MPS983049:MPS983055 MZO983049:MZO983055 NJK983049:NJK983055 NTG983049:NTG983055 ODC983049:ODC983055 OMY983049:OMY983055 OWU983049:OWU983055 PGQ983049:PGQ983055 PQM983049:PQM983055 QAI983049:QAI983055 QKE983049:QKE983055 QUA983049:QUA983055 RDW983049:RDW983055 RNS983049:RNS983055 RXO983049:RXO983055 SHK983049:SHK983055 SRG983049:SRG983055 TBC983049:TBC983055 TKY983049:TKY983055 TUU983049:TUU983055 UEQ983049:UEQ983055 UOM983049:UOM983055 UYI983049:UYI983055 VIE983049:VIE983055 VSA983049:VSA983055 WBW983049:WBW983055 WLS983049:WLS983055 WVO983049:WVO983055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3F1D7-97B4-4E59-B39B-B6867C048F53}">
  <sheetPr>
    <tabColor rgb="FFFFFF00"/>
    <pageSetUpPr fitToPage="1"/>
  </sheetPr>
  <dimension ref="A1:AG123"/>
  <sheetViews>
    <sheetView view="pageBreakPreview" zoomScaleNormal="100" zoomScaleSheetLayoutView="100" workbookViewId="0"/>
  </sheetViews>
  <sheetFormatPr defaultColWidth="3.44140625" defaultRowHeight="13.2"/>
  <cols>
    <col min="1" max="1" width="1.21875" style="3" customWidth="1"/>
    <col min="2" max="2" width="3" style="61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256" width="3.44140625" style="3"/>
    <col min="257" max="257" width="1.21875" style="3" customWidth="1"/>
    <col min="258" max="258" width="3" style="3" customWidth="1"/>
    <col min="259" max="262" width="3.44140625" style="3"/>
    <col min="263" max="263" width="1.44140625" style="3" customWidth="1"/>
    <col min="264" max="279" width="3.44140625" style="3"/>
    <col min="280" max="285" width="4.6640625" style="3" customWidth="1"/>
    <col min="286" max="286" width="3" style="3" customWidth="1"/>
    <col min="287" max="287" width="1.21875" style="3" customWidth="1"/>
    <col min="288" max="512" width="3.44140625" style="3"/>
    <col min="513" max="513" width="1.21875" style="3" customWidth="1"/>
    <col min="514" max="514" width="3" style="3" customWidth="1"/>
    <col min="515" max="518" width="3.44140625" style="3"/>
    <col min="519" max="519" width="1.44140625" style="3" customWidth="1"/>
    <col min="520" max="535" width="3.44140625" style="3"/>
    <col min="536" max="541" width="4.6640625" style="3" customWidth="1"/>
    <col min="542" max="542" width="3" style="3" customWidth="1"/>
    <col min="543" max="543" width="1.21875" style="3" customWidth="1"/>
    <col min="544" max="768" width="3.44140625" style="3"/>
    <col min="769" max="769" width="1.21875" style="3" customWidth="1"/>
    <col min="770" max="770" width="3" style="3" customWidth="1"/>
    <col min="771" max="774" width="3.44140625" style="3"/>
    <col min="775" max="775" width="1.44140625" style="3" customWidth="1"/>
    <col min="776" max="791" width="3.44140625" style="3"/>
    <col min="792" max="797" width="4.6640625" style="3" customWidth="1"/>
    <col min="798" max="798" width="3" style="3" customWidth="1"/>
    <col min="799" max="799" width="1.21875" style="3" customWidth="1"/>
    <col min="800" max="1024" width="3.44140625" style="3"/>
    <col min="1025" max="1025" width="1.21875" style="3" customWidth="1"/>
    <col min="1026" max="1026" width="3" style="3" customWidth="1"/>
    <col min="1027" max="1030" width="3.44140625" style="3"/>
    <col min="1031" max="1031" width="1.44140625" style="3" customWidth="1"/>
    <col min="1032" max="1047" width="3.44140625" style="3"/>
    <col min="1048" max="1053" width="4.6640625" style="3" customWidth="1"/>
    <col min="1054" max="1054" width="3" style="3" customWidth="1"/>
    <col min="1055" max="1055" width="1.21875" style="3" customWidth="1"/>
    <col min="1056" max="1280" width="3.44140625" style="3"/>
    <col min="1281" max="1281" width="1.21875" style="3" customWidth="1"/>
    <col min="1282" max="1282" width="3" style="3" customWidth="1"/>
    <col min="1283" max="1286" width="3.44140625" style="3"/>
    <col min="1287" max="1287" width="1.44140625" style="3" customWidth="1"/>
    <col min="1288" max="1303" width="3.44140625" style="3"/>
    <col min="1304" max="1309" width="4.6640625" style="3" customWidth="1"/>
    <col min="1310" max="1310" width="3" style="3" customWidth="1"/>
    <col min="1311" max="1311" width="1.21875" style="3" customWidth="1"/>
    <col min="1312" max="1536" width="3.44140625" style="3"/>
    <col min="1537" max="1537" width="1.21875" style="3" customWidth="1"/>
    <col min="1538" max="1538" width="3" style="3" customWidth="1"/>
    <col min="1539" max="1542" width="3.44140625" style="3"/>
    <col min="1543" max="1543" width="1.44140625" style="3" customWidth="1"/>
    <col min="1544" max="1559" width="3.44140625" style="3"/>
    <col min="1560" max="1565" width="4.6640625" style="3" customWidth="1"/>
    <col min="1566" max="1566" width="3" style="3" customWidth="1"/>
    <col min="1567" max="1567" width="1.21875" style="3" customWidth="1"/>
    <col min="1568" max="1792" width="3.44140625" style="3"/>
    <col min="1793" max="1793" width="1.21875" style="3" customWidth="1"/>
    <col min="1794" max="1794" width="3" style="3" customWidth="1"/>
    <col min="1795" max="1798" width="3.44140625" style="3"/>
    <col min="1799" max="1799" width="1.44140625" style="3" customWidth="1"/>
    <col min="1800" max="1815" width="3.44140625" style="3"/>
    <col min="1816" max="1821" width="4.6640625" style="3" customWidth="1"/>
    <col min="1822" max="1822" width="3" style="3" customWidth="1"/>
    <col min="1823" max="1823" width="1.21875" style="3" customWidth="1"/>
    <col min="1824" max="2048" width="3.44140625" style="3"/>
    <col min="2049" max="2049" width="1.21875" style="3" customWidth="1"/>
    <col min="2050" max="2050" width="3" style="3" customWidth="1"/>
    <col min="2051" max="2054" width="3.44140625" style="3"/>
    <col min="2055" max="2055" width="1.44140625" style="3" customWidth="1"/>
    <col min="2056" max="2071" width="3.44140625" style="3"/>
    <col min="2072" max="2077" width="4.6640625" style="3" customWidth="1"/>
    <col min="2078" max="2078" width="3" style="3" customWidth="1"/>
    <col min="2079" max="2079" width="1.21875" style="3" customWidth="1"/>
    <col min="2080" max="2304" width="3.44140625" style="3"/>
    <col min="2305" max="2305" width="1.21875" style="3" customWidth="1"/>
    <col min="2306" max="2306" width="3" style="3" customWidth="1"/>
    <col min="2307" max="2310" width="3.44140625" style="3"/>
    <col min="2311" max="2311" width="1.44140625" style="3" customWidth="1"/>
    <col min="2312" max="2327" width="3.44140625" style="3"/>
    <col min="2328" max="2333" width="4.6640625" style="3" customWidth="1"/>
    <col min="2334" max="2334" width="3" style="3" customWidth="1"/>
    <col min="2335" max="2335" width="1.21875" style="3" customWidth="1"/>
    <col min="2336" max="2560" width="3.44140625" style="3"/>
    <col min="2561" max="2561" width="1.21875" style="3" customWidth="1"/>
    <col min="2562" max="2562" width="3" style="3" customWidth="1"/>
    <col min="2563" max="2566" width="3.44140625" style="3"/>
    <col min="2567" max="2567" width="1.44140625" style="3" customWidth="1"/>
    <col min="2568" max="2583" width="3.44140625" style="3"/>
    <col min="2584" max="2589" width="4.6640625" style="3" customWidth="1"/>
    <col min="2590" max="2590" width="3" style="3" customWidth="1"/>
    <col min="2591" max="2591" width="1.21875" style="3" customWidth="1"/>
    <col min="2592" max="2816" width="3.44140625" style="3"/>
    <col min="2817" max="2817" width="1.21875" style="3" customWidth="1"/>
    <col min="2818" max="2818" width="3" style="3" customWidth="1"/>
    <col min="2819" max="2822" width="3.44140625" style="3"/>
    <col min="2823" max="2823" width="1.44140625" style="3" customWidth="1"/>
    <col min="2824" max="2839" width="3.44140625" style="3"/>
    <col min="2840" max="2845" width="4.6640625" style="3" customWidth="1"/>
    <col min="2846" max="2846" width="3" style="3" customWidth="1"/>
    <col min="2847" max="2847" width="1.21875" style="3" customWidth="1"/>
    <col min="2848" max="3072" width="3.44140625" style="3"/>
    <col min="3073" max="3073" width="1.21875" style="3" customWidth="1"/>
    <col min="3074" max="3074" width="3" style="3" customWidth="1"/>
    <col min="3075" max="3078" width="3.44140625" style="3"/>
    <col min="3079" max="3079" width="1.44140625" style="3" customWidth="1"/>
    <col min="3080" max="3095" width="3.44140625" style="3"/>
    <col min="3096" max="3101" width="4.6640625" style="3" customWidth="1"/>
    <col min="3102" max="3102" width="3" style="3" customWidth="1"/>
    <col min="3103" max="3103" width="1.21875" style="3" customWidth="1"/>
    <col min="3104" max="3328" width="3.44140625" style="3"/>
    <col min="3329" max="3329" width="1.21875" style="3" customWidth="1"/>
    <col min="3330" max="3330" width="3" style="3" customWidth="1"/>
    <col min="3331" max="3334" width="3.44140625" style="3"/>
    <col min="3335" max="3335" width="1.44140625" style="3" customWidth="1"/>
    <col min="3336" max="3351" width="3.44140625" style="3"/>
    <col min="3352" max="3357" width="4.6640625" style="3" customWidth="1"/>
    <col min="3358" max="3358" width="3" style="3" customWidth="1"/>
    <col min="3359" max="3359" width="1.21875" style="3" customWidth="1"/>
    <col min="3360" max="3584" width="3.44140625" style="3"/>
    <col min="3585" max="3585" width="1.21875" style="3" customWidth="1"/>
    <col min="3586" max="3586" width="3" style="3" customWidth="1"/>
    <col min="3587" max="3590" width="3.44140625" style="3"/>
    <col min="3591" max="3591" width="1.44140625" style="3" customWidth="1"/>
    <col min="3592" max="3607" width="3.44140625" style="3"/>
    <col min="3608" max="3613" width="4.6640625" style="3" customWidth="1"/>
    <col min="3614" max="3614" width="3" style="3" customWidth="1"/>
    <col min="3615" max="3615" width="1.21875" style="3" customWidth="1"/>
    <col min="3616" max="3840" width="3.44140625" style="3"/>
    <col min="3841" max="3841" width="1.21875" style="3" customWidth="1"/>
    <col min="3842" max="3842" width="3" style="3" customWidth="1"/>
    <col min="3843" max="3846" width="3.44140625" style="3"/>
    <col min="3847" max="3847" width="1.44140625" style="3" customWidth="1"/>
    <col min="3848" max="3863" width="3.44140625" style="3"/>
    <col min="3864" max="3869" width="4.6640625" style="3" customWidth="1"/>
    <col min="3870" max="3870" width="3" style="3" customWidth="1"/>
    <col min="3871" max="3871" width="1.21875" style="3" customWidth="1"/>
    <col min="3872" max="4096" width="3.44140625" style="3"/>
    <col min="4097" max="4097" width="1.21875" style="3" customWidth="1"/>
    <col min="4098" max="4098" width="3" style="3" customWidth="1"/>
    <col min="4099" max="4102" width="3.44140625" style="3"/>
    <col min="4103" max="4103" width="1.44140625" style="3" customWidth="1"/>
    <col min="4104" max="4119" width="3.44140625" style="3"/>
    <col min="4120" max="4125" width="4.6640625" style="3" customWidth="1"/>
    <col min="4126" max="4126" width="3" style="3" customWidth="1"/>
    <col min="4127" max="4127" width="1.21875" style="3" customWidth="1"/>
    <col min="4128" max="4352" width="3.44140625" style="3"/>
    <col min="4353" max="4353" width="1.21875" style="3" customWidth="1"/>
    <col min="4354" max="4354" width="3" style="3" customWidth="1"/>
    <col min="4355" max="4358" width="3.44140625" style="3"/>
    <col min="4359" max="4359" width="1.44140625" style="3" customWidth="1"/>
    <col min="4360" max="4375" width="3.44140625" style="3"/>
    <col min="4376" max="4381" width="4.6640625" style="3" customWidth="1"/>
    <col min="4382" max="4382" width="3" style="3" customWidth="1"/>
    <col min="4383" max="4383" width="1.21875" style="3" customWidth="1"/>
    <col min="4384" max="4608" width="3.44140625" style="3"/>
    <col min="4609" max="4609" width="1.21875" style="3" customWidth="1"/>
    <col min="4610" max="4610" width="3" style="3" customWidth="1"/>
    <col min="4611" max="4614" width="3.44140625" style="3"/>
    <col min="4615" max="4615" width="1.44140625" style="3" customWidth="1"/>
    <col min="4616" max="4631" width="3.44140625" style="3"/>
    <col min="4632" max="4637" width="4.6640625" style="3" customWidth="1"/>
    <col min="4638" max="4638" width="3" style="3" customWidth="1"/>
    <col min="4639" max="4639" width="1.21875" style="3" customWidth="1"/>
    <col min="4640" max="4864" width="3.44140625" style="3"/>
    <col min="4865" max="4865" width="1.21875" style="3" customWidth="1"/>
    <col min="4866" max="4866" width="3" style="3" customWidth="1"/>
    <col min="4867" max="4870" width="3.44140625" style="3"/>
    <col min="4871" max="4871" width="1.44140625" style="3" customWidth="1"/>
    <col min="4872" max="4887" width="3.44140625" style="3"/>
    <col min="4888" max="4893" width="4.6640625" style="3" customWidth="1"/>
    <col min="4894" max="4894" width="3" style="3" customWidth="1"/>
    <col min="4895" max="4895" width="1.21875" style="3" customWidth="1"/>
    <col min="4896" max="5120" width="3.44140625" style="3"/>
    <col min="5121" max="5121" width="1.21875" style="3" customWidth="1"/>
    <col min="5122" max="5122" width="3" style="3" customWidth="1"/>
    <col min="5123" max="5126" width="3.44140625" style="3"/>
    <col min="5127" max="5127" width="1.44140625" style="3" customWidth="1"/>
    <col min="5128" max="5143" width="3.44140625" style="3"/>
    <col min="5144" max="5149" width="4.6640625" style="3" customWidth="1"/>
    <col min="5150" max="5150" width="3" style="3" customWidth="1"/>
    <col min="5151" max="5151" width="1.21875" style="3" customWidth="1"/>
    <col min="5152" max="5376" width="3.44140625" style="3"/>
    <col min="5377" max="5377" width="1.21875" style="3" customWidth="1"/>
    <col min="5378" max="5378" width="3" style="3" customWidth="1"/>
    <col min="5379" max="5382" width="3.44140625" style="3"/>
    <col min="5383" max="5383" width="1.44140625" style="3" customWidth="1"/>
    <col min="5384" max="5399" width="3.44140625" style="3"/>
    <col min="5400" max="5405" width="4.6640625" style="3" customWidth="1"/>
    <col min="5406" max="5406" width="3" style="3" customWidth="1"/>
    <col min="5407" max="5407" width="1.21875" style="3" customWidth="1"/>
    <col min="5408" max="5632" width="3.44140625" style="3"/>
    <col min="5633" max="5633" width="1.21875" style="3" customWidth="1"/>
    <col min="5634" max="5634" width="3" style="3" customWidth="1"/>
    <col min="5635" max="5638" width="3.44140625" style="3"/>
    <col min="5639" max="5639" width="1.44140625" style="3" customWidth="1"/>
    <col min="5640" max="5655" width="3.44140625" style="3"/>
    <col min="5656" max="5661" width="4.6640625" style="3" customWidth="1"/>
    <col min="5662" max="5662" width="3" style="3" customWidth="1"/>
    <col min="5663" max="5663" width="1.21875" style="3" customWidth="1"/>
    <col min="5664" max="5888" width="3.44140625" style="3"/>
    <col min="5889" max="5889" width="1.21875" style="3" customWidth="1"/>
    <col min="5890" max="5890" width="3" style="3" customWidth="1"/>
    <col min="5891" max="5894" width="3.44140625" style="3"/>
    <col min="5895" max="5895" width="1.44140625" style="3" customWidth="1"/>
    <col min="5896" max="5911" width="3.44140625" style="3"/>
    <col min="5912" max="5917" width="4.6640625" style="3" customWidth="1"/>
    <col min="5918" max="5918" width="3" style="3" customWidth="1"/>
    <col min="5919" max="5919" width="1.21875" style="3" customWidth="1"/>
    <col min="5920" max="6144" width="3.44140625" style="3"/>
    <col min="6145" max="6145" width="1.21875" style="3" customWidth="1"/>
    <col min="6146" max="6146" width="3" style="3" customWidth="1"/>
    <col min="6147" max="6150" width="3.44140625" style="3"/>
    <col min="6151" max="6151" width="1.44140625" style="3" customWidth="1"/>
    <col min="6152" max="6167" width="3.44140625" style="3"/>
    <col min="6168" max="6173" width="4.6640625" style="3" customWidth="1"/>
    <col min="6174" max="6174" width="3" style="3" customWidth="1"/>
    <col min="6175" max="6175" width="1.21875" style="3" customWidth="1"/>
    <col min="6176" max="6400" width="3.44140625" style="3"/>
    <col min="6401" max="6401" width="1.21875" style="3" customWidth="1"/>
    <col min="6402" max="6402" width="3" style="3" customWidth="1"/>
    <col min="6403" max="6406" width="3.44140625" style="3"/>
    <col min="6407" max="6407" width="1.44140625" style="3" customWidth="1"/>
    <col min="6408" max="6423" width="3.44140625" style="3"/>
    <col min="6424" max="6429" width="4.6640625" style="3" customWidth="1"/>
    <col min="6430" max="6430" width="3" style="3" customWidth="1"/>
    <col min="6431" max="6431" width="1.21875" style="3" customWidth="1"/>
    <col min="6432" max="6656" width="3.44140625" style="3"/>
    <col min="6657" max="6657" width="1.21875" style="3" customWidth="1"/>
    <col min="6658" max="6658" width="3" style="3" customWidth="1"/>
    <col min="6659" max="6662" width="3.44140625" style="3"/>
    <col min="6663" max="6663" width="1.44140625" style="3" customWidth="1"/>
    <col min="6664" max="6679" width="3.44140625" style="3"/>
    <col min="6680" max="6685" width="4.6640625" style="3" customWidth="1"/>
    <col min="6686" max="6686" width="3" style="3" customWidth="1"/>
    <col min="6687" max="6687" width="1.21875" style="3" customWidth="1"/>
    <col min="6688" max="6912" width="3.44140625" style="3"/>
    <col min="6913" max="6913" width="1.21875" style="3" customWidth="1"/>
    <col min="6914" max="6914" width="3" style="3" customWidth="1"/>
    <col min="6915" max="6918" width="3.44140625" style="3"/>
    <col min="6919" max="6919" width="1.44140625" style="3" customWidth="1"/>
    <col min="6920" max="6935" width="3.44140625" style="3"/>
    <col min="6936" max="6941" width="4.6640625" style="3" customWidth="1"/>
    <col min="6942" max="6942" width="3" style="3" customWidth="1"/>
    <col min="6943" max="6943" width="1.21875" style="3" customWidth="1"/>
    <col min="6944" max="7168" width="3.44140625" style="3"/>
    <col min="7169" max="7169" width="1.21875" style="3" customWidth="1"/>
    <col min="7170" max="7170" width="3" style="3" customWidth="1"/>
    <col min="7171" max="7174" width="3.44140625" style="3"/>
    <col min="7175" max="7175" width="1.44140625" style="3" customWidth="1"/>
    <col min="7176" max="7191" width="3.44140625" style="3"/>
    <col min="7192" max="7197" width="4.6640625" style="3" customWidth="1"/>
    <col min="7198" max="7198" width="3" style="3" customWidth="1"/>
    <col min="7199" max="7199" width="1.21875" style="3" customWidth="1"/>
    <col min="7200" max="7424" width="3.44140625" style="3"/>
    <col min="7425" max="7425" width="1.21875" style="3" customWidth="1"/>
    <col min="7426" max="7426" width="3" style="3" customWidth="1"/>
    <col min="7427" max="7430" width="3.44140625" style="3"/>
    <col min="7431" max="7431" width="1.44140625" style="3" customWidth="1"/>
    <col min="7432" max="7447" width="3.44140625" style="3"/>
    <col min="7448" max="7453" width="4.6640625" style="3" customWidth="1"/>
    <col min="7454" max="7454" width="3" style="3" customWidth="1"/>
    <col min="7455" max="7455" width="1.21875" style="3" customWidth="1"/>
    <col min="7456" max="7680" width="3.44140625" style="3"/>
    <col min="7681" max="7681" width="1.21875" style="3" customWidth="1"/>
    <col min="7682" max="7682" width="3" style="3" customWidth="1"/>
    <col min="7683" max="7686" width="3.44140625" style="3"/>
    <col min="7687" max="7687" width="1.44140625" style="3" customWidth="1"/>
    <col min="7688" max="7703" width="3.44140625" style="3"/>
    <col min="7704" max="7709" width="4.6640625" style="3" customWidth="1"/>
    <col min="7710" max="7710" width="3" style="3" customWidth="1"/>
    <col min="7711" max="7711" width="1.21875" style="3" customWidth="1"/>
    <col min="7712" max="7936" width="3.44140625" style="3"/>
    <col min="7937" max="7937" width="1.21875" style="3" customWidth="1"/>
    <col min="7938" max="7938" width="3" style="3" customWidth="1"/>
    <col min="7939" max="7942" width="3.44140625" style="3"/>
    <col min="7943" max="7943" width="1.44140625" style="3" customWidth="1"/>
    <col min="7944" max="7959" width="3.44140625" style="3"/>
    <col min="7960" max="7965" width="4.6640625" style="3" customWidth="1"/>
    <col min="7966" max="7966" width="3" style="3" customWidth="1"/>
    <col min="7967" max="7967" width="1.21875" style="3" customWidth="1"/>
    <col min="7968" max="8192" width="3.44140625" style="3"/>
    <col min="8193" max="8193" width="1.21875" style="3" customWidth="1"/>
    <col min="8194" max="8194" width="3" style="3" customWidth="1"/>
    <col min="8195" max="8198" width="3.44140625" style="3"/>
    <col min="8199" max="8199" width="1.44140625" style="3" customWidth="1"/>
    <col min="8200" max="8215" width="3.44140625" style="3"/>
    <col min="8216" max="8221" width="4.6640625" style="3" customWidth="1"/>
    <col min="8222" max="8222" width="3" style="3" customWidth="1"/>
    <col min="8223" max="8223" width="1.21875" style="3" customWidth="1"/>
    <col min="8224" max="8448" width="3.44140625" style="3"/>
    <col min="8449" max="8449" width="1.21875" style="3" customWidth="1"/>
    <col min="8450" max="8450" width="3" style="3" customWidth="1"/>
    <col min="8451" max="8454" width="3.44140625" style="3"/>
    <col min="8455" max="8455" width="1.44140625" style="3" customWidth="1"/>
    <col min="8456" max="8471" width="3.44140625" style="3"/>
    <col min="8472" max="8477" width="4.6640625" style="3" customWidth="1"/>
    <col min="8478" max="8478" width="3" style="3" customWidth="1"/>
    <col min="8479" max="8479" width="1.21875" style="3" customWidth="1"/>
    <col min="8480" max="8704" width="3.44140625" style="3"/>
    <col min="8705" max="8705" width="1.21875" style="3" customWidth="1"/>
    <col min="8706" max="8706" width="3" style="3" customWidth="1"/>
    <col min="8707" max="8710" width="3.44140625" style="3"/>
    <col min="8711" max="8711" width="1.44140625" style="3" customWidth="1"/>
    <col min="8712" max="8727" width="3.44140625" style="3"/>
    <col min="8728" max="8733" width="4.6640625" style="3" customWidth="1"/>
    <col min="8734" max="8734" width="3" style="3" customWidth="1"/>
    <col min="8735" max="8735" width="1.21875" style="3" customWidth="1"/>
    <col min="8736" max="8960" width="3.44140625" style="3"/>
    <col min="8961" max="8961" width="1.21875" style="3" customWidth="1"/>
    <col min="8962" max="8962" width="3" style="3" customWidth="1"/>
    <col min="8963" max="8966" width="3.44140625" style="3"/>
    <col min="8967" max="8967" width="1.44140625" style="3" customWidth="1"/>
    <col min="8968" max="8983" width="3.44140625" style="3"/>
    <col min="8984" max="8989" width="4.6640625" style="3" customWidth="1"/>
    <col min="8990" max="8990" width="3" style="3" customWidth="1"/>
    <col min="8991" max="8991" width="1.21875" style="3" customWidth="1"/>
    <col min="8992" max="9216" width="3.44140625" style="3"/>
    <col min="9217" max="9217" width="1.21875" style="3" customWidth="1"/>
    <col min="9218" max="9218" width="3" style="3" customWidth="1"/>
    <col min="9219" max="9222" width="3.44140625" style="3"/>
    <col min="9223" max="9223" width="1.44140625" style="3" customWidth="1"/>
    <col min="9224" max="9239" width="3.44140625" style="3"/>
    <col min="9240" max="9245" width="4.6640625" style="3" customWidth="1"/>
    <col min="9246" max="9246" width="3" style="3" customWidth="1"/>
    <col min="9247" max="9247" width="1.21875" style="3" customWidth="1"/>
    <col min="9248" max="9472" width="3.44140625" style="3"/>
    <col min="9473" max="9473" width="1.21875" style="3" customWidth="1"/>
    <col min="9474" max="9474" width="3" style="3" customWidth="1"/>
    <col min="9475" max="9478" width="3.44140625" style="3"/>
    <col min="9479" max="9479" width="1.44140625" style="3" customWidth="1"/>
    <col min="9480" max="9495" width="3.44140625" style="3"/>
    <col min="9496" max="9501" width="4.6640625" style="3" customWidth="1"/>
    <col min="9502" max="9502" width="3" style="3" customWidth="1"/>
    <col min="9503" max="9503" width="1.21875" style="3" customWidth="1"/>
    <col min="9504" max="9728" width="3.44140625" style="3"/>
    <col min="9729" max="9729" width="1.21875" style="3" customWidth="1"/>
    <col min="9730" max="9730" width="3" style="3" customWidth="1"/>
    <col min="9731" max="9734" width="3.44140625" style="3"/>
    <col min="9735" max="9735" width="1.44140625" style="3" customWidth="1"/>
    <col min="9736" max="9751" width="3.44140625" style="3"/>
    <col min="9752" max="9757" width="4.6640625" style="3" customWidth="1"/>
    <col min="9758" max="9758" width="3" style="3" customWidth="1"/>
    <col min="9759" max="9759" width="1.21875" style="3" customWidth="1"/>
    <col min="9760" max="9984" width="3.44140625" style="3"/>
    <col min="9985" max="9985" width="1.21875" style="3" customWidth="1"/>
    <col min="9986" max="9986" width="3" style="3" customWidth="1"/>
    <col min="9987" max="9990" width="3.44140625" style="3"/>
    <col min="9991" max="9991" width="1.44140625" style="3" customWidth="1"/>
    <col min="9992" max="10007" width="3.44140625" style="3"/>
    <col min="10008" max="10013" width="4.6640625" style="3" customWidth="1"/>
    <col min="10014" max="10014" width="3" style="3" customWidth="1"/>
    <col min="10015" max="10015" width="1.21875" style="3" customWidth="1"/>
    <col min="10016" max="10240" width="3.44140625" style="3"/>
    <col min="10241" max="10241" width="1.21875" style="3" customWidth="1"/>
    <col min="10242" max="10242" width="3" style="3" customWidth="1"/>
    <col min="10243" max="10246" width="3.44140625" style="3"/>
    <col min="10247" max="10247" width="1.44140625" style="3" customWidth="1"/>
    <col min="10248" max="10263" width="3.44140625" style="3"/>
    <col min="10264" max="10269" width="4.6640625" style="3" customWidth="1"/>
    <col min="10270" max="10270" width="3" style="3" customWidth="1"/>
    <col min="10271" max="10271" width="1.21875" style="3" customWidth="1"/>
    <col min="10272" max="10496" width="3.44140625" style="3"/>
    <col min="10497" max="10497" width="1.21875" style="3" customWidth="1"/>
    <col min="10498" max="10498" width="3" style="3" customWidth="1"/>
    <col min="10499" max="10502" width="3.44140625" style="3"/>
    <col min="10503" max="10503" width="1.44140625" style="3" customWidth="1"/>
    <col min="10504" max="10519" width="3.44140625" style="3"/>
    <col min="10520" max="10525" width="4.6640625" style="3" customWidth="1"/>
    <col min="10526" max="10526" width="3" style="3" customWidth="1"/>
    <col min="10527" max="10527" width="1.21875" style="3" customWidth="1"/>
    <col min="10528" max="10752" width="3.44140625" style="3"/>
    <col min="10753" max="10753" width="1.21875" style="3" customWidth="1"/>
    <col min="10754" max="10754" width="3" style="3" customWidth="1"/>
    <col min="10755" max="10758" width="3.44140625" style="3"/>
    <col min="10759" max="10759" width="1.44140625" style="3" customWidth="1"/>
    <col min="10760" max="10775" width="3.44140625" style="3"/>
    <col min="10776" max="10781" width="4.6640625" style="3" customWidth="1"/>
    <col min="10782" max="10782" width="3" style="3" customWidth="1"/>
    <col min="10783" max="10783" width="1.21875" style="3" customWidth="1"/>
    <col min="10784" max="11008" width="3.44140625" style="3"/>
    <col min="11009" max="11009" width="1.21875" style="3" customWidth="1"/>
    <col min="11010" max="11010" width="3" style="3" customWidth="1"/>
    <col min="11011" max="11014" width="3.44140625" style="3"/>
    <col min="11015" max="11015" width="1.44140625" style="3" customWidth="1"/>
    <col min="11016" max="11031" width="3.44140625" style="3"/>
    <col min="11032" max="11037" width="4.6640625" style="3" customWidth="1"/>
    <col min="11038" max="11038" width="3" style="3" customWidth="1"/>
    <col min="11039" max="11039" width="1.21875" style="3" customWidth="1"/>
    <col min="11040" max="11264" width="3.44140625" style="3"/>
    <col min="11265" max="11265" width="1.21875" style="3" customWidth="1"/>
    <col min="11266" max="11266" width="3" style="3" customWidth="1"/>
    <col min="11267" max="11270" width="3.44140625" style="3"/>
    <col min="11271" max="11271" width="1.44140625" style="3" customWidth="1"/>
    <col min="11272" max="11287" width="3.44140625" style="3"/>
    <col min="11288" max="11293" width="4.6640625" style="3" customWidth="1"/>
    <col min="11294" max="11294" width="3" style="3" customWidth="1"/>
    <col min="11295" max="11295" width="1.21875" style="3" customWidth="1"/>
    <col min="11296" max="11520" width="3.44140625" style="3"/>
    <col min="11521" max="11521" width="1.21875" style="3" customWidth="1"/>
    <col min="11522" max="11522" width="3" style="3" customWidth="1"/>
    <col min="11523" max="11526" width="3.44140625" style="3"/>
    <col min="11527" max="11527" width="1.44140625" style="3" customWidth="1"/>
    <col min="11528" max="11543" width="3.44140625" style="3"/>
    <col min="11544" max="11549" width="4.6640625" style="3" customWidth="1"/>
    <col min="11550" max="11550" width="3" style="3" customWidth="1"/>
    <col min="11551" max="11551" width="1.21875" style="3" customWidth="1"/>
    <col min="11552" max="11776" width="3.44140625" style="3"/>
    <col min="11777" max="11777" width="1.21875" style="3" customWidth="1"/>
    <col min="11778" max="11778" width="3" style="3" customWidth="1"/>
    <col min="11779" max="11782" width="3.44140625" style="3"/>
    <col min="11783" max="11783" width="1.44140625" style="3" customWidth="1"/>
    <col min="11784" max="11799" width="3.44140625" style="3"/>
    <col min="11800" max="11805" width="4.6640625" style="3" customWidth="1"/>
    <col min="11806" max="11806" width="3" style="3" customWidth="1"/>
    <col min="11807" max="11807" width="1.21875" style="3" customWidth="1"/>
    <col min="11808" max="12032" width="3.44140625" style="3"/>
    <col min="12033" max="12033" width="1.21875" style="3" customWidth="1"/>
    <col min="12034" max="12034" width="3" style="3" customWidth="1"/>
    <col min="12035" max="12038" width="3.44140625" style="3"/>
    <col min="12039" max="12039" width="1.44140625" style="3" customWidth="1"/>
    <col min="12040" max="12055" width="3.44140625" style="3"/>
    <col min="12056" max="12061" width="4.6640625" style="3" customWidth="1"/>
    <col min="12062" max="12062" width="3" style="3" customWidth="1"/>
    <col min="12063" max="12063" width="1.21875" style="3" customWidth="1"/>
    <col min="12064" max="12288" width="3.44140625" style="3"/>
    <col min="12289" max="12289" width="1.21875" style="3" customWidth="1"/>
    <col min="12290" max="12290" width="3" style="3" customWidth="1"/>
    <col min="12291" max="12294" width="3.44140625" style="3"/>
    <col min="12295" max="12295" width="1.44140625" style="3" customWidth="1"/>
    <col min="12296" max="12311" width="3.44140625" style="3"/>
    <col min="12312" max="12317" width="4.6640625" style="3" customWidth="1"/>
    <col min="12318" max="12318" width="3" style="3" customWidth="1"/>
    <col min="12319" max="12319" width="1.21875" style="3" customWidth="1"/>
    <col min="12320" max="12544" width="3.44140625" style="3"/>
    <col min="12545" max="12545" width="1.21875" style="3" customWidth="1"/>
    <col min="12546" max="12546" width="3" style="3" customWidth="1"/>
    <col min="12547" max="12550" width="3.44140625" style="3"/>
    <col min="12551" max="12551" width="1.44140625" style="3" customWidth="1"/>
    <col min="12552" max="12567" width="3.44140625" style="3"/>
    <col min="12568" max="12573" width="4.6640625" style="3" customWidth="1"/>
    <col min="12574" max="12574" width="3" style="3" customWidth="1"/>
    <col min="12575" max="12575" width="1.21875" style="3" customWidth="1"/>
    <col min="12576" max="12800" width="3.44140625" style="3"/>
    <col min="12801" max="12801" width="1.21875" style="3" customWidth="1"/>
    <col min="12802" max="12802" width="3" style="3" customWidth="1"/>
    <col min="12803" max="12806" width="3.44140625" style="3"/>
    <col min="12807" max="12807" width="1.44140625" style="3" customWidth="1"/>
    <col min="12808" max="12823" width="3.44140625" style="3"/>
    <col min="12824" max="12829" width="4.6640625" style="3" customWidth="1"/>
    <col min="12830" max="12830" width="3" style="3" customWidth="1"/>
    <col min="12831" max="12831" width="1.21875" style="3" customWidth="1"/>
    <col min="12832" max="13056" width="3.44140625" style="3"/>
    <col min="13057" max="13057" width="1.21875" style="3" customWidth="1"/>
    <col min="13058" max="13058" width="3" style="3" customWidth="1"/>
    <col min="13059" max="13062" width="3.44140625" style="3"/>
    <col min="13063" max="13063" width="1.44140625" style="3" customWidth="1"/>
    <col min="13064" max="13079" width="3.44140625" style="3"/>
    <col min="13080" max="13085" width="4.6640625" style="3" customWidth="1"/>
    <col min="13086" max="13086" width="3" style="3" customWidth="1"/>
    <col min="13087" max="13087" width="1.21875" style="3" customWidth="1"/>
    <col min="13088" max="13312" width="3.44140625" style="3"/>
    <col min="13313" max="13313" width="1.21875" style="3" customWidth="1"/>
    <col min="13314" max="13314" width="3" style="3" customWidth="1"/>
    <col min="13315" max="13318" width="3.44140625" style="3"/>
    <col min="13319" max="13319" width="1.44140625" style="3" customWidth="1"/>
    <col min="13320" max="13335" width="3.44140625" style="3"/>
    <col min="13336" max="13341" width="4.6640625" style="3" customWidth="1"/>
    <col min="13342" max="13342" width="3" style="3" customWidth="1"/>
    <col min="13343" max="13343" width="1.21875" style="3" customWidth="1"/>
    <col min="13344" max="13568" width="3.44140625" style="3"/>
    <col min="13569" max="13569" width="1.21875" style="3" customWidth="1"/>
    <col min="13570" max="13570" width="3" style="3" customWidth="1"/>
    <col min="13571" max="13574" width="3.44140625" style="3"/>
    <col min="13575" max="13575" width="1.44140625" style="3" customWidth="1"/>
    <col min="13576" max="13591" width="3.44140625" style="3"/>
    <col min="13592" max="13597" width="4.6640625" style="3" customWidth="1"/>
    <col min="13598" max="13598" width="3" style="3" customWidth="1"/>
    <col min="13599" max="13599" width="1.21875" style="3" customWidth="1"/>
    <col min="13600" max="13824" width="3.44140625" style="3"/>
    <col min="13825" max="13825" width="1.21875" style="3" customWidth="1"/>
    <col min="13826" max="13826" width="3" style="3" customWidth="1"/>
    <col min="13827" max="13830" width="3.44140625" style="3"/>
    <col min="13831" max="13831" width="1.44140625" style="3" customWidth="1"/>
    <col min="13832" max="13847" width="3.44140625" style="3"/>
    <col min="13848" max="13853" width="4.6640625" style="3" customWidth="1"/>
    <col min="13854" max="13854" width="3" style="3" customWidth="1"/>
    <col min="13855" max="13855" width="1.21875" style="3" customWidth="1"/>
    <col min="13856" max="14080" width="3.44140625" style="3"/>
    <col min="14081" max="14081" width="1.21875" style="3" customWidth="1"/>
    <col min="14082" max="14082" width="3" style="3" customWidth="1"/>
    <col min="14083" max="14086" width="3.44140625" style="3"/>
    <col min="14087" max="14087" width="1.44140625" style="3" customWidth="1"/>
    <col min="14088" max="14103" width="3.44140625" style="3"/>
    <col min="14104" max="14109" width="4.6640625" style="3" customWidth="1"/>
    <col min="14110" max="14110" width="3" style="3" customWidth="1"/>
    <col min="14111" max="14111" width="1.21875" style="3" customWidth="1"/>
    <col min="14112" max="14336" width="3.44140625" style="3"/>
    <col min="14337" max="14337" width="1.21875" style="3" customWidth="1"/>
    <col min="14338" max="14338" width="3" style="3" customWidth="1"/>
    <col min="14339" max="14342" width="3.44140625" style="3"/>
    <col min="14343" max="14343" width="1.44140625" style="3" customWidth="1"/>
    <col min="14344" max="14359" width="3.44140625" style="3"/>
    <col min="14360" max="14365" width="4.6640625" style="3" customWidth="1"/>
    <col min="14366" max="14366" width="3" style="3" customWidth="1"/>
    <col min="14367" max="14367" width="1.21875" style="3" customWidth="1"/>
    <col min="14368" max="14592" width="3.44140625" style="3"/>
    <col min="14593" max="14593" width="1.21875" style="3" customWidth="1"/>
    <col min="14594" max="14594" width="3" style="3" customWidth="1"/>
    <col min="14595" max="14598" width="3.44140625" style="3"/>
    <col min="14599" max="14599" width="1.44140625" style="3" customWidth="1"/>
    <col min="14600" max="14615" width="3.44140625" style="3"/>
    <col min="14616" max="14621" width="4.6640625" style="3" customWidth="1"/>
    <col min="14622" max="14622" width="3" style="3" customWidth="1"/>
    <col min="14623" max="14623" width="1.21875" style="3" customWidth="1"/>
    <col min="14624" max="14848" width="3.44140625" style="3"/>
    <col min="14849" max="14849" width="1.21875" style="3" customWidth="1"/>
    <col min="14850" max="14850" width="3" style="3" customWidth="1"/>
    <col min="14851" max="14854" width="3.44140625" style="3"/>
    <col min="14855" max="14855" width="1.44140625" style="3" customWidth="1"/>
    <col min="14856" max="14871" width="3.44140625" style="3"/>
    <col min="14872" max="14877" width="4.6640625" style="3" customWidth="1"/>
    <col min="14878" max="14878" width="3" style="3" customWidth="1"/>
    <col min="14879" max="14879" width="1.21875" style="3" customWidth="1"/>
    <col min="14880" max="15104" width="3.44140625" style="3"/>
    <col min="15105" max="15105" width="1.21875" style="3" customWidth="1"/>
    <col min="15106" max="15106" width="3" style="3" customWidth="1"/>
    <col min="15107" max="15110" width="3.44140625" style="3"/>
    <col min="15111" max="15111" width="1.44140625" style="3" customWidth="1"/>
    <col min="15112" max="15127" width="3.44140625" style="3"/>
    <col min="15128" max="15133" width="4.6640625" style="3" customWidth="1"/>
    <col min="15134" max="15134" width="3" style="3" customWidth="1"/>
    <col min="15135" max="15135" width="1.21875" style="3" customWidth="1"/>
    <col min="15136" max="15360" width="3.44140625" style="3"/>
    <col min="15361" max="15361" width="1.21875" style="3" customWidth="1"/>
    <col min="15362" max="15362" width="3" style="3" customWidth="1"/>
    <col min="15363" max="15366" width="3.44140625" style="3"/>
    <col min="15367" max="15367" width="1.44140625" style="3" customWidth="1"/>
    <col min="15368" max="15383" width="3.44140625" style="3"/>
    <col min="15384" max="15389" width="4.6640625" style="3" customWidth="1"/>
    <col min="15390" max="15390" width="3" style="3" customWidth="1"/>
    <col min="15391" max="15391" width="1.21875" style="3" customWidth="1"/>
    <col min="15392" max="15616" width="3.44140625" style="3"/>
    <col min="15617" max="15617" width="1.21875" style="3" customWidth="1"/>
    <col min="15618" max="15618" width="3" style="3" customWidth="1"/>
    <col min="15619" max="15622" width="3.44140625" style="3"/>
    <col min="15623" max="15623" width="1.44140625" style="3" customWidth="1"/>
    <col min="15624" max="15639" width="3.44140625" style="3"/>
    <col min="15640" max="15645" width="4.6640625" style="3" customWidth="1"/>
    <col min="15646" max="15646" width="3" style="3" customWidth="1"/>
    <col min="15647" max="15647" width="1.21875" style="3" customWidth="1"/>
    <col min="15648" max="15872" width="3.44140625" style="3"/>
    <col min="15873" max="15873" width="1.21875" style="3" customWidth="1"/>
    <col min="15874" max="15874" width="3" style="3" customWidth="1"/>
    <col min="15875" max="15878" width="3.44140625" style="3"/>
    <col min="15879" max="15879" width="1.44140625" style="3" customWidth="1"/>
    <col min="15880" max="15895" width="3.44140625" style="3"/>
    <col min="15896" max="15901" width="4.6640625" style="3" customWidth="1"/>
    <col min="15902" max="15902" width="3" style="3" customWidth="1"/>
    <col min="15903" max="15903" width="1.21875" style="3" customWidth="1"/>
    <col min="15904" max="16128" width="3.44140625" style="3"/>
    <col min="16129" max="16129" width="1.21875" style="3" customWidth="1"/>
    <col min="16130" max="16130" width="3" style="3" customWidth="1"/>
    <col min="16131" max="16134" width="3.44140625" style="3"/>
    <col min="16135" max="16135" width="1.44140625" style="3" customWidth="1"/>
    <col min="16136" max="16151" width="3.44140625" style="3"/>
    <col min="16152" max="16157" width="4.6640625" style="3" customWidth="1"/>
    <col min="16158" max="16158" width="3" style="3" customWidth="1"/>
    <col min="16159" max="16159" width="1.21875" style="3" customWidth="1"/>
    <col min="16160" max="16384" width="3.44140625" style="3"/>
  </cols>
  <sheetData>
    <row r="1" spans="1:30" s="1" customFormat="1">
      <c r="A1" s="866"/>
    </row>
    <row r="2" spans="1:30" s="1" customFormat="1">
      <c r="B2" s="1" t="s">
        <v>1794</v>
      </c>
    </row>
    <row r="3" spans="1:30" s="1" customFormat="1">
      <c r="X3" s="45" t="s">
        <v>544</v>
      </c>
      <c r="Y3" s="12"/>
      <c r="Z3" s="12" t="s">
        <v>34</v>
      </c>
      <c r="AA3" s="12"/>
      <c r="AB3" s="12" t="s">
        <v>392</v>
      </c>
      <c r="AC3" s="12"/>
      <c r="AD3" s="12" t="s">
        <v>241</v>
      </c>
    </row>
    <row r="4" spans="1:30" s="1" customFormat="1">
      <c r="AD4" s="45"/>
    </row>
    <row r="5" spans="1:30" s="1" customFormat="1" ht="27.75" customHeight="1">
      <c r="B5" s="1814" t="s">
        <v>1795</v>
      </c>
      <c r="C5" s="1575"/>
      <c r="D5" s="1575"/>
      <c r="E5" s="1575"/>
      <c r="F5" s="1575"/>
      <c r="G5" s="1575"/>
      <c r="H5" s="1575"/>
      <c r="I5" s="1575"/>
      <c r="J5" s="1575"/>
      <c r="K5" s="1575"/>
      <c r="L5" s="1575"/>
      <c r="M5" s="1575"/>
      <c r="N5" s="1575"/>
      <c r="O5" s="1575"/>
      <c r="P5" s="1575"/>
      <c r="Q5" s="1575"/>
      <c r="R5" s="1575"/>
      <c r="S5" s="1575"/>
      <c r="T5" s="1575"/>
      <c r="U5" s="1575"/>
      <c r="V5" s="1575"/>
      <c r="W5" s="1575"/>
      <c r="X5" s="1575"/>
      <c r="Y5" s="1575"/>
      <c r="Z5" s="1575"/>
      <c r="AA5" s="1575"/>
      <c r="AB5" s="1575"/>
      <c r="AC5" s="1575"/>
      <c r="AD5" s="1575"/>
    </row>
    <row r="6" spans="1:30" s="1" customFormat="1"/>
    <row r="7" spans="1:30" s="1" customFormat="1" ht="39.75" customHeight="1">
      <c r="B7" s="1794" t="s">
        <v>196</v>
      </c>
      <c r="C7" s="1794"/>
      <c r="D7" s="1794"/>
      <c r="E7" s="1794"/>
      <c r="F7" s="1794"/>
      <c r="G7" s="1789"/>
      <c r="H7" s="1790"/>
      <c r="I7" s="1790"/>
      <c r="J7" s="1790"/>
      <c r="K7" s="1790"/>
      <c r="L7" s="1790"/>
      <c r="M7" s="1790"/>
      <c r="N7" s="1790"/>
      <c r="O7" s="1790"/>
      <c r="P7" s="1790"/>
      <c r="Q7" s="1790"/>
      <c r="R7" s="1790"/>
      <c r="S7" s="1790"/>
      <c r="T7" s="1790"/>
      <c r="U7" s="1790"/>
      <c r="V7" s="1790"/>
      <c r="W7" s="1790"/>
      <c r="X7" s="1790"/>
      <c r="Y7" s="1790"/>
      <c r="Z7" s="1790"/>
      <c r="AA7" s="1790"/>
      <c r="AB7" s="1790"/>
      <c r="AC7" s="1790"/>
      <c r="AD7" s="1791"/>
    </row>
    <row r="8" spans="1:30" ht="39.75" customHeight="1">
      <c r="B8" s="1580" t="s">
        <v>93</v>
      </c>
      <c r="C8" s="1581"/>
      <c r="D8" s="1581"/>
      <c r="E8" s="1581"/>
      <c r="F8" s="1582"/>
      <c r="G8" s="638"/>
      <c r="H8" s="640" t="s">
        <v>121</v>
      </c>
      <c r="I8" s="639" t="s">
        <v>1173</v>
      </c>
      <c r="J8" s="639"/>
      <c r="K8" s="639"/>
      <c r="L8" s="639"/>
      <c r="M8" s="641" t="s">
        <v>121</v>
      </c>
      <c r="N8" s="639" t="s">
        <v>1174</v>
      </c>
      <c r="O8" s="639"/>
      <c r="P8" s="639"/>
      <c r="Q8" s="639"/>
      <c r="R8" s="641" t="s">
        <v>121</v>
      </c>
      <c r="S8" s="639" t="s">
        <v>1175</v>
      </c>
      <c r="T8" s="639"/>
      <c r="U8" s="639"/>
      <c r="V8" s="639"/>
      <c r="W8" s="639"/>
      <c r="X8" s="639"/>
      <c r="Y8" s="639"/>
      <c r="Z8" s="639"/>
      <c r="AA8" s="639"/>
      <c r="AB8" s="639"/>
      <c r="AC8" s="639"/>
      <c r="AD8" s="643"/>
    </row>
    <row r="9" spans="1:30" ht="39.75" customHeight="1">
      <c r="B9" s="1580" t="s">
        <v>294</v>
      </c>
      <c r="C9" s="1581"/>
      <c r="D9" s="1581"/>
      <c r="E9" s="1581"/>
      <c r="F9" s="1581"/>
      <c r="G9" s="638"/>
      <c r="H9" s="640" t="s">
        <v>121</v>
      </c>
      <c r="I9" s="639" t="s">
        <v>1709</v>
      </c>
      <c r="J9" s="639"/>
      <c r="K9" s="639"/>
      <c r="L9" s="639"/>
      <c r="M9" s="639"/>
      <c r="N9" s="639"/>
      <c r="O9" s="639"/>
      <c r="P9" s="639"/>
      <c r="Q9" s="639"/>
      <c r="R9" s="639"/>
      <c r="S9" s="639"/>
      <c r="T9" s="639"/>
      <c r="U9" s="639"/>
      <c r="V9" s="639"/>
      <c r="W9" s="639"/>
      <c r="X9" s="639"/>
      <c r="Y9" s="639"/>
      <c r="Z9" s="639"/>
      <c r="AA9" s="639"/>
      <c r="AB9" s="639"/>
      <c r="AC9" s="639"/>
      <c r="AD9" s="643"/>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408"/>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402"/>
    </row>
    <row r="13" spans="1:30" s="1" customFormat="1" ht="32.25" customHeight="1">
      <c r="B13" s="405"/>
      <c r="C13" s="1891" t="s">
        <v>295</v>
      </c>
      <c r="D13" s="1820"/>
      <c r="E13" s="1820"/>
      <c r="F13" s="1892"/>
      <c r="H13" s="605" t="s">
        <v>107</v>
      </c>
      <c r="I13" s="1885" t="s">
        <v>1796</v>
      </c>
      <c r="J13" s="1886"/>
      <c r="K13" s="1886"/>
      <c r="L13" s="1886"/>
      <c r="M13" s="1886"/>
      <c r="N13" s="1886"/>
      <c r="O13" s="1886"/>
      <c r="P13" s="1886"/>
      <c r="Q13" s="1886"/>
      <c r="R13" s="1886"/>
      <c r="S13" s="1580"/>
      <c r="T13" s="1581"/>
      <c r="U13" s="716" t="s">
        <v>89</v>
      </c>
      <c r="V13" s="12"/>
      <c r="W13" s="12"/>
      <c r="X13" s="12"/>
      <c r="Y13" s="12"/>
      <c r="AA13" s="408"/>
      <c r="AC13" s="402"/>
      <c r="AD13" s="402"/>
    </row>
    <row r="14" spans="1:30" s="1" customFormat="1" ht="32.25" customHeight="1">
      <c r="B14" s="405"/>
      <c r="C14" s="405"/>
      <c r="D14" s="406"/>
      <c r="E14" s="406"/>
      <c r="F14" s="407"/>
      <c r="H14" s="605" t="s">
        <v>104</v>
      </c>
      <c r="I14" s="1885" t="s">
        <v>1797</v>
      </c>
      <c r="J14" s="1886"/>
      <c r="K14" s="1886"/>
      <c r="L14" s="1886"/>
      <c r="M14" s="1886"/>
      <c r="N14" s="1886"/>
      <c r="O14" s="1886"/>
      <c r="P14" s="1886"/>
      <c r="Q14" s="1886"/>
      <c r="R14" s="1886"/>
      <c r="S14" s="1580"/>
      <c r="T14" s="1581"/>
      <c r="U14" s="716" t="s">
        <v>89</v>
      </c>
      <c r="V14" s="12"/>
      <c r="W14" s="12"/>
      <c r="X14" s="12"/>
      <c r="Y14" s="12"/>
      <c r="AA14" s="652" t="s">
        <v>1118</v>
      </c>
      <c r="AB14" s="653" t="s">
        <v>440</v>
      </c>
      <c r="AC14" s="654" t="s">
        <v>674</v>
      </c>
      <c r="AD14" s="402"/>
    </row>
    <row r="15" spans="1:30" s="1" customFormat="1" ht="32.25" customHeight="1">
      <c r="B15" s="408"/>
      <c r="C15" s="408"/>
      <c r="F15" s="402"/>
      <c r="H15" s="605" t="s">
        <v>211</v>
      </c>
      <c r="I15" s="1887" t="s">
        <v>284</v>
      </c>
      <c r="J15" s="1888"/>
      <c r="K15" s="1888"/>
      <c r="L15" s="1888"/>
      <c r="M15" s="1888"/>
      <c r="N15" s="1888"/>
      <c r="O15" s="1888"/>
      <c r="P15" s="1888"/>
      <c r="Q15" s="1888"/>
      <c r="R15" s="1889"/>
      <c r="S15" s="1580"/>
      <c r="T15" s="1581"/>
      <c r="U15" s="716" t="s">
        <v>60</v>
      </c>
      <c r="V15" s="1" t="s">
        <v>198</v>
      </c>
      <c r="W15" s="1890" t="s">
        <v>1798</v>
      </c>
      <c r="X15" s="1890"/>
      <c r="Y15" s="1890"/>
      <c r="Z15" s="21"/>
      <c r="AA15" s="655" t="s">
        <v>121</v>
      </c>
      <c r="AB15" s="641" t="s">
        <v>440</v>
      </c>
      <c r="AC15" s="656" t="s">
        <v>121</v>
      </c>
      <c r="AD15" s="729"/>
    </row>
    <row r="16" spans="1:30" s="1" customFormat="1">
      <c r="B16" s="408"/>
      <c r="C16" s="409"/>
      <c r="D16" s="8"/>
      <c r="E16" s="8"/>
      <c r="F16" s="424"/>
      <c r="G16" s="8"/>
      <c r="H16" s="8"/>
      <c r="I16" s="8"/>
      <c r="J16" s="8"/>
      <c r="K16" s="8"/>
      <c r="L16" s="8"/>
      <c r="M16" s="8"/>
      <c r="N16" s="8"/>
      <c r="O16" s="8"/>
      <c r="P16" s="8"/>
      <c r="Q16" s="8"/>
      <c r="R16" s="8"/>
      <c r="S16" s="8"/>
      <c r="T16" s="8"/>
      <c r="U16" s="8"/>
      <c r="V16" s="8"/>
      <c r="W16" s="8"/>
      <c r="X16" s="8"/>
      <c r="Y16" s="8"/>
      <c r="Z16" s="8"/>
      <c r="AA16" s="409"/>
      <c r="AB16" s="8"/>
      <c r="AC16" s="424"/>
      <c r="AD16" s="402"/>
    </row>
    <row r="17" spans="2:30" s="1" customFormat="1" ht="10.5" customHeight="1">
      <c r="B17" s="408"/>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402"/>
    </row>
    <row r="18" spans="2:30" s="1" customFormat="1" ht="27" customHeight="1">
      <c r="B18" s="405"/>
      <c r="C18" s="1891" t="s">
        <v>296</v>
      </c>
      <c r="D18" s="1820"/>
      <c r="E18" s="1820"/>
      <c r="F18" s="1892"/>
      <c r="H18" s="605" t="s">
        <v>107</v>
      </c>
      <c r="I18" s="1885" t="s">
        <v>297</v>
      </c>
      <c r="J18" s="1886"/>
      <c r="K18" s="1886"/>
      <c r="L18" s="1886"/>
      <c r="M18" s="1886"/>
      <c r="N18" s="1886"/>
      <c r="O18" s="1886"/>
      <c r="P18" s="1886"/>
      <c r="Q18" s="1886"/>
      <c r="R18" s="1886"/>
      <c r="S18" s="1580"/>
      <c r="T18" s="1581"/>
      <c r="U18" s="716" t="s">
        <v>30</v>
      </c>
      <c r="V18" s="12"/>
      <c r="W18" s="12"/>
      <c r="X18" s="12"/>
      <c r="Y18" s="12"/>
      <c r="AA18" s="408"/>
      <c r="AC18" s="402"/>
      <c r="AD18" s="402"/>
    </row>
    <row r="19" spans="2:30" s="1" customFormat="1" ht="27" customHeight="1">
      <c r="B19" s="405"/>
      <c r="C19" s="1891"/>
      <c r="D19" s="1820"/>
      <c r="E19" s="1820"/>
      <c r="F19" s="1892"/>
      <c r="H19" s="605" t="s">
        <v>104</v>
      </c>
      <c r="I19" s="1885" t="s">
        <v>298</v>
      </c>
      <c r="J19" s="1886"/>
      <c r="K19" s="1886"/>
      <c r="L19" s="1886"/>
      <c r="M19" s="1886"/>
      <c r="N19" s="1886"/>
      <c r="O19" s="1886"/>
      <c r="P19" s="1886"/>
      <c r="Q19" s="1886"/>
      <c r="R19" s="1886"/>
      <c r="S19" s="1580"/>
      <c r="T19" s="1581"/>
      <c r="U19" s="716" t="s">
        <v>89</v>
      </c>
      <c r="V19" s="12"/>
      <c r="W19" s="12"/>
      <c r="X19" s="12"/>
      <c r="Y19" s="12"/>
      <c r="AA19" s="408"/>
      <c r="AC19" s="402"/>
      <c r="AD19" s="402"/>
    </row>
    <row r="20" spans="2:30" s="1" customFormat="1" ht="27" customHeight="1">
      <c r="B20" s="405"/>
      <c r="C20" s="405"/>
      <c r="D20" s="406"/>
      <c r="E20" s="406"/>
      <c r="F20" s="407"/>
      <c r="H20" s="605" t="s">
        <v>211</v>
      </c>
      <c r="I20" s="1885" t="s">
        <v>846</v>
      </c>
      <c r="J20" s="1886"/>
      <c r="K20" s="1886"/>
      <c r="L20" s="1886"/>
      <c r="M20" s="1886"/>
      <c r="N20" s="1886"/>
      <c r="O20" s="1886"/>
      <c r="P20" s="1886"/>
      <c r="Q20" s="1886"/>
      <c r="R20" s="1886"/>
      <c r="S20" s="1580"/>
      <c r="T20" s="1581"/>
      <c r="U20" s="716" t="s">
        <v>89</v>
      </c>
      <c r="V20" s="12"/>
      <c r="W20" s="12"/>
      <c r="X20" s="12"/>
      <c r="Y20" s="12"/>
      <c r="AA20" s="652" t="s">
        <v>1118</v>
      </c>
      <c r="AB20" s="653" t="s">
        <v>440</v>
      </c>
      <c r="AC20" s="654" t="s">
        <v>674</v>
      </c>
      <c r="AD20" s="402"/>
    </row>
    <row r="21" spans="2:30" s="1" customFormat="1" ht="27" customHeight="1">
      <c r="B21" s="408"/>
      <c r="C21" s="408"/>
      <c r="F21" s="402"/>
      <c r="H21" s="605" t="s">
        <v>207</v>
      </c>
      <c r="I21" s="1887" t="s">
        <v>299</v>
      </c>
      <c r="J21" s="1888"/>
      <c r="K21" s="1888"/>
      <c r="L21" s="1888"/>
      <c r="M21" s="1888"/>
      <c r="N21" s="1888"/>
      <c r="O21" s="1888"/>
      <c r="P21" s="1888"/>
      <c r="Q21" s="1888"/>
      <c r="R21" s="1889"/>
      <c r="S21" s="1580"/>
      <c r="T21" s="1581"/>
      <c r="U21" s="716" t="s">
        <v>60</v>
      </c>
      <c r="V21" s="1" t="s">
        <v>198</v>
      </c>
      <c r="W21" s="1890" t="s">
        <v>1799</v>
      </c>
      <c r="X21" s="1890"/>
      <c r="Y21" s="1890"/>
      <c r="Z21" s="21"/>
      <c r="AA21" s="655" t="s">
        <v>121</v>
      </c>
      <c r="AB21" s="641" t="s">
        <v>440</v>
      </c>
      <c r="AC21" s="656" t="s">
        <v>121</v>
      </c>
      <c r="AD21" s="729"/>
    </row>
    <row r="22" spans="2:30" s="1" customFormat="1">
      <c r="B22" s="408"/>
      <c r="C22" s="409"/>
      <c r="D22" s="8"/>
      <c r="E22" s="8"/>
      <c r="F22" s="424"/>
      <c r="G22" s="8"/>
      <c r="H22" s="8"/>
      <c r="I22" s="8"/>
      <c r="J22" s="8"/>
      <c r="K22" s="8"/>
      <c r="L22" s="8"/>
      <c r="M22" s="8"/>
      <c r="N22" s="8"/>
      <c r="O22" s="8"/>
      <c r="P22" s="8"/>
      <c r="Q22" s="8"/>
      <c r="R22" s="8"/>
      <c r="S22" s="8"/>
      <c r="T22" s="8"/>
      <c r="U22" s="8"/>
      <c r="V22" s="8"/>
      <c r="W22" s="8"/>
      <c r="X22" s="8"/>
      <c r="Y22" s="8"/>
      <c r="Z22" s="8"/>
      <c r="AA22" s="409"/>
      <c r="AB22" s="8"/>
      <c r="AC22" s="424"/>
      <c r="AD22" s="402"/>
    </row>
    <row r="23" spans="2:30" s="1" customFormat="1">
      <c r="B23" s="40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24"/>
    </row>
    <row r="24" spans="2:30" s="1" customFormat="1" ht="7.5" customHeight="1">
      <c r="B24" s="1597"/>
      <c r="C24" s="1597"/>
      <c r="D24" s="1597"/>
      <c r="E24" s="1597"/>
      <c r="F24" s="1597"/>
      <c r="G24" s="1597"/>
      <c r="H24" s="1597"/>
      <c r="I24" s="1597"/>
      <c r="J24" s="1597"/>
      <c r="K24" s="1597"/>
      <c r="L24" s="1597"/>
      <c r="M24" s="1597"/>
      <c r="N24" s="1597"/>
      <c r="O24" s="1597"/>
      <c r="P24" s="1597"/>
      <c r="Q24" s="1597"/>
      <c r="R24" s="1597"/>
      <c r="S24" s="1597"/>
      <c r="T24" s="1597"/>
      <c r="U24" s="1597"/>
      <c r="V24" s="1597"/>
      <c r="W24" s="1597"/>
      <c r="X24" s="1597"/>
      <c r="Y24" s="1597"/>
      <c r="Z24" s="1597"/>
      <c r="AA24" s="1597"/>
      <c r="AB24" s="1597"/>
      <c r="AC24" s="1597"/>
      <c r="AD24" s="1597"/>
    </row>
    <row r="25" spans="2:30" s="1" customFormat="1" ht="89.25" customHeight="1">
      <c r="B25" s="1576" t="s">
        <v>848</v>
      </c>
      <c r="C25" s="1576"/>
      <c r="D25" s="1704" t="s">
        <v>1800</v>
      </c>
      <c r="E25" s="1704"/>
      <c r="F25" s="1704"/>
      <c r="G25" s="1704"/>
      <c r="H25" s="1704"/>
      <c r="I25" s="1704"/>
      <c r="J25" s="1704"/>
      <c r="K25" s="1704"/>
      <c r="L25" s="1704"/>
      <c r="M25" s="1704"/>
      <c r="N25" s="1704"/>
      <c r="O25" s="1704"/>
      <c r="P25" s="1704"/>
      <c r="Q25" s="1704"/>
      <c r="R25" s="1704"/>
      <c r="S25" s="1704"/>
      <c r="T25" s="1704"/>
      <c r="U25" s="1704"/>
      <c r="V25" s="1704"/>
      <c r="W25" s="1704"/>
      <c r="X25" s="1704"/>
      <c r="Y25" s="1704"/>
      <c r="Z25" s="1704"/>
      <c r="AA25" s="1704"/>
      <c r="AB25" s="1704"/>
      <c r="AC25" s="1704"/>
      <c r="AD25" s="21"/>
    </row>
    <row r="26" spans="2:30" s="1" customFormat="1" ht="43.5" customHeight="1">
      <c r="B26" s="1847" t="s">
        <v>849</v>
      </c>
      <c r="C26" s="1847"/>
      <c r="D26" s="1597" t="s">
        <v>1801</v>
      </c>
      <c r="E26" s="1597"/>
      <c r="F26" s="1597"/>
      <c r="G26" s="1597"/>
      <c r="H26" s="1597"/>
      <c r="I26" s="1597"/>
      <c r="J26" s="1597"/>
      <c r="K26" s="1597"/>
      <c r="L26" s="1597"/>
      <c r="M26" s="1597"/>
      <c r="N26" s="1597"/>
      <c r="O26" s="1597"/>
      <c r="P26" s="1597"/>
      <c r="Q26" s="1597"/>
      <c r="R26" s="1597"/>
      <c r="S26" s="1597"/>
      <c r="T26" s="1597"/>
      <c r="U26" s="1597"/>
      <c r="V26" s="1597"/>
      <c r="W26" s="1597"/>
      <c r="X26" s="1597"/>
      <c r="Y26" s="1597"/>
      <c r="Z26" s="1597"/>
      <c r="AA26" s="1597"/>
      <c r="AB26" s="1597"/>
      <c r="AC26" s="1597"/>
      <c r="AD26" s="406"/>
    </row>
    <row r="27" spans="2:30" s="1" customFormat="1" ht="50.25" customHeight="1">
      <c r="B27" s="1597" t="s">
        <v>1802</v>
      </c>
      <c r="C27" s="1597"/>
      <c r="D27" s="1597"/>
      <c r="E27" s="1597"/>
      <c r="F27" s="1597"/>
      <c r="G27" s="1597"/>
      <c r="H27" s="1597"/>
      <c r="I27" s="1597"/>
      <c r="J27" s="1597"/>
      <c r="K27" s="1597"/>
      <c r="L27" s="1597"/>
      <c r="M27" s="1597"/>
      <c r="N27" s="1597"/>
      <c r="O27" s="1597"/>
      <c r="P27" s="1597"/>
      <c r="Q27" s="1597"/>
      <c r="R27" s="1597"/>
      <c r="S27" s="1597"/>
      <c r="T27" s="1597"/>
      <c r="U27" s="1597"/>
      <c r="V27" s="1597"/>
      <c r="W27" s="1597"/>
      <c r="X27" s="1597"/>
      <c r="Y27" s="1597"/>
      <c r="Z27" s="1597"/>
      <c r="AA27" s="1597"/>
      <c r="AB27" s="1597"/>
      <c r="AC27" s="1597"/>
      <c r="AD27" s="1597"/>
    </row>
    <row r="28" spans="2:30" s="1" customFormat="1">
      <c r="B28" s="1597"/>
      <c r="C28" s="1597"/>
      <c r="D28" s="1597"/>
      <c r="E28" s="1597"/>
      <c r="F28" s="1597"/>
      <c r="G28" s="1597"/>
      <c r="H28" s="1597"/>
      <c r="I28" s="1597"/>
      <c r="J28" s="1597"/>
      <c r="K28" s="1597"/>
      <c r="L28" s="1597"/>
      <c r="M28" s="1597"/>
      <c r="N28" s="1597"/>
      <c r="O28" s="1597"/>
      <c r="P28" s="1597"/>
      <c r="Q28" s="1597"/>
      <c r="R28" s="1597"/>
      <c r="S28" s="1597"/>
      <c r="T28" s="1597"/>
      <c r="U28" s="1597"/>
      <c r="V28" s="1597"/>
      <c r="W28" s="1597"/>
      <c r="X28" s="1597"/>
      <c r="Y28" s="1597"/>
      <c r="Z28" s="1597"/>
      <c r="AA28" s="1597"/>
      <c r="AB28" s="1597"/>
      <c r="AC28" s="1597"/>
      <c r="AD28" s="1597"/>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61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c r="B33" s="61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c r="B34" s="61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c r="B35" s="61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c r="B36" s="61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c r="B37" s="61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3"/>
  <dataValidations count="1">
    <dataValidation type="list" allowBlank="1" showInputMessage="1" showErrorMessage="1" sqref="H8:H9 JD8:JD9 SZ8:SZ9 ACV8:ACV9 AMR8:AMR9 AWN8:AWN9 BGJ8:BGJ9 BQF8:BQF9 CAB8:CAB9 CJX8:CJX9 CTT8:CTT9 DDP8:DDP9 DNL8:DNL9 DXH8:DXH9 EHD8:EHD9 EQZ8:EQZ9 FAV8:FAV9 FKR8:FKR9 FUN8:FUN9 GEJ8:GEJ9 GOF8:GOF9 GYB8:GYB9 HHX8:HHX9 HRT8:HRT9 IBP8:IBP9 ILL8:ILL9 IVH8:IVH9 JFD8:JFD9 JOZ8:JOZ9 JYV8:JYV9 KIR8:KIR9 KSN8:KSN9 LCJ8:LCJ9 LMF8:LMF9 LWB8:LWB9 MFX8:MFX9 MPT8:MPT9 MZP8:MZP9 NJL8:NJL9 NTH8:NTH9 ODD8:ODD9 OMZ8:OMZ9 OWV8:OWV9 PGR8:PGR9 PQN8:PQN9 QAJ8:QAJ9 QKF8:QKF9 QUB8:QUB9 RDX8:RDX9 RNT8:RNT9 RXP8:RXP9 SHL8:SHL9 SRH8:SRH9 TBD8:TBD9 TKZ8:TKZ9 TUV8:TUV9 UER8:UER9 UON8:UON9 UYJ8:UYJ9 VIF8:VIF9 VSB8:VSB9 WBX8:WBX9 WLT8:WLT9 WVP8:WVP9 H65544:H65545 JD65544:JD65545 SZ65544:SZ65545 ACV65544:ACV65545 AMR65544:AMR65545 AWN65544:AWN65545 BGJ65544:BGJ65545 BQF65544:BQF65545 CAB65544:CAB65545 CJX65544:CJX65545 CTT65544:CTT65545 DDP65544:DDP65545 DNL65544:DNL65545 DXH65544:DXH65545 EHD65544:EHD65545 EQZ65544:EQZ65545 FAV65544:FAV65545 FKR65544:FKR65545 FUN65544:FUN65545 GEJ65544:GEJ65545 GOF65544:GOF65545 GYB65544:GYB65545 HHX65544:HHX65545 HRT65544:HRT65545 IBP65544:IBP65545 ILL65544:ILL65545 IVH65544:IVH65545 JFD65544:JFD65545 JOZ65544:JOZ65545 JYV65544:JYV65545 KIR65544:KIR65545 KSN65544:KSN65545 LCJ65544:LCJ65545 LMF65544:LMF65545 LWB65544:LWB65545 MFX65544:MFX65545 MPT65544:MPT65545 MZP65544:MZP65545 NJL65544:NJL65545 NTH65544:NTH65545 ODD65544:ODD65545 OMZ65544:OMZ65545 OWV65544:OWV65545 PGR65544:PGR65545 PQN65544:PQN65545 QAJ65544:QAJ65545 QKF65544:QKF65545 QUB65544:QUB65545 RDX65544:RDX65545 RNT65544:RNT65545 RXP65544:RXP65545 SHL65544:SHL65545 SRH65544:SRH65545 TBD65544:TBD65545 TKZ65544:TKZ65545 TUV65544:TUV65545 UER65544:UER65545 UON65544:UON65545 UYJ65544:UYJ65545 VIF65544:VIF65545 VSB65544:VSB65545 WBX65544:WBX65545 WLT65544:WLT65545 WVP65544:WVP65545 H131080:H131081 JD131080:JD131081 SZ131080:SZ131081 ACV131080:ACV131081 AMR131080:AMR131081 AWN131080:AWN131081 BGJ131080:BGJ131081 BQF131080:BQF131081 CAB131080:CAB131081 CJX131080:CJX131081 CTT131080:CTT131081 DDP131080:DDP131081 DNL131080:DNL131081 DXH131080:DXH131081 EHD131080:EHD131081 EQZ131080:EQZ131081 FAV131080:FAV131081 FKR131080:FKR131081 FUN131080:FUN131081 GEJ131080:GEJ131081 GOF131080:GOF131081 GYB131080:GYB131081 HHX131080:HHX131081 HRT131080:HRT131081 IBP131080:IBP131081 ILL131080:ILL131081 IVH131080:IVH131081 JFD131080:JFD131081 JOZ131080:JOZ131081 JYV131080:JYV131081 KIR131080:KIR131081 KSN131080:KSN131081 LCJ131080:LCJ131081 LMF131080:LMF131081 LWB131080:LWB131081 MFX131080:MFX131081 MPT131080:MPT131081 MZP131080:MZP131081 NJL131080:NJL131081 NTH131080:NTH131081 ODD131080:ODD131081 OMZ131080:OMZ131081 OWV131080:OWV131081 PGR131080:PGR131081 PQN131080:PQN131081 QAJ131080:QAJ131081 QKF131080:QKF131081 QUB131080:QUB131081 RDX131080:RDX131081 RNT131080:RNT131081 RXP131080:RXP131081 SHL131080:SHL131081 SRH131080:SRH131081 TBD131080:TBD131081 TKZ131080:TKZ131081 TUV131080:TUV131081 UER131080:UER131081 UON131080:UON131081 UYJ131080:UYJ131081 VIF131080:VIF131081 VSB131080:VSB131081 WBX131080:WBX131081 WLT131080:WLT131081 WVP131080:WVP131081 H196616:H196617 JD196616:JD196617 SZ196616:SZ196617 ACV196616:ACV196617 AMR196616:AMR196617 AWN196616:AWN196617 BGJ196616:BGJ196617 BQF196616:BQF196617 CAB196616:CAB196617 CJX196616:CJX196617 CTT196616:CTT196617 DDP196616:DDP196617 DNL196616:DNL196617 DXH196616:DXH196617 EHD196616:EHD196617 EQZ196616:EQZ196617 FAV196616:FAV196617 FKR196616:FKR196617 FUN196616:FUN196617 GEJ196616:GEJ196617 GOF196616:GOF196617 GYB196616:GYB196617 HHX196616:HHX196617 HRT196616:HRT196617 IBP196616:IBP196617 ILL196616:ILL196617 IVH196616:IVH196617 JFD196616:JFD196617 JOZ196616:JOZ196617 JYV196616:JYV196617 KIR196616:KIR196617 KSN196616:KSN196617 LCJ196616:LCJ196617 LMF196616:LMF196617 LWB196616:LWB196617 MFX196616:MFX196617 MPT196616:MPT196617 MZP196616:MZP196617 NJL196616:NJL196617 NTH196616:NTH196617 ODD196616:ODD196617 OMZ196616:OMZ196617 OWV196616:OWV196617 PGR196616:PGR196617 PQN196616:PQN196617 QAJ196616:QAJ196617 QKF196616:QKF196617 QUB196616:QUB196617 RDX196616:RDX196617 RNT196616:RNT196617 RXP196616:RXP196617 SHL196616:SHL196617 SRH196616:SRH196617 TBD196616:TBD196617 TKZ196616:TKZ196617 TUV196616:TUV196617 UER196616:UER196617 UON196616:UON196617 UYJ196616:UYJ196617 VIF196616:VIF196617 VSB196616:VSB196617 WBX196616:WBX196617 WLT196616:WLT196617 WVP196616:WVP196617 H262152:H262153 JD262152:JD262153 SZ262152:SZ262153 ACV262152:ACV262153 AMR262152:AMR262153 AWN262152:AWN262153 BGJ262152:BGJ262153 BQF262152:BQF262153 CAB262152:CAB262153 CJX262152:CJX262153 CTT262152:CTT262153 DDP262152:DDP262153 DNL262152:DNL262153 DXH262152:DXH262153 EHD262152:EHD262153 EQZ262152:EQZ262153 FAV262152:FAV262153 FKR262152:FKR262153 FUN262152:FUN262153 GEJ262152:GEJ262153 GOF262152:GOF262153 GYB262152:GYB262153 HHX262152:HHX262153 HRT262152:HRT262153 IBP262152:IBP262153 ILL262152:ILL262153 IVH262152:IVH262153 JFD262152:JFD262153 JOZ262152:JOZ262153 JYV262152:JYV262153 KIR262152:KIR262153 KSN262152:KSN262153 LCJ262152:LCJ262153 LMF262152:LMF262153 LWB262152:LWB262153 MFX262152:MFX262153 MPT262152:MPT262153 MZP262152:MZP262153 NJL262152:NJL262153 NTH262152:NTH262153 ODD262152:ODD262153 OMZ262152:OMZ262153 OWV262152:OWV262153 PGR262152:PGR262153 PQN262152:PQN262153 QAJ262152:QAJ262153 QKF262152:QKF262153 QUB262152:QUB262153 RDX262152:RDX262153 RNT262152:RNT262153 RXP262152:RXP262153 SHL262152:SHL262153 SRH262152:SRH262153 TBD262152:TBD262153 TKZ262152:TKZ262153 TUV262152:TUV262153 UER262152:UER262153 UON262152:UON262153 UYJ262152:UYJ262153 VIF262152:VIF262153 VSB262152:VSB262153 WBX262152:WBX262153 WLT262152:WLT262153 WVP262152:WVP262153 H327688:H327689 JD327688:JD327689 SZ327688:SZ327689 ACV327688:ACV327689 AMR327688:AMR327689 AWN327688:AWN327689 BGJ327688:BGJ327689 BQF327688:BQF327689 CAB327688:CAB327689 CJX327688:CJX327689 CTT327688:CTT327689 DDP327688:DDP327689 DNL327688:DNL327689 DXH327688:DXH327689 EHD327688:EHD327689 EQZ327688:EQZ327689 FAV327688:FAV327689 FKR327688:FKR327689 FUN327688:FUN327689 GEJ327688:GEJ327689 GOF327688:GOF327689 GYB327688:GYB327689 HHX327688:HHX327689 HRT327688:HRT327689 IBP327688:IBP327689 ILL327688:ILL327689 IVH327688:IVH327689 JFD327688:JFD327689 JOZ327688:JOZ327689 JYV327688:JYV327689 KIR327688:KIR327689 KSN327688:KSN327689 LCJ327688:LCJ327689 LMF327688:LMF327689 LWB327688:LWB327689 MFX327688:MFX327689 MPT327688:MPT327689 MZP327688:MZP327689 NJL327688:NJL327689 NTH327688:NTH327689 ODD327688:ODD327689 OMZ327688:OMZ327689 OWV327688:OWV327689 PGR327688:PGR327689 PQN327688:PQN327689 QAJ327688:QAJ327689 QKF327688:QKF327689 QUB327688:QUB327689 RDX327688:RDX327689 RNT327688:RNT327689 RXP327688:RXP327689 SHL327688:SHL327689 SRH327688:SRH327689 TBD327688:TBD327689 TKZ327688:TKZ327689 TUV327688:TUV327689 UER327688:UER327689 UON327688:UON327689 UYJ327688:UYJ327689 VIF327688:VIF327689 VSB327688:VSB327689 WBX327688:WBX327689 WLT327688:WLT327689 WVP327688:WVP327689 H393224:H393225 JD393224:JD393225 SZ393224:SZ393225 ACV393224:ACV393225 AMR393224:AMR393225 AWN393224:AWN393225 BGJ393224:BGJ393225 BQF393224:BQF393225 CAB393224:CAB393225 CJX393224:CJX393225 CTT393224:CTT393225 DDP393224:DDP393225 DNL393224:DNL393225 DXH393224:DXH393225 EHD393224:EHD393225 EQZ393224:EQZ393225 FAV393224:FAV393225 FKR393224:FKR393225 FUN393224:FUN393225 GEJ393224:GEJ393225 GOF393224:GOF393225 GYB393224:GYB393225 HHX393224:HHX393225 HRT393224:HRT393225 IBP393224:IBP393225 ILL393224:ILL393225 IVH393224:IVH393225 JFD393224:JFD393225 JOZ393224:JOZ393225 JYV393224:JYV393225 KIR393224:KIR393225 KSN393224:KSN393225 LCJ393224:LCJ393225 LMF393224:LMF393225 LWB393224:LWB393225 MFX393224:MFX393225 MPT393224:MPT393225 MZP393224:MZP393225 NJL393224:NJL393225 NTH393224:NTH393225 ODD393224:ODD393225 OMZ393224:OMZ393225 OWV393224:OWV393225 PGR393224:PGR393225 PQN393224:PQN393225 QAJ393224:QAJ393225 QKF393224:QKF393225 QUB393224:QUB393225 RDX393224:RDX393225 RNT393224:RNT393225 RXP393224:RXP393225 SHL393224:SHL393225 SRH393224:SRH393225 TBD393224:TBD393225 TKZ393224:TKZ393225 TUV393224:TUV393225 UER393224:UER393225 UON393224:UON393225 UYJ393224:UYJ393225 VIF393224:VIF393225 VSB393224:VSB393225 WBX393224:WBX393225 WLT393224:WLT393225 WVP393224:WVP393225 H458760:H458761 JD458760:JD458761 SZ458760:SZ458761 ACV458760:ACV458761 AMR458760:AMR458761 AWN458760:AWN458761 BGJ458760:BGJ458761 BQF458760:BQF458761 CAB458760:CAB458761 CJX458760:CJX458761 CTT458760:CTT458761 DDP458760:DDP458761 DNL458760:DNL458761 DXH458760:DXH458761 EHD458760:EHD458761 EQZ458760:EQZ458761 FAV458760:FAV458761 FKR458760:FKR458761 FUN458760:FUN458761 GEJ458760:GEJ458761 GOF458760:GOF458761 GYB458760:GYB458761 HHX458760:HHX458761 HRT458760:HRT458761 IBP458760:IBP458761 ILL458760:ILL458761 IVH458760:IVH458761 JFD458760:JFD458761 JOZ458760:JOZ458761 JYV458760:JYV458761 KIR458760:KIR458761 KSN458760:KSN458761 LCJ458760:LCJ458761 LMF458760:LMF458761 LWB458760:LWB458761 MFX458760:MFX458761 MPT458760:MPT458761 MZP458760:MZP458761 NJL458760:NJL458761 NTH458760:NTH458761 ODD458760:ODD458761 OMZ458760:OMZ458761 OWV458760:OWV458761 PGR458760:PGR458761 PQN458760:PQN458761 QAJ458760:QAJ458761 QKF458760:QKF458761 QUB458760:QUB458761 RDX458760:RDX458761 RNT458760:RNT458761 RXP458760:RXP458761 SHL458760:SHL458761 SRH458760:SRH458761 TBD458760:TBD458761 TKZ458760:TKZ458761 TUV458760:TUV458761 UER458760:UER458761 UON458760:UON458761 UYJ458760:UYJ458761 VIF458760:VIF458761 VSB458760:VSB458761 WBX458760:WBX458761 WLT458760:WLT458761 WVP458760:WVP458761 H524296:H524297 JD524296:JD524297 SZ524296:SZ524297 ACV524296:ACV524297 AMR524296:AMR524297 AWN524296:AWN524297 BGJ524296:BGJ524297 BQF524296:BQF524297 CAB524296:CAB524297 CJX524296:CJX524297 CTT524296:CTT524297 DDP524296:DDP524297 DNL524296:DNL524297 DXH524296:DXH524297 EHD524296:EHD524297 EQZ524296:EQZ524297 FAV524296:FAV524297 FKR524296:FKR524297 FUN524296:FUN524297 GEJ524296:GEJ524297 GOF524296:GOF524297 GYB524296:GYB524297 HHX524296:HHX524297 HRT524296:HRT524297 IBP524296:IBP524297 ILL524296:ILL524297 IVH524296:IVH524297 JFD524296:JFD524297 JOZ524296:JOZ524297 JYV524296:JYV524297 KIR524296:KIR524297 KSN524296:KSN524297 LCJ524296:LCJ524297 LMF524296:LMF524297 LWB524296:LWB524297 MFX524296:MFX524297 MPT524296:MPT524297 MZP524296:MZP524297 NJL524296:NJL524297 NTH524296:NTH524297 ODD524296:ODD524297 OMZ524296:OMZ524297 OWV524296:OWV524297 PGR524296:PGR524297 PQN524296:PQN524297 QAJ524296:QAJ524297 QKF524296:QKF524297 QUB524296:QUB524297 RDX524296:RDX524297 RNT524296:RNT524297 RXP524296:RXP524297 SHL524296:SHL524297 SRH524296:SRH524297 TBD524296:TBD524297 TKZ524296:TKZ524297 TUV524296:TUV524297 UER524296:UER524297 UON524296:UON524297 UYJ524296:UYJ524297 VIF524296:VIF524297 VSB524296:VSB524297 WBX524296:WBX524297 WLT524296:WLT524297 WVP524296:WVP524297 H589832:H589833 JD589832:JD589833 SZ589832:SZ589833 ACV589832:ACV589833 AMR589832:AMR589833 AWN589832:AWN589833 BGJ589832:BGJ589833 BQF589832:BQF589833 CAB589832:CAB589833 CJX589832:CJX589833 CTT589832:CTT589833 DDP589832:DDP589833 DNL589832:DNL589833 DXH589832:DXH589833 EHD589832:EHD589833 EQZ589832:EQZ589833 FAV589832:FAV589833 FKR589832:FKR589833 FUN589832:FUN589833 GEJ589832:GEJ589833 GOF589832:GOF589833 GYB589832:GYB589833 HHX589832:HHX589833 HRT589832:HRT589833 IBP589832:IBP589833 ILL589832:ILL589833 IVH589832:IVH589833 JFD589832:JFD589833 JOZ589832:JOZ589833 JYV589832:JYV589833 KIR589832:KIR589833 KSN589832:KSN589833 LCJ589832:LCJ589833 LMF589832:LMF589833 LWB589832:LWB589833 MFX589832:MFX589833 MPT589832:MPT589833 MZP589832:MZP589833 NJL589832:NJL589833 NTH589832:NTH589833 ODD589832:ODD589833 OMZ589832:OMZ589833 OWV589832:OWV589833 PGR589832:PGR589833 PQN589832:PQN589833 QAJ589832:QAJ589833 QKF589832:QKF589833 QUB589832:QUB589833 RDX589832:RDX589833 RNT589832:RNT589833 RXP589832:RXP589833 SHL589832:SHL589833 SRH589832:SRH589833 TBD589832:TBD589833 TKZ589832:TKZ589833 TUV589832:TUV589833 UER589832:UER589833 UON589832:UON589833 UYJ589832:UYJ589833 VIF589832:VIF589833 VSB589832:VSB589833 WBX589832:WBX589833 WLT589832:WLT589833 WVP589832:WVP589833 H655368:H655369 JD655368:JD655369 SZ655368:SZ655369 ACV655368:ACV655369 AMR655368:AMR655369 AWN655368:AWN655369 BGJ655368:BGJ655369 BQF655368:BQF655369 CAB655368:CAB655369 CJX655368:CJX655369 CTT655368:CTT655369 DDP655368:DDP655369 DNL655368:DNL655369 DXH655368:DXH655369 EHD655368:EHD655369 EQZ655368:EQZ655369 FAV655368:FAV655369 FKR655368:FKR655369 FUN655368:FUN655369 GEJ655368:GEJ655369 GOF655368:GOF655369 GYB655368:GYB655369 HHX655368:HHX655369 HRT655368:HRT655369 IBP655368:IBP655369 ILL655368:ILL655369 IVH655368:IVH655369 JFD655368:JFD655369 JOZ655368:JOZ655369 JYV655368:JYV655369 KIR655368:KIR655369 KSN655368:KSN655369 LCJ655368:LCJ655369 LMF655368:LMF655369 LWB655368:LWB655369 MFX655368:MFX655369 MPT655368:MPT655369 MZP655368:MZP655369 NJL655368:NJL655369 NTH655368:NTH655369 ODD655368:ODD655369 OMZ655368:OMZ655369 OWV655368:OWV655369 PGR655368:PGR655369 PQN655368:PQN655369 QAJ655368:QAJ655369 QKF655368:QKF655369 QUB655368:QUB655369 RDX655368:RDX655369 RNT655368:RNT655369 RXP655368:RXP655369 SHL655368:SHL655369 SRH655368:SRH655369 TBD655368:TBD655369 TKZ655368:TKZ655369 TUV655368:TUV655369 UER655368:UER655369 UON655368:UON655369 UYJ655368:UYJ655369 VIF655368:VIF655369 VSB655368:VSB655369 WBX655368:WBX655369 WLT655368:WLT655369 WVP655368:WVP655369 H720904:H720905 JD720904:JD720905 SZ720904:SZ720905 ACV720904:ACV720905 AMR720904:AMR720905 AWN720904:AWN720905 BGJ720904:BGJ720905 BQF720904:BQF720905 CAB720904:CAB720905 CJX720904:CJX720905 CTT720904:CTT720905 DDP720904:DDP720905 DNL720904:DNL720905 DXH720904:DXH720905 EHD720904:EHD720905 EQZ720904:EQZ720905 FAV720904:FAV720905 FKR720904:FKR720905 FUN720904:FUN720905 GEJ720904:GEJ720905 GOF720904:GOF720905 GYB720904:GYB720905 HHX720904:HHX720905 HRT720904:HRT720905 IBP720904:IBP720905 ILL720904:ILL720905 IVH720904:IVH720905 JFD720904:JFD720905 JOZ720904:JOZ720905 JYV720904:JYV720905 KIR720904:KIR720905 KSN720904:KSN720905 LCJ720904:LCJ720905 LMF720904:LMF720905 LWB720904:LWB720905 MFX720904:MFX720905 MPT720904:MPT720905 MZP720904:MZP720905 NJL720904:NJL720905 NTH720904:NTH720905 ODD720904:ODD720905 OMZ720904:OMZ720905 OWV720904:OWV720905 PGR720904:PGR720905 PQN720904:PQN720905 QAJ720904:QAJ720905 QKF720904:QKF720905 QUB720904:QUB720905 RDX720904:RDX720905 RNT720904:RNT720905 RXP720904:RXP720905 SHL720904:SHL720905 SRH720904:SRH720905 TBD720904:TBD720905 TKZ720904:TKZ720905 TUV720904:TUV720905 UER720904:UER720905 UON720904:UON720905 UYJ720904:UYJ720905 VIF720904:VIF720905 VSB720904:VSB720905 WBX720904:WBX720905 WLT720904:WLT720905 WVP720904:WVP720905 H786440:H786441 JD786440:JD786441 SZ786440:SZ786441 ACV786440:ACV786441 AMR786440:AMR786441 AWN786440:AWN786441 BGJ786440:BGJ786441 BQF786440:BQF786441 CAB786440:CAB786441 CJX786440:CJX786441 CTT786440:CTT786441 DDP786440:DDP786441 DNL786440:DNL786441 DXH786440:DXH786441 EHD786440:EHD786441 EQZ786440:EQZ786441 FAV786440:FAV786441 FKR786440:FKR786441 FUN786440:FUN786441 GEJ786440:GEJ786441 GOF786440:GOF786441 GYB786440:GYB786441 HHX786440:HHX786441 HRT786440:HRT786441 IBP786440:IBP786441 ILL786440:ILL786441 IVH786440:IVH786441 JFD786440:JFD786441 JOZ786440:JOZ786441 JYV786440:JYV786441 KIR786440:KIR786441 KSN786440:KSN786441 LCJ786440:LCJ786441 LMF786440:LMF786441 LWB786440:LWB786441 MFX786440:MFX786441 MPT786440:MPT786441 MZP786440:MZP786441 NJL786440:NJL786441 NTH786440:NTH786441 ODD786440:ODD786441 OMZ786440:OMZ786441 OWV786440:OWV786441 PGR786440:PGR786441 PQN786440:PQN786441 QAJ786440:QAJ786441 QKF786440:QKF786441 QUB786440:QUB786441 RDX786440:RDX786441 RNT786440:RNT786441 RXP786440:RXP786441 SHL786440:SHL786441 SRH786440:SRH786441 TBD786440:TBD786441 TKZ786440:TKZ786441 TUV786440:TUV786441 UER786440:UER786441 UON786440:UON786441 UYJ786440:UYJ786441 VIF786440:VIF786441 VSB786440:VSB786441 WBX786440:WBX786441 WLT786440:WLT786441 WVP786440:WVP786441 H851976:H851977 JD851976:JD851977 SZ851976:SZ851977 ACV851976:ACV851977 AMR851976:AMR851977 AWN851976:AWN851977 BGJ851976:BGJ851977 BQF851976:BQF851977 CAB851976:CAB851977 CJX851976:CJX851977 CTT851976:CTT851977 DDP851976:DDP851977 DNL851976:DNL851977 DXH851976:DXH851977 EHD851976:EHD851977 EQZ851976:EQZ851977 FAV851976:FAV851977 FKR851976:FKR851977 FUN851976:FUN851977 GEJ851976:GEJ851977 GOF851976:GOF851977 GYB851976:GYB851977 HHX851976:HHX851977 HRT851976:HRT851977 IBP851976:IBP851977 ILL851976:ILL851977 IVH851976:IVH851977 JFD851976:JFD851977 JOZ851976:JOZ851977 JYV851976:JYV851977 KIR851976:KIR851977 KSN851976:KSN851977 LCJ851976:LCJ851977 LMF851976:LMF851977 LWB851976:LWB851977 MFX851976:MFX851977 MPT851976:MPT851977 MZP851976:MZP851977 NJL851976:NJL851977 NTH851976:NTH851977 ODD851976:ODD851977 OMZ851976:OMZ851977 OWV851976:OWV851977 PGR851976:PGR851977 PQN851976:PQN851977 QAJ851976:QAJ851977 QKF851976:QKF851977 QUB851976:QUB851977 RDX851976:RDX851977 RNT851976:RNT851977 RXP851976:RXP851977 SHL851976:SHL851977 SRH851976:SRH851977 TBD851976:TBD851977 TKZ851976:TKZ851977 TUV851976:TUV851977 UER851976:UER851977 UON851976:UON851977 UYJ851976:UYJ851977 VIF851976:VIF851977 VSB851976:VSB851977 WBX851976:WBX851977 WLT851976:WLT851977 WVP851976:WVP851977 H917512:H917513 JD917512:JD917513 SZ917512:SZ917513 ACV917512:ACV917513 AMR917512:AMR917513 AWN917512:AWN917513 BGJ917512:BGJ917513 BQF917512:BQF917513 CAB917512:CAB917513 CJX917512:CJX917513 CTT917512:CTT917513 DDP917512:DDP917513 DNL917512:DNL917513 DXH917512:DXH917513 EHD917512:EHD917513 EQZ917512:EQZ917513 FAV917512:FAV917513 FKR917512:FKR917513 FUN917512:FUN917513 GEJ917512:GEJ917513 GOF917512:GOF917513 GYB917512:GYB917513 HHX917512:HHX917513 HRT917512:HRT917513 IBP917512:IBP917513 ILL917512:ILL917513 IVH917512:IVH917513 JFD917512:JFD917513 JOZ917512:JOZ917513 JYV917512:JYV917513 KIR917512:KIR917513 KSN917512:KSN917513 LCJ917512:LCJ917513 LMF917512:LMF917513 LWB917512:LWB917513 MFX917512:MFX917513 MPT917512:MPT917513 MZP917512:MZP917513 NJL917512:NJL917513 NTH917512:NTH917513 ODD917512:ODD917513 OMZ917512:OMZ917513 OWV917512:OWV917513 PGR917512:PGR917513 PQN917512:PQN917513 QAJ917512:QAJ917513 QKF917512:QKF917513 QUB917512:QUB917513 RDX917512:RDX917513 RNT917512:RNT917513 RXP917512:RXP917513 SHL917512:SHL917513 SRH917512:SRH917513 TBD917512:TBD917513 TKZ917512:TKZ917513 TUV917512:TUV917513 UER917512:UER917513 UON917512:UON917513 UYJ917512:UYJ917513 VIF917512:VIF917513 VSB917512:VSB917513 WBX917512:WBX917513 WLT917512:WLT917513 WVP917512:WVP917513 H983048:H983049 JD983048:JD983049 SZ983048:SZ983049 ACV983048:ACV983049 AMR983048:AMR983049 AWN983048:AWN983049 BGJ983048:BGJ983049 BQF983048:BQF983049 CAB983048:CAB983049 CJX983048:CJX983049 CTT983048:CTT983049 DDP983048:DDP983049 DNL983048:DNL983049 DXH983048:DXH983049 EHD983048:EHD983049 EQZ983048:EQZ983049 FAV983048:FAV983049 FKR983048:FKR983049 FUN983048:FUN983049 GEJ983048:GEJ983049 GOF983048:GOF983049 GYB983048:GYB983049 HHX983048:HHX983049 HRT983048:HRT983049 IBP983048:IBP983049 ILL983048:ILL983049 IVH983048:IVH983049 JFD983048:JFD983049 JOZ983048:JOZ983049 JYV983048:JYV983049 KIR983048:KIR983049 KSN983048:KSN983049 LCJ983048:LCJ983049 LMF983048:LMF983049 LWB983048:LWB983049 MFX983048:MFX983049 MPT983048:MPT983049 MZP983048:MZP983049 NJL983048:NJL983049 NTH983048:NTH983049 ODD983048:ODD983049 OMZ983048:OMZ983049 OWV983048:OWV983049 PGR983048:PGR983049 PQN983048:PQN983049 QAJ983048:QAJ983049 QKF983048:QKF983049 QUB983048:QUB983049 RDX983048:RDX983049 RNT983048:RNT983049 RXP983048:RXP983049 SHL983048:SHL983049 SRH983048:SRH983049 TBD983048:TBD983049 TKZ983048:TKZ983049 TUV983048:TUV983049 UER983048:UER983049 UON983048:UON983049 UYJ983048:UYJ983049 VIF983048:VIF983049 VSB983048:VSB983049 WBX983048:WBX983049 WLT983048:WLT983049 WVP983048:WVP983049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AA15 JW15 TS15 ADO15 ANK15 AXG15 BHC15 BQY15 CAU15 CKQ15 CUM15 DEI15 DOE15 DYA15 EHW15 ERS15 FBO15 FLK15 FVG15 GFC15 GOY15 GYU15 HIQ15 HSM15 ICI15 IME15 IWA15 JFW15 JPS15 JZO15 KJK15 KTG15 LDC15 LMY15 LWU15 MGQ15 MQM15 NAI15 NKE15 NUA15 ODW15 ONS15 OXO15 PHK15 PRG15 QBC15 QKY15 QUU15 REQ15 ROM15 RYI15 SIE15 SSA15 TBW15 TLS15 TVO15 UFK15 UPG15 UZC15 VIY15 VSU15 WCQ15 WMM15 WWI15 AA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AA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AA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AA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AA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AA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AA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AA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AA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AA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AA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AA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AA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AA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AA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AC15 JY15 TU15 ADQ15 ANM15 AXI15 BHE15 BRA15 CAW15 CKS15 CUO15 DEK15 DOG15 DYC15 EHY15 ERU15 FBQ15 FLM15 FVI15 GFE15 GPA15 GYW15 HIS15 HSO15 ICK15 IMG15 IWC15 JFY15 JPU15 JZQ15 KJM15 KTI15 LDE15 LNA15 LWW15 MGS15 MQO15 NAK15 NKG15 NUC15 ODY15 ONU15 OXQ15 PHM15 PRI15 QBE15 QLA15 QUW15 RES15 ROO15 RYK15 SIG15 SSC15 TBY15 TLU15 TVQ15 UFM15 UPI15 UZE15 VJA15 VSW15 WCS15 WMO15 WWK15 AC65551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C131087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C196623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C262159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C327695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C393231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C458767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C524303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C589839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C655375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C720911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C786447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C851983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C917519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C983055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WWK983055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xr:uid="{86915C55-D960-4E18-9651-BB52764C152E}">
      <formula1>"□,■"</formula1>
    </dataValidation>
  </dataValidations>
  <printOptions horizontalCentered="1"/>
  <pageMargins left="0.70866141732283472" right="0.39370078740157483" top="0.51181102362204722" bottom="0.35433070866141736" header="0.31496062992125984" footer="0.31496062992125984"/>
  <pageSetup paperSize="9" scale="8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28EC-03AA-4254-96D5-227D5BC448F6}">
  <sheetPr>
    <tabColor rgb="FFFFFF00"/>
    <pageSetUpPr fitToPage="1"/>
  </sheetPr>
  <dimension ref="B2:AD123"/>
  <sheetViews>
    <sheetView view="pageBreakPreview" zoomScaleNormal="100" zoomScaleSheetLayoutView="100" workbookViewId="0"/>
  </sheetViews>
  <sheetFormatPr defaultColWidth="4" defaultRowHeight="13.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c r="B2" s="1" t="s">
        <v>1685</v>
      </c>
      <c r="C2"/>
      <c r="D2"/>
      <c r="E2"/>
      <c r="F2"/>
      <c r="G2"/>
      <c r="H2"/>
      <c r="I2"/>
      <c r="J2"/>
      <c r="K2"/>
      <c r="L2"/>
      <c r="M2"/>
      <c r="N2"/>
      <c r="O2"/>
      <c r="P2"/>
      <c r="Q2"/>
      <c r="R2"/>
      <c r="S2"/>
      <c r="T2"/>
      <c r="U2"/>
      <c r="V2"/>
      <c r="W2"/>
      <c r="X2"/>
      <c r="Y2"/>
    </row>
    <row r="4" spans="2:30" ht="34.5" customHeight="1">
      <c r="B4" s="1904" t="s">
        <v>1106</v>
      </c>
      <c r="C4" s="1575"/>
      <c r="D4" s="1575"/>
      <c r="E4" s="1575"/>
      <c r="F4" s="1575"/>
      <c r="G4" s="1575"/>
      <c r="H4" s="1575"/>
      <c r="I4" s="1575"/>
      <c r="J4" s="1575"/>
      <c r="K4" s="1575"/>
      <c r="L4" s="1575"/>
      <c r="M4" s="1575"/>
      <c r="N4" s="1575"/>
      <c r="O4" s="1575"/>
      <c r="P4" s="1575"/>
      <c r="Q4" s="1575"/>
      <c r="R4" s="1575"/>
      <c r="S4" s="1575"/>
      <c r="T4" s="1575"/>
      <c r="U4" s="1575"/>
      <c r="V4" s="1575"/>
      <c r="W4" s="1575"/>
      <c r="X4" s="1575"/>
      <c r="Y4" s="1575"/>
    </row>
    <row r="5" spans="2:30" ht="13.5" customHeight="1"/>
    <row r="6" spans="2:30" ht="24" customHeight="1">
      <c r="B6" s="1794" t="s">
        <v>1172</v>
      </c>
      <c r="C6" s="1794"/>
      <c r="D6" s="1794"/>
      <c r="E6" s="1794"/>
      <c r="F6" s="1794"/>
      <c r="G6" s="1789"/>
      <c r="H6" s="1790"/>
      <c r="I6" s="1790"/>
      <c r="J6" s="1790"/>
      <c r="K6" s="1790"/>
      <c r="L6" s="1790"/>
      <c r="M6" s="1790"/>
      <c r="N6" s="1790"/>
      <c r="O6" s="1790"/>
      <c r="P6" s="1790"/>
      <c r="Q6" s="1790"/>
      <c r="R6" s="1790"/>
      <c r="S6" s="1790"/>
      <c r="T6" s="1790"/>
      <c r="U6" s="1790"/>
      <c r="V6" s="1790"/>
      <c r="W6" s="1790"/>
      <c r="X6" s="1790"/>
      <c r="Y6" s="1791"/>
    </row>
    <row r="7" spans="2:30" ht="24" customHeight="1">
      <c r="B7" s="1794" t="s">
        <v>1110</v>
      </c>
      <c r="C7" s="1794"/>
      <c r="D7" s="1794"/>
      <c r="E7" s="1794"/>
      <c r="F7" s="1794"/>
      <c r="G7" s="664" t="s">
        <v>121</v>
      </c>
      <c r="H7" s="639" t="s">
        <v>1173</v>
      </c>
      <c r="I7" s="639"/>
      <c r="J7" s="639"/>
      <c r="K7" s="639"/>
      <c r="L7" s="664" t="s">
        <v>121</v>
      </c>
      <c r="M7" s="639" t="s">
        <v>1174</v>
      </c>
      <c r="N7" s="639"/>
      <c r="O7" s="639"/>
      <c r="P7" s="639"/>
      <c r="Q7" s="664" t="s">
        <v>121</v>
      </c>
      <c r="R7" s="639" t="s">
        <v>1175</v>
      </c>
      <c r="S7" s="639"/>
      <c r="T7" s="639"/>
      <c r="U7" s="639"/>
      <c r="V7" s="639"/>
      <c r="W7" s="10"/>
      <c r="X7" s="10"/>
      <c r="Y7" s="11"/>
    </row>
    <row r="8" spans="2:30" ht="22.2" customHeight="1">
      <c r="B8" s="1795" t="s">
        <v>1176</v>
      </c>
      <c r="C8" s="1796"/>
      <c r="D8" s="1796"/>
      <c r="E8" s="1796"/>
      <c r="F8" s="1797"/>
      <c r="G8" s="666" t="s">
        <v>121</v>
      </c>
      <c r="H8" s="7" t="s">
        <v>1177</v>
      </c>
      <c r="I8" s="619"/>
      <c r="J8" s="619"/>
      <c r="K8" s="619"/>
      <c r="L8" s="619"/>
      <c r="M8" s="619"/>
      <c r="N8" s="619"/>
      <c r="O8" s="619"/>
      <c r="P8" s="619"/>
      <c r="Q8" s="619"/>
      <c r="R8" s="619"/>
      <c r="S8" s="619"/>
      <c r="T8" s="619"/>
      <c r="U8" s="619"/>
      <c r="V8" s="619"/>
      <c r="W8" s="619"/>
      <c r="X8" s="619"/>
      <c r="Y8" s="717"/>
    </row>
    <row r="9" spans="2:30" ht="22.2" customHeight="1">
      <c r="B9" s="1801"/>
      <c r="C9" s="1575"/>
      <c r="D9" s="1575"/>
      <c r="E9" s="1575"/>
      <c r="F9" s="1802"/>
      <c r="G9" s="602" t="s">
        <v>121</v>
      </c>
      <c r="H9" s="1" t="s">
        <v>1178</v>
      </c>
      <c r="I9" s="21"/>
      <c r="J9" s="21"/>
      <c r="K9" s="21"/>
      <c r="L9" s="21"/>
      <c r="M9" s="21"/>
      <c r="N9" s="21"/>
      <c r="O9" s="21"/>
      <c r="P9" s="21"/>
      <c r="Q9" s="21"/>
      <c r="R9" s="21"/>
      <c r="S9" s="21"/>
      <c r="T9" s="21"/>
      <c r="U9" s="21"/>
      <c r="V9" s="21"/>
      <c r="W9" s="21"/>
      <c r="X9" s="21"/>
      <c r="Y9" s="601"/>
    </row>
    <row r="10" spans="2:30" ht="22.2" customHeight="1">
      <c r="B10" s="1798"/>
      <c r="C10" s="1799"/>
      <c r="D10" s="1799"/>
      <c r="E10" s="1799"/>
      <c r="F10" s="1800"/>
      <c r="G10" s="675" t="s">
        <v>121</v>
      </c>
      <c r="H10" s="8" t="s">
        <v>1179</v>
      </c>
      <c r="I10" s="621"/>
      <c r="J10" s="621"/>
      <c r="K10" s="621"/>
      <c r="L10" s="621"/>
      <c r="M10" s="621"/>
      <c r="N10" s="621"/>
      <c r="O10" s="621"/>
      <c r="P10" s="621"/>
      <c r="Q10" s="621"/>
      <c r="R10" s="621"/>
      <c r="S10" s="621"/>
      <c r="T10" s="621"/>
      <c r="U10" s="621"/>
      <c r="V10" s="621"/>
      <c r="W10" s="621"/>
      <c r="X10" s="621"/>
      <c r="Y10" s="718"/>
    </row>
    <row r="11" spans="2:30" ht="13.5" customHeight="1">
      <c r="AD11" s="834"/>
    </row>
    <row r="12" spans="2:30" ht="13.2"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835" t="s">
        <v>1180</v>
      </c>
      <c r="C13" s="836"/>
      <c r="T13" s="402"/>
      <c r="V13" s="653" t="s">
        <v>1118</v>
      </c>
      <c r="W13" s="653" t="s">
        <v>440</v>
      </c>
      <c r="X13" s="653" t="s">
        <v>674</v>
      </c>
      <c r="Y13" s="402"/>
      <c r="Z13"/>
      <c r="AA13"/>
    </row>
    <row r="14" spans="2:30" ht="17.100000000000001" customHeight="1">
      <c r="B14" s="408"/>
      <c r="T14" s="402"/>
      <c r="Y14" s="402"/>
      <c r="Z14"/>
      <c r="AA14"/>
    </row>
    <row r="15" spans="2:30" ht="49.5" customHeight="1">
      <c r="B15" s="408"/>
      <c r="C15" s="1905" t="s">
        <v>1181</v>
      </c>
      <c r="D15" s="1906"/>
      <c r="E15" s="1906"/>
      <c r="F15" s="613" t="s">
        <v>107</v>
      </c>
      <c r="G15" s="1625" t="s">
        <v>1182</v>
      </c>
      <c r="H15" s="1625"/>
      <c r="I15" s="1625"/>
      <c r="J15" s="1625"/>
      <c r="K15" s="1625"/>
      <c r="L15" s="1625"/>
      <c r="M15" s="1625"/>
      <c r="N15" s="1625"/>
      <c r="O15" s="1625"/>
      <c r="P15" s="1625"/>
      <c r="Q15" s="1625"/>
      <c r="R15" s="1625"/>
      <c r="S15" s="1625"/>
      <c r="T15" s="402"/>
      <c r="V15" s="12" t="s">
        <v>121</v>
      </c>
      <c r="W15" s="12" t="s">
        <v>440</v>
      </c>
      <c r="X15" s="12" t="s">
        <v>121</v>
      </c>
      <c r="Y15" s="402"/>
      <c r="Z15"/>
      <c r="AA15"/>
    </row>
    <row r="16" spans="2:30" ht="69" customHeight="1">
      <c r="B16" s="408"/>
      <c r="C16" s="1906"/>
      <c r="D16" s="1906"/>
      <c r="E16" s="1906"/>
      <c r="F16" s="613" t="s">
        <v>104</v>
      </c>
      <c r="G16" s="1625" t="s">
        <v>1183</v>
      </c>
      <c r="H16" s="1625"/>
      <c r="I16" s="1625"/>
      <c r="J16" s="1625"/>
      <c r="K16" s="1625"/>
      <c r="L16" s="1625"/>
      <c r="M16" s="1625"/>
      <c r="N16" s="1625"/>
      <c r="O16" s="1625"/>
      <c r="P16" s="1625"/>
      <c r="Q16" s="1625"/>
      <c r="R16" s="1625"/>
      <c r="S16" s="1625"/>
      <c r="T16" s="402"/>
      <c r="V16" s="12" t="s">
        <v>121</v>
      </c>
      <c r="W16" s="12" t="s">
        <v>440</v>
      </c>
      <c r="X16" s="12" t="s">
        <v>121</v>
      </c>
      <c r="Y16" s="402"/>
      <c r="Z16"/>
      <c r="AA16"/>
    </row>
    <row r="17" spans="2:27" ht="40.200000000000003" customHeight="1">
      <c r="B17" s="408"/>
      <c r="C17" s="1906"/>
      <c r="D17" s="1906"/>
      <c r="E17" s="1906"/>
      <c r="F17" s="613" t="s">
        <v>211</v>
      </c>
      <c r="G17" s="1625" t="s">
        <v>1184</v>
      </c>
      <c r="H17" s="1625"/>
      <c r="I17" s="1625"/>
      <c r="J17" s="1625"/>
      <c r="K17" s="1625"/>
      <c r="L17" s="1625"/>
      <c r="M17" s="1625"/>
      <c r="N17" s="1625"/>
      <c r="O17" s="1625"/>
      <c r="P17" s="1625"/>
      <c r="Q17" s="1625"/>
      <c r="R17" s="1625"/>
      <c r="S17" s="1625"/>
      <c r="T17" s="402"/>
      <c r="V17" s="12" t="s">
        <v>121</v>
      </c>
      <c r="W17" s="12" t="s">
        <v>440</v>
      </c>
      <c r="X17" s="12" t="s">
        <v>121</v>
      </c>
      <c r="Y17" s="402"/>
      <c r="Z17"/>
      <c r="AA17"/>
    </row>
    <row r="18" spans="2:27" ht="22.2" customHeight="1">
      <c r="B18" s="408"/>
      <c r="C18" s="1906"/>
      <c r="D18" s="1906"/>
      <c r="E18" s="1906"/>
      <c r="F18" s="613" t="s">
        <v>207</v>
      </c>
      <c r="G18" s="1625" t="s">
        <v>1185</v>
      </c>
      <c r="H18" s="1625"/>
      <c r="I18" s="1625"/>
      <c r="J18" s="1625"/>
      <c r="K18" s="1625"/>
      <c r="L18" s="1625"/>
      <c r="M18" s="1625"/>
      <c r="N18" s="1625"/>
      <c r="O18" s="1625"/>
      <c r="P18" s="1625"/>
      <c r="Q18" s="1625"/>
      <c r="R18" s="1625"/>
      <c r="S18" s="1625"/>
      <c r="T18" s="402"/>
      <c r="V18" s="12" t="s">
        <v>121</v>
      </c>
      <c r="W18" s="12" t="s">
        <v>440</v>
      </c>
      <c r="X18" s="12" t="s">
        <v>121</v>
      </c>
      <c r="Y18" s="402"/>
      <c r="Z18"/>
      <c r="AA18"/>
    </row>
    <row r="19" spans="2:27" ht="17.7" customHeight="1">
      <c r="B19" s="408"/>
      <c r="C19" s="614"/>
      <c r="D19" s="614"/>
      <c r="E19" s="614"/>
      <c r="F19" s="12"/>
      <c r="G19" s="21"/>
      <c r="H19" s="21"/>
      <c r="I19" s="21"/>
      <c r="J19" s="21"/>
      <c r="K19" s="21"/>
      <c r="L19" s="21"/>
      <c r="M19" s="21"/>
      <c r="N19" s="21"/>
      <c r="O19" s="21"/>
      <c r="P19" s="21"/>
      <c r="Q19" s="21"/>
      <c r="R19" s="21"/>
      <c r="S19" s="21"/>
      <c r="T19" s="402"/>
      <c r="Y19" s="402"/>
      <c r="Z19"/>
      <c r="AA19"/>
    </row>
    <row r="20" spans="2:27" ht="69" customHeight="1">
      <c r="B20" s="408"/>
      <c r="C20" s="1902" t="s">
        <v>1186</v>
      </c>
      <c r="D20" s="1903"/>
      <c r="E20" s="1903"/>
      <c r="F20" s="613" t="s">
        <v>107</v>
      </c>
      <c r="G20" s="1625" t="s">
        <v>1187</v>
      </c>
      <c r="H20" s="1625"/>
      <c r="I20" s="1625"/>
      <c r="J20" s="1625"/>
      <c r="K20" s="1625"/>
      <c r="L20" s="1625"/>
      <c r="M20" s="1625"/>
      <c r="N20" s="1625"/>
      <c r="O20" s="1625"/>
      <c r="P20" s="1625"/>
      <c r="Q20" s="1625"/>
      <c r="R20" s="1625"/>
      <c r="S20" s="1625"/>
      <c r="T20" s="402"/>
      <c r="V20" s="12" t="s">
        <v>121</v>
      </c>
      <c r="W20" s="12" t="s">
        <v>440</v>
      </c>
      <c r="X20" s="12" t="s">
        <v>121</v>
      </c>
      <c r="Y20" s="402"/>
      <c r="Z20"/>
      <c r="AA20"/>
    </row>
    <row r="21" spans="2:27" ht="69" customHeight="1">
      <c r="B21" s="408"/>
      <c r="C21" s="1903"/>
      <c r="D21" s="1903"/>
      <c r="E21" s="1903"/>
      <c r="F21" s="613" t="s">
        <v>104</v>
      </c>
      <c r="G21" s="1625" t="s">
        <v>1188</v>
      </c>
      <c r="H21" s="1625"/>
      <c r="I21" s="1625"/>
      <c r="J21" s="1625"/>
      <c r="K21" s="1625"/>
      <c r="L21" s="1625"/>
      <c r="M21" s="1625"/>
      <c r="N21" s="1625"/>
      <c r="O21" s="1625"/>
      <c r="P21" s="1625"/>
      <c r="Q21" s="1625"/>
      <c r="R21" s="1625"/>
      <c r="S21" s="1625"/>
      <c r="T21" s="402"/>
      <c r="V21" s="12" t="s">
        <v>121</v>
      </c>
      <c r="W21" s="12" t="s">
        <v>440</v>
      </c>
      <c r="X21" s="12" t="s">
        <v>121</v>
      </c>
      <c r="Y21" s="402"/>
      <c r="Z21"/>
      <c r="AA21"/>
    </row>
    <row r="22" spans="2:27" ht="49.5" customHeight="1">
      <c r="B22" s="408"/>
      <c r="C22" s="1903"/>
      <c r="D22" s="1903"/>
      <c r="E22" s="1903"/>
      <c r="F22" s="613" t="s">
        <v>211</v>
      </c>
      <c r="G22" s="1625" t="s">
        <v>1189</v>
      </c>
      <c r="H22" s="1625"/>
      <c r="I22" s="1625"/>
      <c r="J22" s="1625"/>
      <c r="K22" s="1625"/>
      <c r="L22" s="1625"/>
      <c r="M22" s="1625"/>
      <c r="N22" s="1625"/>
      <c r="O22" s="1625"/>
      <c r="P22" s="1625"/>
      <c r="Q22" s="1625"/>
      <c r="R22" s="1625"/>
      <c r="S22" s="1625"/>
      <c r="T22" s="402"/>
      <c r="V22" s="12" t="s">
        <v>121</v>
      </c>
      <c r="W22" s="12" t="s">
        <v>440</v>
      </c>
      <c r="X22" s="12" t="s">
        <v>121</v>
      </c>
      <c r="Y22" s="402"/>
      <c r="Z22"/>
      <c r="AA22"/>
    </row>
    <row r="23" spans="2:27" ht="22.2" customHeight="1">
      <c r="B23" s="408"/>
      <c r="C23" s="1903"/>
      <c r="D23" s="1903"/>
      <c r="E23" s="1903"/>
      <c r="F23" s="613" t="s">
        <v>207</v>
      </c>
      <c r="G23" s="1625" t="s">
        <v>1190</v>
      </c>
      <c r="H23" s="1625"/>
      <c r="I23" s="1625"/>
      <c r="J23" s="1625"/>
      <c r="K23" s="1625"/>
      <c r="L23" s="1625"/>
      <c r="M23" s="1625"/>
      <c r="N23" s="1625"/>
      <c r="O23" s="1625"/>
      <c r="P23" s="1625"/>
      <c r="Q23" s="1625"/>
      <c r="R23" s="1625"/>
      <c r="S23" s="1625"/>
      <c r="T23" s="402"/>
      <c r="V23" s="12" t="s">
        <v>121</v>
      </c>
      <c r="W23" s="12" t="s">
        <v>440</v>
      </c>
      <c r="X23" s="12" t="s">
        <v>121</v>
      </c>
      <c r="Y23" s="402"/>
      <c r="Z23"/>
      <c r="AA23"/>
    </row>
    <row r="24" spans="2:27" ht="17.7" customHeight="1">
      <c r="B24" s="408"/>
      <c r="C24" s="614"/>
      <c r="D24" s="614"/>
      <c r="E24" s="614"/>
      <c r="F24" s="12"/>
      <c r="G24" s="21"/>
      <c r="H24" s="21"/>
      <c r="I24" s="21"/>
      <c r="J24" s="21"/>
      <c r="K24" s="21"/>
      <c r="L24" s="21"/>
      <c r="M24" s="21"/>
      <c r="N24" s="21"/>
      <c r="O24" s="21"/>
      <c r="P24" s="21"/>
      <c r="Q24" s="21"/>
      <c r="R24" s="21"/>
      <c r="S24" s="21"/>
      <c r="T24" s="402"/>
      <c r="Y24" s="402"/>
      <c r="Z24"/>
      <c r="AA24"/>
    </row>
    <row r="25" spans="2:27" ht="69" customHeight="1">
      <c r="B25" s="408"/>
      <c r="C25" s="1893" t="s">
        <v>1191</v>
      </c>
      <c r="D25" s="1894"/>
      <c r="E25" s="1895"/>
      <c r="F25" s="613" t="s">
        <v>107</v>
      </c>
      <c r="G25" s="1625" t="s">
        <v>1192</v>
      </c>
      <c r="H25" s="1625"/>
      <c r="I25" s="1625"/>
      <c r="J25" s="1625"/>
      <c r="K25" s="1625"/>
      <c r="L25" s="1625"/>
      <c r="M25" s="1625"/>
      <c r="N25" s="1625"/>
      <c r="O25" s="1625"/>
      <c r="P25" s="1625"/>
      <c r="Q25" s="1625"/>
      <c r="R25" s="1625"/>
      <c r="S25" s="1625"/>
      <c r="T25" s="402"/>
      <c r="V25" s="12" t="s">
        <v>121</v>
      </c>
      <c r="W25" s="12" t="s">
        <v>440</v>
      </c>
      <c r="X25" s="12" t="s">
        <v>121</v>
      </c>
      <c r="Y25" s="402"/>
      <c r="Z25"/>
      <c r="AA25"/>
    </row>
    <row r="26" spans="2:27" ht="69" customHeight="1">
      <c r="B26" s="408"/>
      <c r="C26" s="1896"/>
      <c r="D26" s="1897"/>
      <c r="E26" s="1898"/>
      <c r="F26" s="613" t="s">
        <v>104</v>
      </c>
      <c r="G26" s="1625" t="s">
        <v>1193</v>
      </c>
      <c r="H26" s="1625"/>
      <c r="I26" s="1625"/>
      <c r="J26" s="1625"/>
      <c r="K26" s="1625"/>
      <c r="L26" s="1625"/>
      <c r="M26" s="1625"/>
      <c r="N26" s="1625"/>
      <c r="O26" s="1625"/>
      <c r="P26" s="1625"/>
      <c r="Q26" s="1625"/>
      <c r="R26" s="1625"/>
      <c r="S26" s="1625"/>
      <c r="T26" s="402"/>
      <c r="V26" s="12" t="s">
        <v>121</v>
      </c>
      <c r="W26" s="12" t="s">
        <v>440</v>
      </c>
      <c r="X26" s="12" t="s">
        <v>121</v>
      </c>
      <c r="Y26" s="402"/>
      <c r="Z26"/>
      <c r="AA26"/>
    </row>
    <row r="27" spans="2:27" ht="49.5" customHeight="1">
      <c r="B27" s="408"/>
      <c r="C27" s="1899"/>
      <c r="D27" s="1900"/>
      <c r="E27" s="1901"/>
      <c r="F27" s="613" t="s">
        <v>211</v>
      </c>
      <c r="G27" s="1625" t="s">
        <v>1194</v>
      </c>
      <c r="H27" s="1625"/>
      <c r="I27" s="1625"/>
      <c r="J27" s="1625"/>
      <c r="K27" s="1625"/>
      <c r="L27" s="1625"/>
      <c r="M27" s="1625"/>
      <c r="N27" s="1625"/>
      <c r="O27" s="1625"/>
      <c r="P27" s="1625"/>
      <c r="Q27" s="1625"/>
      <c r="R27" s="1625"/>
      <c r="S27" s="1625"/>
      <c r="T27" s="402"/>
      <c r="V27" s="12" t="s">
        <v>121</v>
      </c>
      <c r="W27" s="12" t="s">
        <v>440</v>
      </c>
      <c r="X27" s="12" t="s">
        <v>121</v>
      </c>
      <c r="Y27" s="402"/>
      <c r="Z27"/>
      <c r="AA27"/>
    </row>
    <row r="28" spans="2:27" ht="13.2" customHeight="1">
      <c r="B28" s="409"/>
      <c r="C28" s="8"/>
      <c r="D28" s="8"/>
      <c r="E28" s="8"/>
      <c r="F28" s="8"/>
      <c r="G28" s="8"/>
      <c r="H28" s="8"/>
      <c r="I28" s="8"/>
      <c r="J28" s="8"/>
      <c r="K28" s="8"/>
      <c r="L28" s="8"/>
      <c r="M28" s="8"/>
      <c r="N28" s="8"/>
      <c r="O28" s="8"/>
      <c r="P28" s="8"/>
      <c r="Q28" s="8"/>
      <c r="R28" s="8"/>
      <c r="S28" s="8"/>
      <c r="T28" s="424"/>
      <c r="U28" s="8"/>
      <c r="V28" s="8"/>
      <c r="W28" s="8"/>
      <c r="X28" s="8"/>
      <c r="Y28" s="424"/>
    </row>
    <row r="30" spans="2:27">
      <c r="B30" s="1" t="s">
        <v>1195</v>
      </c>
    </row>
    <row r="31" spans="2:27">
      <c r="B31" s="1" t="s">
        <v>1196</v>
      </c>
      <c r="K31"/>
      <c r="L31"/>
      <c r="M31"/>
      <c r="N31"/>
      <c r="O31"/>
      <c r="P31"/>
      <c r="Q31"/>
      <c r="R31"/>
      <c r="S31"/>
      <c r="T31"/>
      <c r="U31"/>
      <c r="V31"/>
      <c r="W31"/>
      <c r="X31"/>
      <c r="Y31"/>
      <c r="Z31"/>
      <c r="AA31"/>
    </row>
    <row r="122" spans="3:7">
      <c r="C122" s="8"/>
      <c r="D122" s="8"/>
      <c r="E122" s="8"/>
      <c r="F122" s="8"/>
      <c r="G122" s="8"/>
    </row>
    <row r="123" spans="3:7">
      <c r="C123" s="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3"/>
  <dataValidations count="1">
    <dataValidation type="list" allowBlank="1" showInputMessage="1" showErrorMessage="1" sqref="V15:V18 X15:X18 V20:V23 X20:X23 V25:V27 X25:X27 L7 Q7 G7:G10" xr:uid="{4013C338-10F3-4017-8663-56B5B063CD01}">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8B3CE-6CDF-4C40-BC1A-13BC92A0F5D1}">
  <sheetPr>
    <tabColor rgb="FFFFFF00"/>
    <pageSetUpPr fitToPage="1"/>
  </sheetPr>
  <dimension ref="A1:W123"/>
  <sheetViews>
    <sheetView view="pageBreakPreview" zoomScaleNormal="100" zoomScaleSheetLayoutView="100" workbookViewId="0"/>
  </sheetViews>
  <sheetFormatPr defaultColWidth="9" defaultRowHeight="13.2"/>
  <cols>
    <col min="1" max="1" width="2.109375" style="838" customWidth="1"/>
    <col min="2" max="23" width="3.6640625" style="838" customWidth="1"/>
    <col min="24" max="24" width="2.109375" style="838" customWidth="1"/>
    <col min="25" max="37" width="5.6640625" style="838" customWidth="1"/>
    <col min="38" max="16384" width="9" style="838"/>
  </cols>
  <sheetData>
    <row r="1" spans="2:23">
      <c r="B1" s="837" t="s">
        <v>1686</v>
      </c>
      <c r="C1" s="837"/>
      <c r="D1" s="837"/>
      <c r="M1" s="839"/>
      <c r="N1" s="840"/>
      <c r="O1" s="840"/>
      <c r="P1" s="840"/>
      <c r="Q1" s="839" t="s">
        <v>544</v>
      </c>
      <c r="R1" s="841"/>
      <c r="S1" s="840" t="s">
        <v>34</v>
      </c>
      <c r="T1" s="841"/>
      <c r="U1" s="840" t="s">
        <v>392</v>
      </c>
      <c r="V1" s="841"/>
      <c r="W1" s="840" t="s">
        <v>241</v>
      </c>
    </row>
    <row r="2" spans="2:23" ht="5.0999999999999996" customHeight="1">
      <c r="M2" s="839"/>
      <c r="N2" s="840"/>
      <c r="O2" s="840"/>
      <c r="P2" s="840"/>
      <c r="Q2" s="839"/>
      <c r="R2" s="840"/>
      <c r="S2" s="840"/>
      <c r="T2" s="840"/>
      <c r="U2" s="840"/>
      <c r="V2" s="840"/>
      <c r="W2" s="840"/>
    </row>
    <row r="3" spans="2:23">
      <c r="B3" s="1924" t="s">
        <v>1107</v>
      </c>
      <c r="C3" s="1924"/>
      <c r="D3" s="1924"/>
      <c r="E3" s="1924"/>
      <c r="F3" s="1924"/>
      <c r="G3" s="1924"/>
      <c r="H3" s="1924"/>
      <c r="I3" s="1924"/>
      <c r="J3" s="1924"/>
      <c r="K3" s="1924"/>
      <c r="L3" s="1924"/>
      <c r="M3" s="1924"/>
      <c r="N3" s="1924"/>
      <c r="O3" s="1924"/>
      <c r="P3" s="1924"/>
      <c r="Q3" s="1924"/>
      <c r="R3" s="1924"/>
      <c r="S3" s="1924"/>
      <c r="T3" s="1924"/>
      <c r="U3" s="1924"/>
      <c r="V3" s="1924"/>
      <c r="W3" s="1924"/>
    </row>
    <row r="4" spans="2:23" ht="5.0999999999999996" customHeight="1">
      <c r="B4" s="840"/>
      <c r="C4" s="840"/>
      <c r="D4" s="840"/>
      <c r="E4" s="840"/>
      <c r="F4" s="840"/>
      <c r="G4" s="840"/>
      <c r="H4" s="840"/>
      <c r="I4" s="840"/>
      <c r="J4" s="840"/>
      <c r="K4" s="840"/>
      <c r="L4" s="840"/>
      <c r="M4" s="840"/>
      <c r="N4" s="840"/>
      <c r="O4" s="840"/>
      <c r="P4" s="840"/>
      <c r="Q4" s="840"/>
      <c r="R4" s="840"/>
      <c r="S4" s="840"/>
      <c r="T4" s="840"/>
      <c r="U4" s="840"/>
      <c r="V4" s="840"/>
      <c r="W4" s="840"/>
    </row>
    <row r="5" spans="2:23">
      <c r="B5" s="840"/>
      <c r="C5" s="840"/>
      <c r="D5" s="840"/>
      <c r="E5" s="840"/>
      <c r="F5" s="840"/>
      <c r="G5" s="840"/>
      <c r="H5" s="840"/>
      <c r="I5" s="840"/>
      <c r="J5" s="840"/>
      <c r="K5" s="840"/>
      <c r="L5" s="840"/>
      <c r="M5" s="840"/>
      <c r="N5" s="840"/>
      <c r="O5" s="840"/>
      <c r="P5" s="839" t="s">
        <v>92</v>
      </c>
      <c r="Q5" s="1925"/>
      <c r="R5" s="1925"/>
      <c r="S5" s="1925"/>
      <c r="T5" s="1925"/>
      <c r="U5" s="1925"/>
      <c r="V5" s="1925"/>
      <c r="W5" s="1925"/>
    </row>
    <row r="6" spans="2:23">
      <c r="B6" s="840"/>
      <c r="C6" s="840"/>
      <c r="D6" s="840"/>
      <c r="E6" s="840"/>
      <c r="F6" s="840"/>
      <c r="G6" s="840"/>
      <c r="H6" s="840"/>
      <c r="I6" s="840"/>
      <c r="J6" s="840"/>
      <c r="K6" s="840"/>
      <c r="L6" s="840"/>
      <c r="M6" s="840"/>
      <c r="N6" s="840"/>
      <c r="O6" s="840"/>
      <c r="P6" s="839" t="s">
        <v>1562</v>
      </c>
      <c r="Q6" s="1926"/>
      <c r="R6" s="1926"/>
      <c r="S6" s="1926"/>
      <c r="T6" s="1926"/>
      <c r="U6" s="1926"/>
      <c r="V6" s="1926"/>
      <c r="W6" s="1926"/>
    </row>
    <row r="7" spans="2:23" ht="10.5" customHeight="1">
      <c r="B7" s="840"/>
      <c r="C7" s="840"/>
      <c r="D7" s="840"/>
      <c r="E7" s="840"/>
      <c r="F7" s="840"/>
      <c r="G7" s="840"/>
      <c r="H7" s="840"/>
      <c r="I7" s="840"/>
      <c r="J7" s="840"/>
      <c r="K7" s="840"/>
      <c r="L7" s="840"/>
      <c r="M7" s="840"/>
      <c r="N7" s="840"/>
      <c r="O7" s="840"/>
      <c r="P7" s="840"/>
      <c r="Q7" s="840"/>
      <c r="R7" s="840"/>
      <c r="S7" s="840"/>
      <c r="T7" s="840"/>
      <c r="U7" s="840"/>
      <c r="V7" s="840"/>
      <c r="W7" s="840"/>
    </row>
    <row r="8" spans="2:23">
      <c r="B8" s="838" t="s">
        <v>1687</v>
      </c>
    </row>
    <row r="9" spans="2:23">
      <c r="C9" s="841" t="s">
        <v>121</v>
      </c>
      <c r="D9" s="838" t="s">
        <v>1688</v>
      </c>
      <c r="J9" s="841" t="s">
        <v>121</v>
      </c>
      <c r="K9" s="838" t="s">
        <v>1689</v>
      </c>
    </row>
    <row r="10" spans="2:23" ht="10.5" customHeight="1"/>
    <row r="11" spans="2:23">
      <c r="B11" s="838" t="s">
        <v>1690</v>
      </c>
    </row>
    <row r="12" spans="2:23">
      <c r="C12" s="841" t="s">
        <v>121</v>
      </c>
      <c r="D12" s="838" t="s">
        <v>1691</v>
      </c>
    </row>
    <row r="13" spans="2:23">
      <c r="C13" s="841" t="s">
        <v>121</v>
      </c>
      <c r="D13" s="838" t="s">
        <v>1692</v>
      </c>
    </row>
    <row r="14" spans="2:23" ht="10.5" customHeight="1"/>
    <row r="15" spans="2:23">
      <c r="B15" s="838" t="s">
        <v>1197</v>
      </c>
    </row>
    <row r="16" spans="2:23" ht="60" customHeight="1">
      <c r="B16" s="1910"/>
      <c r="C16" s="1910"/>
      <c r="D16" s="1910"/>
      <c r="E16" s="1910"/>
      <c r="F16" s="1919" t="s">
        <v>1693</v>
      </c>
      <c r="G16" s="1920"/>
      <c r="H16" s="1920"/>
      <c r="I16" s="1920"/>
      <c r="J16" s="1920"/>
      <c r="K16" s="1920"/>
      <c r="L16" s="1921"/>
      <c r="M16" s="1913" t="s">
        <v>1694</v>
      </c>
      <c r="N16" s="1913"/>
      <c r="O16" s="1913"/>
      <c r="P16" s="1913"/>
      <c r="Q16" s="1913"/>
      <c r="R16" s="1913"/>
      <c r="S16" s="1913"/>
    </row>
    <row r="17" spans="2:23">
      <c r="B17" s="1911">
        <v>4</v>
      </c>
      <c r="C17" s="1912"/>
      <c r="D17" s="1912" t="s">
        <v>1108</v>
      </c>
      <c r="E17" s="1922"/>
      <c r="F17" s="1908"/>
      <c r="G17" s="1909"/>
      <c r="H17" s="1909"/>
      <c r="I17" s="1909"/>
      <c r="J17" s="1909"/>
      <c r="K17" s="1909"/>
      <c r="L17" s="842" t="s">
        <v>89</v>
      </c>
      <c r="M17" s="1908"/>
      <c r="N17" s="1909"/>
      <c r="O17" s="1909"/>
      <c r="P17" s="1909"/>
      <c r="Q17" s="1909"/>
      <c r="R17" s="1909"/>
      <c r="S17" s="842" t="s">
        <v>89</v>
      </c>
    </row>
    <row r="18" spans="2:23">
      <c r="B18" s="1911">
        <v>5</v>
      </c>
      <c r="C18" s="1912"/>
      <c r="D18" s="1912" t="s">
        <v>1108</v>
      </c>
      <c r="E18" s="1922"/>
      <c r="F18" s="1908"/>
      <c r="G18" s="1909"/>
      <c r="H18" s="1909"/>
      <c r="I18" s="1909"/>
      <c r="J18" s="1909"/>
      <c r="K18" s="1909"/>
      <c r="L18" s="842" t="s">
        <v>89</v>
      </c>
      <c r="M18" s="1908"/>
      <c r="N18" s="1909"/>
      <c r="O18" s="1909"/>
      <c r="P18" s="1909"/>
      <c r="Q18" s="1909"/>
      <c r="R18" s="1909"/>
      <c r="S18" s="842" t="s">
        <v>89</v>
      </c>
    </row>
    <row r="19" spans="2:23">
      <c r="B19" s="1911">
        <v>6</v>
      </c>
      <c r="C19" s="1912"/>
      <c r="D19" s="1912" t="s">
        <v>1108</v>
      </c>
      <c r="E19" s="1922"/>
      <c r="F19" s="1908"/>
      <c r="G19" s="1909"/>
      <c r="H19" s="1909"/>
      <c r="I19" s="1909"/>
      <c r="J19" s="1909"/>
      <c r="K19" s="1909"/>
      <c r="L19" s="842" t="s">
        <v>89</v>
      </c>
      <c r="M19" s="1908"/>
      <c r="N19" s="1909"/>
      <c r="O19" s="1909"/>
      <c r="P19" s="1909"/>
      <c r="Q19" s="1909"/>
      <c r="R19" s="1909"/>
      <c r="S19" s="842" t="s">
        <v>89</v>
      </c>
    </row>
    <row r="20" spans="2:23">
      <c r="B20" s="1911">
        <v>7</v>
      </c>
      <c r="C20" s="1912"/>
      <c r="D20" s="1912" t="s">
        <v>1108</v>
      </c>
      <c r="E20" s="1922"/>
      <c r="F20" s="1908"/>
      <c r="G20" s="1909"/>
      <c r="H20" s="1909"/>
      <c r="I20" s="1909"/>
      <c r="J20" s="1909"/>
      <c r="K20" s="1909"/>
      <c r="L20" s="842" t="s">
        <v>89</v>
      </c>
      <c r="M20" s="1908"/>
      <c r="N20" s="1909"/>
      <c r="O20" s="1909"/>
      <c r="P20" s="1909"/>
      <c r="Q20" s="1909"/>
      <c r="R20" s="1909"/>
      <c r="S20" s="842" t="s">
        <v>89</v>
      </c>
    </row>
    <row r="21" spans="2:23">
      <c r="B21" s="1911">
        <v>8</v>
      </c>
      <c r="C21" s="1912"/>
      <c r="D21" s="1912" t="s">
        <v>1108</v>
      </c>
      <c r="E21" s="1922"/>
      <c r="F21" s="1908"/>
      <c r="G21" s="1909"/>
      <c r="H21" s="1909"/>
      <c r="I21" s="1909"/>
      <c r="J21" s="1909"/>
      <c r="K21" s="1909"/>
      <c r="L21" s="842" t="s">
        <v>89</v>
      </c>
      <c r="M21" s="1908"/>
      <c r="N21" s="1909"/>
      <c r="O21" s="1909"/>
      <c r="P21" s="1909"/>
      <c r="Q21" s="1909"/>
      <c r="R21" s="1909"/>
      <c r="S21" s="842" t="s">
        <v>89</v>
      </c>
    </row>
    <row r="22" spans="2:23">
      <c r="B22" s="1911">
        <v>9</v>
      </c>
      <c r="C22" s="1912"/>
      <c r="D22" s="1912" t="s">
        <v>1108</v>
      </c>
      <c r="E22" s="1922"/>
      <c r="F22" s="1908"/>
      <c r="G22" s="1909"/>
      <c r="H22" s="1909"/>
      <c r="I22" s="1909"/>
      <c r="J22" s="1909"/>
      <c r="K22" s="1909"/>
      <c r="L22" s="842" t="s">
        <v>89</v>
      </c>
      <c r="M22" s="1908"/>
      <c r="N22" s="1909"/>
      <c r="O22" s="1909"/>
      <c r="P22" s="1909"/>
      <c r="Q22" s="1909"/>
      <c r="R22" s="1909"/>
      <c r="S22" s="842" t="s">
        <v>89</v>
      </c>
    </row>
    <row r="23" spans="2:23">
      <c r="B23" s="1911">
        <v>10</v>
      </c>
      <c r="C23" s="1912"/>
      <c r="D23" s="1912" t="s">
        <v>1108</v>
      </c>
      <c r="E23" s="1922"/>
      <c r="F23" s="1908"/>
      <c r="G23" s="1909"/>
      <c r="H23" s="1909"/>
      <c r="I23" s="1909"/>
      <c r="J23" s="1909"/>
      <c r="K23" s="1909"/>
      <c r="L23" s="842" t="s">
        <v>89</v>
      </c>
      <c r="M23" s="1908"/>
      <c r="N23" s="1909"/>
      <c r="O23" s="1909"/>
      <c r="P23" s="1909"/>
      <c r="Q23" s="1909"/>
      <c r="R23" s="1909"/>
      <c r="S23" s="842" t="s">
        <v>89</v>
      </c>
    </row>
    <row r="24" spans="2:23">
      <c r="B24" s="1911">
        <v>11</v>
      </c>
      <c r="C24" s="1912"/>
      <c r="D24" s="1912" t="s">
        <v>1108</v>
      </c>
      <c r="E24" s="1922"/>
      <c r="F24" s="1908"/>
      <c r="G24" s="1909"/>
      <c r="H24" s="1909"/>
      <c r="I24" s="1909"/>
      <c r="J24" s="1909"/>
      <c r="K24" s="1909"/>
      <c r="L24" s="842" t="s">
        <v>89</v>
      </c>
      <c r="M24" s="1908"/>
      <c r="N24" s="1909"/>
      <c r="O24" s="1909"/>
      <c r="P24" s="1909"/>
      <c r="Q24" s="1909"/>
      <c r="R24" s="1909"/>
      <c r="S24" s="842" t="s">
        <v>89</v>
      </c>
    </row>
    <row r="25" spans="2:23">
      <c r="B25" s="1911">
        <v>12</v>
      </c>
      <c r="C25" s="1912"/>
      <c r="D25" s="1912" t="s">
        <v>1108</v>
      </c>
      <c r="E25" s="1922"/>
      <c r="F25" s="1908"/>
      <c r="G25" s="1909"/>
      <c r="H25" s="1909"/>
      <c r="I25" s="1909"/>
      <c r="J25" s="1909"/>
      <c r="K25" s="1909"/>
      <c r="L25" s="842" t="s">
        <v>89</v>
      </c>
      <c r="M25" s="1908"/>
      <c r="N25" s="1909"/>
      <c r="O25" s="1909"/>
      <c r="P25" s="1909"/>
      <c r="Q25" s="1909"/>
      <c r="R25" s="1909"/>
      <c r="S25" s="842" t="s">
        <v>89</v>
      </c>
      <c r="U25" s="1910" t="s">
        <v>1695</v>
      </c>
      <c r="V25" s="1910"/>
      <c r="W25" s="1910"/>
    </row>
    <row r="26" spans="2:23">
      <c r="B26" s="1911">
        <v>1</v>
      </c>
      <c r="C26" s="1912"/>
      <c r="D26" s="1912" t="s">
        <v>1108</v>
      </c>
      <c r="E26" s="1922"/>
      <c r="F26" s="1908"/>
      <c r="G26" s="1909"/>
      <c r="H26" s="1909"/>
      <c r="I26" s="1909"/>
      <c r="J26" s="1909"/>
      <c r="K26" s="1909"/>
      <c r="L26" s="842" t="s">
        <v>89</v>
      </c>
      <c r="M26" s="1908"/>
      <c r="N26" s="1909"/>
      <c r="O26" s="1909"/>
      <c r="P26" s="1909"/>
      <c r="Q26" s="1909"/>
      <c r="R26" s="1909"/>
      <c r="S26" s="842" t="s">
        <v>89</v>
      </c>
      <c r="U26" s="1923"/>
      <c r="V26" s="1923"/>
      <c r="W26" s="1923"/>
    </row>
    <row r="27" spans="2:23">
      <c r="B27" s="1911">
        <v>2</v>
      </c>
      <c r="C27" s="1912"/>
      <c r="D27" s="1912" t="s">
        <v>1108</v>
      </c>
      <c r="E27" s="1922"/>
      <c r="F27" s="1908"/>
      <c r="G27" s="1909"/>
      <c r="H27" s="1909"/>
      <c r="I27" s="1909"/>
      <c r="J27" s="1909"/>
      <c r="K27" s="1909"/>
      <c r="L27" s="842" t="s">
        <v>89</v>
      </c>
      <c r="M27" s="1908"/>
      <c r="N27" s="1909"/>
      <c r="O27" s="1909"/>
      <c r="P27" s="1909"/>
      <c r="Q27" s="1909"/>
      <c r="R27" s="1909"/>
      <c r="S27" s="842" t="s">
        <v>89</v>
      </c>
    </row>
    <row r="28" spans="2:23">
      <c r="B28" s="1910" t="s">
        <v>664</v>
      </c>
      <c r="C28" s="1910"/>
      <c r="D28" s="1910"/>
      <c r="E28" s="1910"/>
      <c r="F28" s="1911" t="str">
        <f>IF(SUM(F17:K27)=0,"",SUM(F17:K27))</f>
        <v/>
      </c>
      <c r="G28" s="1912"/>
      <c r="H28" s="1912"/>
      <c r="I28" s="1912"/>
      <c r="J28" s="1912"/>
      <c r="K28" s="1912"/>
      <c r="L28" s="842" t="s">
        <v>89</v>
      </c>
      <c r="M28" s="1911" t="str">
        <f>IF(SUM(M17:R27)=0,"",SUM(M17:R27))</f>
        <v/>
      </c>
      <c r="N28" s="1912"/>
      <c r="O28" s="1912"/>
      <c r="P28" s="1912"/>
      <c r="Q28" s="1912"/>
      <c r="R28" s="1912"/>
      <c r="S28" s="842" t="s">
        <v>89</v>
      </c>
      <c r="U28" s="1910" t="s">
        <v>1696</v>
      </c>
      <c r="V28" s="1910"/>
      <c r="W28" s="1910"/>
    </row>
    <row r="29" spans="2:23" ht="40.200000000000003" customHeight="1">
      <c r="B29" s="1913" t="s">
        <v>1697</v>
      </c>
      <c r="C29" s="1910"/>
      <c r="D29" s="1910"/>
      <c r="E29" s="1910"/>
      <c r="F29" s="1914" t="str">
        <f>IF(F28="","",F28/U26)</f>
        <v/>
      </c>
      <c r="G29" s="1915"/>
      <c r="H29" s="1915"/>
      <c r="I29" s="1915"/>
      <c r="J29" s="1915"/>
      <c r="K29" s="1915"/>
      <c r="L29" s="842" t="s">
        <v>89</v>
      </c>
      <c r="M29" s="1914" t="str">
        <f>IF(M28="","",M28/U26)</f>
        <v/>
      </c>
      <c r="N29" s="1915"/>
      <c r="O29" s="1915"/>
      <c r="P29" s="1915"/>
      <c r="Q29" s="1915"/>
      <c r="R29" s="1915"/>
      <c r="S29" s="842" t="s">
        <v>89</v>
      </c>
      <c r="U29" s="1916" t="str">
        <f>IF(F29="","",ROUNDDOWN(M29/F29,3))</f>
        <v/>
      </c>
      <c r="V29" s="1917"/>
      <c r="W29" s="1918"/>
    </row>
    <row r="31" spans="2:23">
      <c r="B31" s="838" t="s">
        <v>1198</v>
      </c>
    </row>
    <row r="32" spans="2:23" ht="60" customHeight="1">
      <c r="B32" s="1910"/>
      <c r="C32" s="1910"/>
      <c r="D32" s="1910"/>
      <c r="E32" s="1910"/>
      <c r="F32" s="1919" t="s">
        <v>1693</v>
      </c>
      <c r="G32" s="1920"/>
      <c r="H32" s="1920"/>
      <c r="I32" s="1920"/>
      <c r="J32" s="1920"/>
      <c r="K32" s="1920"/>
      <c r="L32" s="1921"/>
      <c r="M32" s="1913" t="s">
        <v>1694</v>
      </c>
      <c r="N32" s="1913"/>
      <c r="O32" s="1913"/>
      <c r="P32" s="1913"/>
      <c r="Q32" s="1913"/>
      <c r="R32" s="1913"/>
      <c r="S32" s="1913"/>
    </row>
    <row r="33" spans="1:23">
      <c r="B33" s="1908"/>
      <c r="C33" s="1909"/>
      <c r="D33" s="1909"/>
      <c r="E33" s="843" t="s">
        <v>1108</v>
      </c>
      <c r="F33" s="1908"/>
      <c r="G33" s="1909"/>
      <c r="H33" s="1909"/>
      <c r="I33" s="1909"/>
      <c r="J33" s="1909"/>
      <c r="K33" s="1909"/>
      <c r="L33" s="842" t="s">
        <v>89</v>
      </c>
      <c r="M33" s="1908"/>
      <c r="N33" s="1909"/>
      <c r="O33" s="1909"/>
      <c r="P33" s="1909"/>
      <c r="Q33" s="1909"/>
      <c r="R33" s="1909"/>
      <c r="S33" s="842" t="s">
        <v>89</v>
      </c>
    </row>
    <row r="34" spans="1:23">
      <c r="B34" s="1908"/>
      <c r="C34" s="1909"/>
      <c r="D34" s="1909"/>
      <c r="E34" s="843" t="s">
        <v>1108</v>
      </c>
      <c r="F34" s="1908"/>
      <c r="G34" s="1909"/>
      <c r="H34" s="1909"/>
      <c r="I34" s="1909"/>
      <c r="J34" s="1909"/>
      <c r="K34" s="1909"/>
      <c r="L34" s="842" t="s">
        <v>89</v>
      </c>
      <c r="M34" s="1908"/>
      <c r="N34" s="1909"/>
      <c r="O34" s="1909"/>
      <c r="P34" s="1909"/>
      <c r="Q34" s="1909"/>
      <c r="R34" s="1909"/>
      <c r="S34" s="842" t="s">
        <v>89</v>
      </c>
    </row>
    <row r="35" spans="1:23">
      <c r="B35" s="1908"/>
      <c r="C35" s="1909"/>
      <c r="D35" s="1909"/>
      <c r="E35" s="843" t="s">
        <v>1199</v>
      </c>
      <c r="F35" s="1908"/>
      <c r="G35" s="1909"/>
      <c r="H35" s="1909"/>
      <c r="I35" s="1909"/>
      <c r="J35" s="1909"/>
      <c r="K35" s="1909"/>
      <c r="L35" s="842" t="s">
        <v>89</v>
      </c>
      <c r="M35" s="1908"/>
      <c r="N35" s="1909"/>
      <c r="O35" s="1909"/>
      <c r="P35" s="1909"/>
      <c r="Q35" s="1909"/>
      <c r="R35" s="1909"/>
      <c r="S35" s="842" t="s">
        <v>89</v>
      </c>
    </row>
    <row r="36" spans="1:23">
      <c r="B36" s="1910" t="s">
        <v>664</v>
      </c>
      <c r="C36" s="1910"/>
      <c r="D36" s="1910"/>
      <c r="E36" s="1910"/>
      <c r="F36" s="1911" t="str">
        <f>IF(SUM(F33:K35)=0,"",SUM(F33:K35))</f>
        <v/>
      </c>
      <c r="G36" s="1912"/>
      <c r="H36" s="1912"/>
      <c r="I36" s="1912"/>
      <c r="J36" s="1912"/>
      <c r="K36" s="1912"/>
      <c r="L36" s="842" t="s">
        <v>89</v>
      </c>
      <c r="M36" s="1911" t="str">
        <f>IF(SUM(M33:R35)=0,"",SUM(M33:R35))</f>
        <v/>
      </c>
      <c r="N36" s="1912"/>
      <c r="O36" s="1912"/>
      <c r="P36" s="1912"/>
      <c r="Q36" s="1912"/>
      <c r="R36" s="1912"/>
      <c r="S36" s="842" t="s">
        <v>89</v>
      </c>
      <c r="U36" s="1910" t="s">
        <v>1696</v>
      </c>
      <c r="V36" s="1910"/>
      <c r="W36" s="1910"/>
    </row>
    <row r="37" spans="1:23" ht="40.200000000000003" customHeight="1">
      <c r="B37" s="1913" t="s">
        <v>1697</v>
      </c>
      <c r="C37" s="1910"/>
      <c r="D37" s="1910"/>
      <c r="E37" s="1910"/>
      <c r="F37" s="1914" t="str">
        <f>IF(F36="","",F36/3)</f>
        <v/>
      </c>
      <c r="G37" s="1915"/>
      <c r="H37" s="1915"/>
      <c r="I37" s="1915"/>
      <c r="J37" s="1915"/>
      <c r="K37" s="1915"/>
      <c r="L37" s="842" t="s">
        <v>89</v>
      </c>
      <c r="M37" s="1914" t="str">
        <f>IF(M36="","",M36/3)</f>
        <v/>
      </c>
      <c r="N37" s="1915"/>
      <c r="O37" s="1915"/>
      <c r="P37" s="1915"/>
      <c r="Q37" s="1915"/>
      <c r="R37" s="1915"/>
      <c r="S37" s="842" t="s">
        <v>89</v>
      </c>
      <c r="U37" s="1916" t="str">
        <f>IF(F37="","",ROUNDDOWN(M37/F37,3))</f>
        <v/>
      </c>
      <c r="V37" s="1917"/>
      <c r="W37" s="1918"/>
    </row>
    <row r="38" spans="1:23" ht="5.0999999999999996" customHeight="1">
      <c r="A38" s="844"/>
      <c r="B38" s="845"/>
      <c r="C38" s="846"/>
      <c r="D38" s="846"/>
      <c r="E38" s="846"/>
      <c r="F38" s="847"/>
      <c r="G38" s="847"/>
      <c r="H38" s="847"/>
      <c r="I38" s="847"/>
      <c r="J38" s="847"/>
      <c r="K38" s="847"/>
      <c r="L38" s="846"/>
      <c r="M38" s="847"/>
      <c r="N38" s="847"/>
      <c r="O38" s="847"/>
      <c r="P38" s="847"/>
      <c r="Q38" s="847"/>
      <c r="R38" s="847"/>
      <c r="S38" s="846"/>
      <c r="T38" s="844"/>
      <c r="U38" s="848"/>
      <c r="V38" s="848"/>
      <c r="W38" s="848"/>
    </row>
    <row r="39" spans="1:23">
      <c r="B39" s="838" t="s">
        <v>545</v>
      </c>
      <c r="C39" s="849"/>
    </row>
    <row r="40" spans="1:23">
      <c r="B40" s="1907" t="s">
        <v>1698</v>
      </c>
      <c r="C40" s="1907"/>
      <c r="D40" s="1907"/>
      <c r="E40" s="1907"/>
      <c r="F40" s="1907"/>
      <c r="G40" s="1907"/>
      <c r="H40" s="1907"/>
      <c r="I40" s="1907"/>
      <c r="J40" s="1907"/>
      <c r="K40" s="1907"/>
      <c r="L40" s="1907"/>
      <c r="M40" s="1907"/>
      <c r="N40" s="1907"/>
      <c r="O40" s="1907"/>
      <c r="P40" s="1907"/>
      <c r="Q40" s="1907"/>
      <c r="R40" s="1907"/>
      <c r="S40" s="1907"/>
      <c r="T40" s="1907"/>
      <c r="U40" s="1907"/>
      <c r="V40" s="1907"/>
      <c r="W40" s="1907"/>
    </row>
    <row r="41" spans="1:23">
      <c r="B41" s="1907" t="s">
        <v>1699</v>
      </c>
      <c r="C41" s="1907"/>
      <c r="D41" s="1907"/>
      <c r="E41" s="1907"/>
      <c r="F41" s="1907"/>
      <c r="G41" s="1907"/>
      <c r="H41" s="1907"/>
      <c r="I41" s="1907"/>
      <c r="J41" s="1907"/>
      <c r="K41" s="1907"/>
      <c r="L41" s="1907"/>
      <c r="M41" s="1907"/>
      <c r="N41" s="1907"/>
      <c r="O41" s="1907"/>
      <c r="P41" s="1907"/>
      <c r="Q41" s="1907"/>
      <c r="R41" s="1907"/>
      <c r="S41" s="1907"/>
      <c r="T41" s="1907"/>
      <c r="U41" s="1907"/>
      <c r="V41" s="1907"/>
      <c r="W41" s="1907"/>
    </row>
    <row r="42" spans="1:23">
      <c r="B42" s="1907" t="s">
        <v>1700</v>
      </c>
      <c r="C42" s="1907"/>
      <c r="D42" s="1907"/>
      <c r="E42" s="1907"/>
      <c r="F42" s="1907"/>
      <c r="G42" s="1907"/>
      <c r="H42" s="1907"/>
      <c r="I42" s="1907"/>
      <c r="J42" s="1907"/>
      <c r="K42" s="1907"/>
      <c r="L42" s="1907"/>
      <c r="M42" s="1907"/>
      <c r="N42" s="1907"/>
      <c r="O42" s="1907"/>
      <c r="P42" s="1907"/>
      <c r="Q42" s="1907"/>
      <c r="R42" s="1907"/>
      <c r="S42" s="1907"/>
      <c r="T42" s="1907"/>
      <c r="U42" s="1907"/>
      <c r="V42" s="1907"/>
      <c r="W42" s="1907"/>
    </row>
    <row r="43" spans="1:23">
      <c r="B43" s="1907" t="s">
        <v>1701</v>
      </c>
      <c r="C43" s="1907"/>
      <c r="D43" s="1907"/>
      <c r="E43" s="1907"/>
      <c r="F43" s="1907"/>
      <c r="G43" s="1907"/>
      <c r="H43" s="1907"/>
      <c r="I43" s="1907"/>
      <c r="J43" s="1907"/>
      <c r="K43" s="1907"/>
      <c r="L43" s="1907"/>
      <c r="M43" s="1907"/>
      <c r="N43" s="1907"/>
      <c r="O43" s="1907"/>
      <c r="P43" s="1907"/>
      <c r="Q43" s="1907"/>
      <c r="R43" s="1907"/>
      <c r="S43" s="1907"/>
      <c r="T43" s="1907"/>
      <c r="U43" s="1907"/>
      <c r="V43" s="1907"/>
      <c r="W43" s="1907"/>
    </row>
    <row r="44" spans="1:23">
      <c r="B44" s="1907" t="s">
        <v>1702</v>
      </c>
      <c r="C44" s="1907"/>
      <c r="D44" s="1907"/>
      <c r="E44" s="1907"/>
      <c r="F44" s="1907"/>
      <c r="G44" s="1907"/>
      <c r="H44" s="1907"/>
      <c r="I44" s="1907"/>
      <c r="J44" s="1907"/>
      <c r="K44" s="1907"/>
      <c r="L44" s="1907"/>
      <c r="M44" s="1907"/>
      <c r="N44" s="1907"/>
      <c r="O44" s="1907"/>
      <c r="P44" s="1907"/>
      <c r="Q44" s="1907"/>
      <c r="R44" s="1907"/>
      <c r="S44" s="1907"/>
      <c r="T44" s="1907"/>
      <c r="U44" s="1907"/>
      <c r="V44" s="1907"/>
      <c r="W44" s="1907"/>
    </row>
    <row r="45" spans="1:23">
      <c r="B45" s="1907" t="s">
        <v>1703</v>
      </c>
      <c r="C45" s="1907"/>
      <c r="D45" s="1907"/>
      <c r="E45" s="1907"/>
      <c r="F45" s="1907"/>
      <c r="G45" s="1907"/>
      <c r="H45" s="1907"/>
      <c r="I45" s="1907"/>
      <c r="J45" s="1907"/>
      <c r="K45" s="1907"/>
      <c r="L45" s="1907"/>
      <c r="M45" s="1907"/>
      <c r="N45" s="1907"/>
      <c r="O45" s="1907"/>
      <c r="P45" s="1907"/>
      <c r="Q45" s="1907"/>
      <c r="R45" s="1907"/>
      <c r="S45" s="1907"/>
      <c r="T45" s="1907"/>
      <c r="U45" s="1907"/>
      <c r="V45" s="1907"/>
      <c r="W45" s="1907"/>
    </row>
    <row r="46" spans="1:23">
      <c r="B46" s="1907" t="s">
        <v>1704</v>
      </c>
      <c r="C46" s="1907"/>
      <c r="D46" s="1907"/>
      <c r="E46" s="1907"/>
      <c r="F46" s="1907"/>
      <c r="G46" s="1907"/>
      <c r="H46" s="1907"/>
      <c r="I46" s="1907"/>
      <c r="J46" s="1907"/>
      <c r="K46" s="1907"/>
      <c r="L46" s="1907"/>
      <c r="M46" s="1907"/>
      <c r="N46" s="1907"/>
      <c r="O46" s="1907"/>
      <c r="P46" s="1907"/>
      <c r="Q46" s="1907"/>
      <c r="R46" s="1907"/>
      <c r="S46" s="1907"/>
      <c r="T46" s="1907"/>
      <c r="U46" s="1907"/>
      <c r="V46" s="1907"/>
      <c r="W46" s="1907"/>
    </row>
    <row r="47" spans="1:23">
      <c r="B47" s="1907" t="s">
        <v>1705</v>
      </c>
      <c r="C47" s="1907"/>
      <c r="D47" s="1907"/>
      <c r="E47" s="1907"/>
      <c r="F47" s="1907"/>
      <c r="G47" s="1907"/>
      <c r="H47" s="1907"/>
      <c r="I47" s="1907"/>
      <c r="J47" s="1907"/>
      <c r="K47" s="1907"/>
      <c r="L47" s="1907"/>
      <c r="M47" s="1907"/>
      <c r="N47" s="1907"/>
      <c r="O47" s="1907"/>
      <c r="P47" s="1907"/>
      <c r="Q47" s="1907"/>
      <c r="R47" s="1907"/>
      <c r="S47" s="1907"/>
      <c r="T47" s="1907"/>
      <c r="U47" s="1907"/>
      <c r="V47" s="1907"/>
      <c r="W47" s="1907"/>
    </row>
    <row r="48" spans="1:23">
      <c r="B48" s="1907"/>
      <c r="C48" s="1907"/>
      <c r="D48" s="1907"/>
      <c r="E48" s="1907"/>
      <c r="F48" s="1907"/>
      <c r="G48" s="1907"/>
      <c r="H48" s="1907"/>
      <c r="I48" s="1907"/>
      <c r="J48" s="1907"/>
      <c r="K48" s="1907"/>
      <c r="L48" s="1907"/>
      <c r="M48" s="1907"/>
      <c r="N48" s="1907"/>
      <c r="O48" s="1907"/>
      <c r="P48" s="1907"/>
      <c r="Q48" s="1907"/>
      <c r="R48" s="1907"/>
      <c r="S48" s="1907"/>
      <c r="T48" s="1907"/>
      <c r="U48" s="1907"/>
      <c r="V48" s="1907"/>
      <c r="W48" s="1907"/>
    </row>
    <row r="49" spans="2:23">
      <c r="B49" s="1907"/>
      <c r="C49" s="1907"/>
      <c r="D49" s="1907"/>
      <c r="E49" s="1907"/>
      <c r="F49" s="1907"/>
      <c r="G49" s="1907"/>
      <c r="H49" s="1907"/>
      <c r="I49" s="1907"/>
      <c r="J49" s="1907"/>
      <c r="K49" s="1907"/>
      <c r="L49" s="1907"/>
      <c r="M49" s="1907"/>
      <c r="N49" s="1907"/>
      <c r="O49" s="1907"/>
      <c r="P49" s="1907"/>
      <c r="Q49" s="1907"/>
      <c r="R49" s="1907"/>
      <c r="S49" s="1907"/>
      <c r="T49" s="1907"/>
      <c r="U49" s="1907"/>
      <c r="V49" s="1907"/>
      <c r="W49" s="1907"/>
    </row>
    <row r="122" spans="3:7">
      <c r="C122" s="844"/>
      <c r="D122" s="844"/>
      <c r="E122" s="844"/>
      <c r="F122" s="844"/>
      <c r="G122" s="844"/>
    </row>
    <row r="123" spans="3:7">
      <c r="C123" s="849"/>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3"/>
  <dataValidations count="1">
    <dataValidation type="list" allowBlank="1" showInputMessage="1" showErrorMessage="1" sqref="C9 J9 C12:C13" xr:uid="{FA36A6EE-D9B5-42A5-980C-6C15B7EFB2AB}">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46F95-7242-4DAC-AA03-9DEEBDA76CC2}">
  <sheetPr>
    <tabColor rgb="FFFFFF00"/>
    <pageSetUpPr fitToPage="1"/>
  </sheetPr>
  <dimension ref="B1:AD123"/>
  <sheetViews>
    <sheetView view="pageBreakPreview" zoomScaleNormal="100" zoomScaleSheetLayoutView="100" workbookViewId="0"/>
  </sheetViews>
  <sheetFormatPr defaultColWidth="3.44140625" defaultRowHeight="13.2"/>
  <cols>
    <col min="1" max="1" width="1.21875" style="3" customWidth="1"/>
    <col min="2" max="2" width="3.33203125" style="616"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row r="2" spans="2:30" s="1" customFormat="1">
      <c r="B2" s="1" t="s">
        <v>1707</v>
      </c>
    </row>
    <row r="3" spans="2:30" s="1" customFormat="1">
      <c r="X3" s="45" t="s">
        <v>544</v>
      </c>
      <c r="Z3" s="1" t="s">
        <v>34</v>
      </c>
      <c r="AB3" s="1" t="s">
        <v>1108</v>
      </c>
      <c r="AD3" s="45" t="s">
        <v>241</v>
      </c>
    </row>
    <row r="4" spans="2:30" s="1" customFormat="1">
      <c r="AD4" s="45"/>
    </row>
    <row r="5" spans="2:30" s="1" customFormat="1" ht="27.75" customHeight="1">
      <c r="B5" s="1814" t="s">
        <v>1708</v>
      </c>
      <c r="C5" s="1575"/>
      <c r="D5" s="1575"/>
      <c r="E5" s="1575"/>
      <c r="F5" s="1575"/>
      <c r="G5" s="1575"/>
      <c r="H5" s="1575"/>
      <c r="I5" s="1575"/>
      <c r="J5" s="1575"/>
      <c r="K5" s="1575"/>
      <c r="L5" s="1575"/>
      <c r="M5" s="1575"/>
      <c r="N5" s="1575"/>
      <c r="O5" s="1575"/>
      <c r="P5" s="1575"/>
      <c r="Q5" s="1575"/>
      <c r="R5" s="1575"/>
      <c r="S5" s="1575"/>
      <c r="T5" s="1575"/>
      <c r="U5" s="1575"/>
      <c r="V5" s="1575"/>
      <c r="W5" s="1575"/>
      <c r="X5" s="1575"/>
      <c r="Y5" s="1575"/>
      <c r="Z5" s="1575"/>
      <c r="AA5" s="1575"/>
      <c r="AB5" s="1575"/>
      <c r="AC5" s="1575"/>
      <c r="AD5" s="1575"/>
    </row>
    <row r="6" spans="2:30" s="1" customFormat="1"/>
    <row r="7" spans="2:30" s="1" customFormat="1" ht="39.75" customHeight="1">
      <c r="B7" s="1794" t="s">
        <v>196</v>
      </c>
      <c r="C7" s="1794"/>
      <c r="D7" s="1794"/>
      <c r="E7" s="1794"/>
      <c r="F7" s="1794"/>
      <c r="G7" s="1789"/>
      <c r="H7" s="1790"/>
      <c r="I7" s="1790"/>
      <c r="J7" s="1790"/>
      <c r="K7" s="1790"/>
      <c r="L7" s="1790"/>
      <c r="M7" s="1790"/>
      <c r="N7" s="1790"/>
      <c r="O7" s="1790"/>
      <c r="P7" s="1790"/>
      <c r="Q7" s="1790"/>
      <c r="R7" s="1790"/>
      <c r="S7" s="1790"/>
      <c r="T7" s="1790"/>
      <c r="U7" s="1790"/>
      <c r="V7" s="1790"/>
      <c r="W7" s="1790"/>
      <c r="X7" s="1790"/>
      <c r="Y7" s="1790"/>
      <c r="Z7" s="1790"/>
      <c r="AA7" s="1790"/>
      <c r="AB7" s="1790"/>
      <c r="AC7" s="1790"/>
      <c r="AD7" s="1791"/>
    </row>
    <row r="8" spans="2:30" ht="39.75" customHeight="1">
      <c r="B8" s="1580" t="s">
        <v>93</v>
      </c>
      <c r="C8" s="1581"/>
      <c r="D8" s="1581"/>
      <c r="E8" s="1581"/>
      <c r="F8" s="1582"/>
      <c r="G8" s="638"/>
      <c r="H8" s="640" t="s">
        <v>121</v>
      </c>
      <c r="I8" s="639" t="s">
        <v>1173</v>
      </c>
      <c r="J8" s="639"/>
      <c r="K8" s="639"/>
      <c r="L8" s="639"/>
      <c r="M8" s="640" t="s">
        <v>121</v>
      </c>
      <c r="N8" s="639" t="s">
        <v>1174</v>
      </c>
      <c r="O8" s="639"/>
      <c r="P8" s="639"/>
      <c r="Q8" s="639"/>
      <c r="R8" s="640" t="s">
        <v>121</v>
      </c>
      <c r="S8" s="639" t="s">
        <v>1175</v>
      </c>
      <c r="T8" s="639"/>
      <c r="U8" s="639"/>
      <c r="V8" s="639"/>
      <c r="W8" s="639"/>
      <c r="X8" s="639"/>
      <c r="Y8" s="639"/>
      <c r="Z8" s="639"/>
      <c r="AA8" s="639"/>
      <c r="AB8" s="639"/>
      <c r="AC8" s="639"/>
      <c r="AD8" s="643"/>
    </row>
    <row r="9" spans="2:30" ht="39.75" customHeight="1">
      <c r="B9" s="1580" t="s">
        <v>294</v>
      </c>
      <c r="C9" s="1581"/>
      <c r="D9" s="1581"/>
      <c r="E9" s="1581"/>
      <c r="F9" s="1581"/>
      <c r="G9" s="9"/>
      <c r="H9" s="640" t="s">
        <v>121</v>
      </c>
      <c r="I9" s="639" t="s">
        <v>1709</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408"/>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402"/>
    </row>
    <row r="13" spans="2:30" s="1" customFormat="1" ht="32.25" customHeight="1">
      <c r="B13" s="405"/>
      <c r="C13" s="1891" t="s">
        <v>295</v>
      </c>
      <c r="D13" s="1820"/>
      <c r="E13" s="1820"/>
      <c r="F13" s="1892"/>
      <c r="H13" s="605" t="s">
        <v>107</v>
      </c>
      <c r="I13" s="1885" t="s">
        <v>843</v>
      </c>
      <c r="J13" s="1886"/>
      <c r="K13" s="1886"/>
      <c r="L13" s="1886"/>
      <c r="M13" s="1886"/>
      <c r="N13" s="1886"/>
      <c r="O13" s="1886"/>
      <c r="P13" s="1886"/>
      <c r="Q13" s="1886"/>
      <c r="R13" s="1886"/>
      <c r="S13" s="1580"/>
      <c r="T13" s="1581"/>
      <c r="U13" s="716" t="s">
        <v>89</v>
      </c>
      <c r="V13" s="12"/>
      <c r="W13" s="12"/>
      <c r="X13" s="12"/>
      <c r="Y13" s="12"/>
      <c r="AA13" s="408"/>
      <c r="AC13" s="402"/>
      <c r="AD13" s="402"/>
    </row>
    <row r="14" spans="2:30" s="1" customFormat="1" ht="32.25" customHeight="1">
      <c r="B14" s="405"/>
      <c r="C14" s="405"/>
      <c r="D14" s="406"/>
      <c r="E14" s="406"/>
      <c r="F14" s="407"/>
      <c r="H14" s="605" t="s">
        <v>104</v>
      </c>
      <c r="I14" s="1885" t="s">
        <v>844</v>
      </c>
      <c r="J14" s="1886"/>
      <c r="K14" s="1886"/>
      <c r="L14" s="1886"/>
      <c r="M14" s="1886"/>
      <c r="N14" s="1886"/>
      <c r="O14" s="1886"/>
      <c r="P14" s="1886"/>
      <c r="Q14" s="1886"/>
      <c r="R14" s="1886"/>
      <c r="S14" s="1580"/>
      <c r="T14" s="1581"/>
      <c r="U14" s="716" t="s">
        <v>89</v>
      </c>
      <c r="V14" s="12"/>
      <c r="W14" s="12"/>
      <c r="X14" s="12"/>
      <c r="Y14" s="12"/>
      <c r="AA14" s="652" t="s">
        <v>1118</v>
      </c>
      <c r="AB14" s="653" t="s">
        <v>440</v>
      </c>
      <c r="AC14" s="654" t="s">
        <v>674</v>
      </c>
      <c r="AD14" s="402"/>
    </row>
    <row r="15" spans="2:30" s="1" customFormat="1" ht="32.25" customHeight="1">
      <c r="B15" s="408"/>
      <c r="C15" s="408"/>
      <c r="F15" s="402"/>
      <c r="H15" s="605" t="s">
        <v>211</v>
      </c>
      <c r="I15" s="1887" t="s">
        <v>284</v>
      </c>
      <c r="J15" s="1888"/>
      <c r="K15" s="1888"/>
      <c r="L15" s="1888"/>
      <c r="M15" s="1888"/>
      <c r="N15" s="1888"/>
      <c r="O15" s="1888"/>
      <c r="P15" s="1888"/>
      <c r="Q15" s="1888"/>
      <c r="R15" s="1889"/>
      <c r="S15" s="1580"/>
      <c r="T15" s="1581"/>
      <c r="U15" s="716" t="s">
        <v>60</v>
      </c>
      <c r="V15" s="1" t="s">
        <v>198</v>
      </c>
      <c r="W15" s="1890" t="s">
        <v>845</v>
      </c>
      <c r="X15" s="1890"/>
      <c r="Y15" s="1890"/>
      <c r="Z15" s="21"/>
      <c r="AA15" s="655" t="s">
        <v>121</v>
      </c>
      <c r="AB15" s="641" t="s">
        <v>440</v>
      </c>
      <c r="AC15" s="656" t="s">
        <v>121</v>
      </c>
      <c r="AD15" s="729"/>
    </row>
    <row r="16" spans="2:30" s="1" customFormat="1">
      <c r="B16" s="408"/>
      <c r="C16" s="409"/>
      <c r="D16" s="8"/>
      <c r="E16" s="8"/>
      <c r="F16" s="424"/>
      <c r="G16" s="8"/>
      <c r="H16" s="8"/>
      <c r="I16" s="8"/>
      <c r="J16" s="8"/>
      <c r="K16" s="8"/>
      <c r="L16" s="8"/>
      <c r="M16" s="8"/>
      <c r="N16" s="8"/>
      <c r="O16" s="8"/>
      <c r="P16" s="8"/>
      <c r="Q16" s="8"/>
      <c r="R16" s="8"/>
      <c r="S16" s="8"/>
      <c r="T16" s="8"/>
      <c r="U16" s="8"/>
      <c r="V16" s="8"/>
      <c r="W16" s="8"/>
      <c r="X16" s="8"/>
      <c r="Y16" s="8"/>
      <c r="Z16" s="8"/>
      <c r="AA16" s="409"/>
      <c r="AB16" s="8"/>
      <c r="AC16" s="424"/>
      <c r="AD16" s="402"/>
    </row>
    <row r="17" spans="2:30" s="1" customFormat="1" ht="10.5" customHeight="1">
      <c r="B17" s="408"/>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402"/>
    </row>
    <row r="18" spans="2:30" s="1" customFormat="1" ht="27" customHeight="1">
      <c r="B18" s="405"/>
      <c r="C18" s="1891" t="s">
        <v>296</v>
      </c>
      <c r="D18" s="1820"/>
      <c r="E18" s="1820"/>
      <c r="F18" s="1892"/>
      <c r="H18" s="605" t="s">
        <v>107</v>
      </c>
      <c r="I18" s="1885" t="s">
        <v>297</v>
      </c>
      <c r="J18" s="1886"/>
      <c r="K18" s="1886"/>
      <c r="L18" s="1886"/>
      <c r="M18" s="1886"/>
      <c r="N18" s="1886"/>
      <c r="O18" s="1886"/>
      <c r="P18" s="1886"/>
      <c r="Q18" s="1886"/>
      <c r="R18" s="1886"/>
      <c r="S18" s="1580"/>
      <c r="T18" s="1581"/>
      <c r="U18" s="716" t="s">
        <v>30</v>
      </c>
      <c r="V18" s="12"/>
      <c r="W18" s="12"/>
      <c r="X18" s="12"/>
      <c r="Y18" s="12"/>
      <c r="AA18" s="408"/>
      <c r="AC18" s="402"/>
      <c r="AD18" s="402"/>
    </row>
    <row r="19" spans="2:30" s="1" customFormat="1" ht="27" customHeight="1">
      <c r="B19" s="405"/>
      <c r="C19" s="1891"/>
      <c r="D19" s="1820"/>
      <c r="E19" s="1820"/>
      <c r="F19" s="1892"/>
      <c r="H19" s="605" t="s">
        <v>104</v>
      </c>
      <c r="I19" s="1885" t="s">
        <v>298</v>
      </c>
      <c r="J19" s="1886"/>
      <c r="K19" s="1886"/>
      <c r="L19" s="1886"/>
      <c r="M19" s="1886"/>
      <c r="N19" s="1886"/>
      <c r="O19" s="1886"/>
      <c r="P19" s="1886"/>
      <c r="Q19" s="1886"/>
      <c r="R19" s="1886"/>
      <c r="S19" s="1580"/>
      <c r="T19" s="1581"/>
      <c r="U19" s="716" t="s">
        <v>89</v>
      </c>
      <c r="V19" s="12"/>
      <c r="W19" s="12"/>
      <c r="X19" s="12"/>
      <c r="Y19" s="12"/>
      <c r="AA19" s="408"/>
      <c r="AC19" s="402"/>
      <c r="AD19" s="402"/>
    </row>
    <row r="20" spans="2:30" s="1" customFormat="1" ht="27" customHeight="1">
      <c r="B20" s="405"/>
      <c r="C20" s="405"/>
      <c r="D20" s="406"/>
      <c r="E20" s="406"/>
      <c r="F20" s="407"/>
      <c r="H20" s="605" t="s">
        <v>211</v>
      </c>
      <c r="I20" s="1885" t="s">
        <v>846</v>
      </c>
      <c r="J20" s="1886"/>
      <c r="K20" s="1886"/>
      <c r="L20" s="1886"/>
      <c r="M20" s="1886"/>
      <c r="N20" s="1886"/>
      <c r="O20" s="1886"/>
      <c r="P20" s="1886"/>
      <c r="Q20" s="1886"/>
      <c r="R20" s="1886"/>
      <c r="S20" s="1580"/>
      <c r="T20" s="1581"/>
      <c r="U20" s="716" t="s">
        <v>89</v>
      </c>
      <c r="V20" s="12"/>
      <c r="W20" s="12"/>
      <c r="X20" s="12"/>
      <c r="Y20" s="12"/>
      <c r="AA20" s="652" t="s">
        <v>1118</v>
      </c>
      <c r="AB20" s="653" t="s">
        <v>440</v>
      </c>
      <c r="AC20" s="654" t="s">
        <v>674</v>
      </c>
      <c r="AD20" s="402"/>
    </row>
    <row r="21" spans="2:30" s="1" customFormat="1" ht="27" customHeight="1">
      <c r="B21" s="408"/>
      <c r="C21" s="408"/>
      <c r="F21" s="402"/>
      <c r="H21" s="605" t="s">
        <v>207</v>
      </c>
      <c r="I21" s="1887" t="s">
        <v>299</v>
      </c>
      <c r="J21" s="1888"/>
      <c r="K21" s="1888"/>
      <c r="L21" s="1888"/>
      <c r="M21" s="1888"/>
      <c r="N21" s="1888"/>
      <c r="O21" s="1888"/>
      <c r="P21" s="1888"/>
      <c r="Q21" s="1888"/>
      <c r="R21" s="1889"/>
      <c r="S21" s="1580"/>
      <c r="T21" s="1581"/>
      <c r="U21" s="716" t="s">
        <v>60</v>
      </c>
      <c r="V21" s="1" t="s">
        <v>198</v>
      </c>
      <c r="W21" s="1890" t="s">
        <v>847</v>
      </c>
      <c r="X21" s="1890"/>
      <c r="Y21" s="1890"/>
      <c r="Z21" s="21"/>
      <c r="AA21" s="655" t="s">
        <v>121</v>
      </c>
      <c r="AB21" s="641" t="s">
        <v>440</v>
      </c>
      <c r="AC21" s="656" t="s">
        <v>121</v>
      </c>
      <c r="AD21" s="729"/>
    </row>
    <row r="22" spans="2:30" s="1" customFormat="1">
      <c r="B22" s="408"/>
      <c r="C22" s="409"/>
      <c r="D22" s="8"/>
      <c r="E22" s="8"/>
      <c r="F22" s="424"/>
      <c r="G22" s="8"/>
      <c r="H22" s="8"/>
      <c r="I22" s="8"/>
      <c r="J22" s="8"/>
      <c r="K22" s="8"/>
      <c r="L22" s="8"/>
      <c r="M22" s="8"/>
      <c r="N22" s="8"/>
      <c r="O22" s="8"/>
      <c r="P22" s="8"/>
      <c r="Q22" s="8"/>
      <c r="R22" s="8"/>
      <c r="S22" s="8"/>
      <c r="T22" s="8"/>
      <c r="U22" s="8"/>
      <c r="V22" s="8"/>
      <c r="W22" s="8"/>
      <c r="X22" s="8"/>
      <c r="Y22" s="8"/>
      <c r="Z22" s="8"/>
      <c r="AA22" s="409"/>
      <c r="AB22" s="8"/>
      <c r="AC22" s="424"/>
      <c r="AD22" s="402"/>
    </row>
    <row r="23" spans="2:30" s="1" customFormat="1">
      <c r="B23" s="40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24"/>
    </row>
    <row r="24" spans="2:30" s="1" customFormat="1" ht="7.5" customHeight="1">
      <c r="B24" s="1591"/>
      <c r="C24" s="1591"/>
      <c r="D24" s="1591"/>
      <c r="E24" s="1591"/>
      <c r="F24" s="1591"/>
      <c r="G24" s="1591"/>
      <c r="H24" s="1591"/>
      <c r="I24" s="1591"/>
      <c r="J24" s="1591"/>
      <c r="K24" s="1591"/>
      <c r="L24" s="1591"/>
      <c r="M24" s="1591"/>
      <c r="N24" s="1591"/>
      <c r="O24" s="1591"/>
      <c r="P24" s="1591"/>
      <c r="Q24" s="1591"/>
      <c r="R24" s="1591"/>
      <c r="S24" s="1591"/>
      <c r="T24" s="1591"/>
      <c r="U24" s="1591"/>
      <c r="V24" s="1591"/>
      <c r="W24" s="1591"/>
      <c r="X24" s="1591"/>
      <c r="Y24" s="1591"/>
      <c r="Z24" s="1591"/>
      <c r="AA24" s="1591"/>
      <c r="AB24" s="1591"/>
      <c r="AC24" s="1591"/>
      <c r="AD24" s="1591"/>
    </row>
    <row r="25" spans="2:30" s="1" customFormat="1" ht="86.25" customHeight="1">
      <c r="B25" s="1576" t="s">
        <v>848</v>
      </c>
      <c r="C25" s="1576"/>
      <c r="D25" s="1704" t="s">
        <v>1710</v>
      </c>
      <c r="E25" s="1704"/>
      <c r="F25" s="1704"/>
      <c r="G25" s="1704"/>
      <c r="H25" s="1704"/>
      <c r="I25" s="1704"/>
      <c r="J25" s="1704"/>
      <c r="K25" s="1704"/>
      <c r="L25" s="1704"/>
      <c r="M25" s="1704"/>
      <c r="N25" s="1704"/>
      <c r="O25" s="1704"/>
      <c r="P25" s="1704"/>
      <c r="Q25" s="1704"/>
      <c r="R25" s="1704"/>
      <c r="S25" s="1704"/>
      <c r="T25" s="1704"/>
      <c r="U25" s="1704"/>
      <c r="V25" s="1704"/>
      <c r="W25" s="1704"/>
      <c r="X25" s="1704"/>
      <c r="Y25" s="1704"/>
      <c r="Z25" s="1704"/>
      <c r="AA25" s="1704"/>
      <c r="AB25" s="1704"/>
      <c r="AC25" s="1704"/>
      <c r="AD25" s="21"/>
    </row>
    <row r="26" spans="2:30" s="1" customFormat="1" ht="31.5" customHeight="1">
      <c r="B26" s="1597" t="s">
        <v>849</v>
      </c>
      <c r="C26" s="1597"/>
      <c r="D26" s="1597" t="s">
        <v>1711</v>
      </c>
      <c r="E26" s="1597"/>
      <c r="F26" s="1597"/>
      <c r="G26" s="1597"/>
      <c r="H26" s="1597"/>
      <c r="I26" s="1597"/>
      <c r="J26" s="1597"/>
      <c r="K26" s="1597"/>
      <c r="L26" s="1597"/>
      <c r="M26" s="1597"/>
      <c r="N26" s="1597"/>
      <c r="O26" s="1597"/>
      <c r="P26" s="1597"/>
      <c r="Q26" s="1597"/>
      <c r="R26" s="1597"/>
      <c r="S26" s="1597"/>
      <c r="T26" s="1597"/>
      <c r="U26" s="1597"/>
      <c r="V26" s="1597"/>
      <c r="W26" s="1597"/>
      <c r="X26" s="1597"/>
      <c r="Y26" s="1597"/>
      <c r="Z26" s="1597"/>
      <c r="AA26" s="1597"/>
      <c r="AB26" s="1597"/>
      <c r="AC26" s="1597"/>
      <c r="AD26" s="406"/>
    </row>
    <row r="27" spans="2:30" s="1" customFormat="1" ht="29.25" customHeight="1">
      <c r="B27" s="1597" t="s">
        <v>300</v>
      </c>
      <c r="C27" s="1597"/>
      <c r="D27" s="1597"/>
      <c r="E27" s="1597"/>
      <c r="F27" s="1597"/>
      <c r="G27" s="1597"/>
      <c r="H27" s="1597"/>
      <c r="I27" s="1597"/>
      <c r="J27" s="1597"/>
      <c r="K27" s="1597"/>
      <c r="L27" s="1597"/>
      <c r="M27" s="1597"/>
      <c r="N27" s="1597"/>
      <c r="O27" s="1597"/>
      <c r="P27" s="1597"/>
      <c r="Q27" s="1597"/>
      <c r="R27" s="1597"/>
      <c r="S27" s="1597"/>
      <c r="T27" s="1597"/>
      <c r="U27" s="1597"/>
      <c r="V27" s="1597"/>
      <c r="W27" s="1597"/>
      <c r="X27" s="1597"/>
      <c r="Y27" s="1597"/>
      <c r="Z27" s="1597"/>
      <c r="AA27" s="1597"/>
      <c r="AB27" s="1597"/>
      <c r="AC27" s="1597"/>
      <c r="AD27" s="1597"/>
    </row>
    <row r="28" spans="2:30" s="1" customFormat="1">
      <c r="B28" s="1597"/>
      <c r="C28" s="1597"/>
      <c r="D28" s="1597"/>
      <c r="E28" s="1597"/>
      <c r="F28" s="1597"/>
      <c r="G28" s="1597"/>
      <c r="H28" s="1597"/>
      <c r="I28" s="1597"/>
      <c r="J28" s="1597"/>
      <c r="K28" s="1597"/>
      <c r="L28" s="1597"/>
      <c r="M28" s="1597"/>
      <c r="N28" s="1597"/>
      <c r="O28" s="1597"/>
      <c r="P28" s="1597"/>
      <c r="Q28" s="1597"/>
      <c r="R28" s="1597"/>
      <c r="S28" s="1597"/>
      <c r="T28" s="1597"/>
      <c r="U28" s="1597"/>
      <c r="V28" s="1597"/>
      <c r="W28" s="1597"/>
      <c r="X28" s="1597"/>
      <c r="Y28" s="1597"/>
      <c r="Z28" s="1597"/>
      <c r="AA28" s="1597"/>
      <c r="AB28" s="1597"/>
      <c r="AC28" s="1597"/>
      <c r="AD28" s="1597"/>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3"/>
  <dataValidations count="1">
    <dataValidation type="list" allowBlank="1" showInputMessage="1" showErrorMessage="1" sqref="AA15 AC15 AA21 AC21 H8:H9 M8 R8" xr:uid="{58794109-459C-41B7-B107-8F3F3B89E427}">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6A63F-79AD-4C33-ADBE-C50E028ED023}">
  <sheetPr>
    <tabColor rgb="FFFFFF00"/>
    <pageSetUpPr fitToPage="1"/>
  </sheetPr>
  <dimension ref="A1:AK78"/>
  <sheetViews>
    <sheetView view="pageBreakPreview" zoomScaleNormal="100" zoomScaleSheetLayoutView="100" workbookViewId="0"/>
  </sheetViews>
  <sheetFormatPr defaultColWidth="3.44140625" defaultRowHeight="13.2"/>
  <cols>
    <col min="1" max="1" width="3.44140625" style="3"/>
    <col min="2" max="2" width="3" style="616" customWidth="1"/>
    <col min="3" max="7" width="3.44140625" style="3"/>
    <col min="8" max="8" width="2.44140625" style="3" customWidth="1"/>
    <col min="9" max="257" width="3.44140625" style="3"/>
    <col min="258" max="258" width="3" style="3" customWidth="1"/>
    <col min="259" max="263" width="3.44140625" style="3"/>
    <col min="264" max="264" width="2.44140625" style="3" customWidth="1"/>
    <col min="265" max="513" width="3.44140625" style="3"/>
    <col min="514" max="514" width="3" style="3" customWidth="1"/>
    <col min="515" max="519" width="3.44140625" style="3"/>
    <col min="520" max="520" width="2.44140625" style="3" customWidth="1"/>
    <col min="521" max="769" width="3.44140625" style="3"/>
    <col min="770" max="770" width="3" style="3" customWidth="1"/>
    <col min="771" max="775" width="3.44140625" style="3"/>
    <col min="776" max="776" width="2.44140625" style="3" customWidth="1"/>
    <col min="777" max="1025" width="3.44140625" style="3"/>
    <col min="1026" max="1026" width="3" style="3" customWidth="1"/>
    <col min="1027" max="1031" width="3.44140625" style="3"/>
    <col min="1032" max="1032" width="2.44140625" style="3" customWidth="1"/>
    <col min="1033" max="1281" width="3.44140625" style="3"/>
    <col min="1282" max="1282" width="3" style="3" customWidth="1"/>
    <col min="1283" max="1287" width="3.44140625" style="3"/>
    <col min="1288" max="1288" width="2.44140625" style="3" customWidth="1"/>
    <col min="1289" max="1537" width="3.44140625" style="3"/>
    <col min="1538" max="1538" width="3" style="3" customWidth="1"/>
    <col min="1539" max="1543" width="3.44140625" style="3"/>
    <col min="1544" max="1544" width="2.44140625" style="3" customWidth="1"/>
    <col min="1545" max="1793" width="3.44140625" style="3"/>
    <col min="1794" max="1794" width="3" style="3" customWidth="1"/>
    <col min="1795" max="1799" width="3.44140625" style="3"/>
    <col min="1800" max="1800" width="2.44140625" style="3" customWidth="1"/>
    <col min="1801" max="2049" width="3.44140625" style="3"/>
    <col min="2050" max="2050" width="3" style="3" customWidth="1"/>
    <col min="2051" max="2055" width="3.44140625" style="3"/>
    <col min="2056" max="2056" width="2.44140625" style="3" customWidth="1"/>
    <col min="2057" max="2305" width="3.44140625" style="3"/>
    <col min="2306" max="2306" width="3" style="3" customWidth="1"/>
    <col min="2307" max="2311" width="3.44140625" style="3"/>
    <col min="2312" max="2312" width="2.44140625" style="3" customWidth="1"/>
    <col min="2313" max="2561" width="3.44140625" style="3"/>
    <col min="2562" max="2562" width="3" style="3" customWidth="1"/>
    <col min="2563" max="2567" width="3.44140625" style="3"/>
    <col min="2568" max="2568" width="2.44140625" style="3" customWidth="1"/>
    <col min="2569" max="2817" width="3.44140625" style="3"/>
    <col min="2818" max="2818" width="3" style="3" customWidth="1"/>
    <col min="2819" max="2823" width="3.44140625" style="3"/>
    <col min="2824" max="2824" width="2.44140625" style="3" customWidth="1"/>
    <col min="2825" max="3073" width="3.44140625" style="3"/>
    <col min="3074" max="3074" width="3" style="3" customWidth="1"/>
    <col min="3075" max="3079" width="3.44140625" style="3"/>
    <col min="3080" max="3080" width="2.44140625" style="3" customWidth="1"/>
    <col min="3081" max="3329" width="3.44140625" style="3"/>
    <col min="3330" max="3330" width="3" style="3" customWidth="1"/>
    <col min="3331" max="3335" width="3.44140625" style="3"/>
    <col min="3336" max="3336" width="2.44140625" style="3" customWidth="1"/>
    <col min="3337" max="3585" width="3.44140625" style="3"/>
    <col min="3586" max="3586" width="3" style="3" customWidth="1"/>
    <col min="3587" max="3591" width="3.44140625" style="3"/>
    <col min="3592" max="3592" width="2.44140625" style="3" customWidth="1"/>
    <col min="3593" max="3841" width="3.44140625" style="3"/>
    <col min="3842" max="3842" width="3" style="3" customWidth="1"/>
    <col min="3843" max="3847" width="3.44140625" style="3"/>
    <col min="3848" max="3848" width="2.44140625" style="3" customWidth="1"/>
    <col min="3849" max="4097" width="3.44140625" style="3"/>
    <col min="4098" max="4098" width="3" style="3" customWidth="1"/>
    <col min="4099" max="4103" width="3.44140625" style="3"/>
    <col min="4104" max="4104" width="2.44140625" style="3" customWidth="1"/>
    <col min="4105" max="4353" width="3.44140625" style="3"/>
    <col min="4354" max="4354" width="3" style="3" customWidth="1"/>
    <col min="4355" max="4359" width="3.44140625" style="3"/>
    <col min="4360" max="4360" width="2.44140625" style="3" customWidth="1"/>
    <col min="4361" max="4609" width="3.44140625" style="3"/>
    <col min="4610" max="4610" width="3" style="3" customWidth="1"/>
    <col min="4611" max="4615" width="3.44140625" style="3"/>
    <col min="4616" max="4616" width="2.44140625" style="3" customWidth="1"/>
    <col min="4617" max="4865" width="3.44140625" style="3"/>
    <col min="4866" max="4866" width="3" style="3" customWidth="1"/>
    <col min="4867" max="4871" width="3.44140625" style="3"/>
    <col min="4872" max="4872" width="2.44140625" style="3" customWidth="1"/>
    <col min="4873" max="5121" width="3.44140625" style="3"/>
    <col min="5122" max="5122" width="3" style="3" customWidth="1"/>
    <col min="5123" max="5127" width="3.44140625" style="3"/>
    <col min="5128" max="5128" width="2.44140625" style="3" customWidth="1"/>
    <col min="5129" max="5377" width="3.44140625" style="3"/>
    <col min="5378" max="5378" width="3" style="3" customWidth="1"/>
    <col min="5379" max="5383" width="3.44140625" style="3"/>
    <col min="5384" max="5384" width="2.44140625" style="3" customWidth="1"/>
    <col min="5385" max="5633" width="3.44140625" style="3"/>
    <col min="5634" max="5634" width="3" style="3" customWidth="1"/>
    <col min="5635" max="5639" width="3.44140625" style="3"/>
    <col min="5640" max="5640" width="2.44140625" style="3" customWidth="1"/>
    <col min="5641" max="5889" width="3.44140625" style="3"/>
    <col min="5890" max="5890" width="3" style="3" customWidth="1"/>
    <col min="5891" max="5895" width="3.44140625" style="3"/>
    <col min="5896" max="5896" width="2.44140625" style="3" customWidth="1"/>
    <col min="5897" max="6145" width="3.44140625" style="3"/>
    <col min="6146" max="6146" width="3" style="3" customWidth="1"/>
    <col min="6147" max="6151" width="3.44140625" style="3"/>
    <col min="6152" max="6152" width="2.44140625" style="3" customWidth="1"/>
    <col min="6153" max="6401" width="3.44140625" style="3"/>
    <col min="6402" max="6402" width="3" style="3" customWidth="1"/>
    <col min="6403" max="6407" width="3.44140625" style="3"/>
    <col min="6408" max="6408" width="2.44140625" style="3" customWidth="1"/>
    <col min="6409" max="6657" width="3.44140625" style="3"/>
    <col min="6658" max="6658" width="3" style="3" customWidth="1"/>
    <col min="6659" max="6663" width="3.44140625" style="3"/>
    <col min="6664" max="6664" width="2.44140625" style="3" customWidth="1"/>
    <col min="6665" max="6913" width="3.44140625" style="3"/>
    <col min="6914" max="6914" width="3" style="3" customWidth="1"/>
    <col min="6915" max="6919" width="3.44140625" style="3"/>
    <col min="6920" max="6920" width="2.44140625" style="3" customWidth="1"/>
    <col min="6921" max="7169" width="3.44140625" style="3"/>
    <col min="7170" max="7170" width="3" style="3" customWidth="1"/>
    <col min="7171" max="7175" width="3.44140625" style="3"/>
    <col min="7176" max="7176" width="2.44140625" style="3" customWidth="1"/>
    <col min="7177" max="7425" width="3.44140625" style="3"/>
    <col min="7426" max="7426" width="3" style="3" customWidth="1"/>
    <col min="7427" max="7431" width="3.44140625" style="3"/>
    <col min="7432" max="7432" width="2.44140625" style="3" customWidth="1"/>
    <col min="7433" max="7681" width="3.44140625" style="3"/>
    <col min="7682" max="7682" width="3" style="3" customWidth="1"/>
    <col min="7683" max="7687" width="3.44140625" style="3"/>
    <col min="7688" max="7688" width="2.44140625" style="3" customWidth="1"/>
    <col min="7689" max="7937" width="3.44140625" style="3"/>
    <col min="7938" max="7938" width="3" style="3" customWidth="1"/>
    <col min="7939" max="7943" width="3.44140625" style="3"/>
    <col min="7944" max="7944" width="2.44140625" style="3" customWidth="1"/>
    <col min="7945" max="8193" width="3.44140625" style="3"/>
    <col min="8194" max="8194" width="3" style="3" customWidth="1"/>
    <col min="8195" max="8199" width="3.44140625" style="3"/>
    <col min="8200" max="8200" width="2.44140625" style="3" customWidth="1"/>
    <col min="8201" max="8449" width="3.44140625" style="3"/>
    <col min="8450" max="8450" width="3" style="3" customWidth="1"/>
    <col min="8451" max="8455" width="3.44140625" style="3"/>
    <col min="8456" max="8456" width="2.44140625" style="3" customWidth="1"/>
    <col min="8457" max="8705" width="3.44140625" style="3"/>
    <col min="8706" max="8706" width="3" style="3" customWidth="1"/>
    <col min="8707" max="8711" width="3.44140625" style="3"/>
    <col min="8712" max="8712" width="2.44140625" style="3" customWidth="1"/>
    <col min="8713" max="8961" width="3.44140625" style="3"/>
    <col min="8962" max="8962" width="3" style="3" customWidth="1"/>
    <col min="8963" max="8967" width="3.44140625" style="3"/>
    <col min="8968" max="8968" width="2.44140625" style="3" customWidth="1"/>
    <col min="8969" max="9217" width="3.44140625" style="3"/>
    <col min="9218" max="9218" width="3" style="3" customWidth="1"/>
    <col min="9219" max="9223" width="3.44140625" style="3"/>
    <col min="9224" max="9224" width="2.44140625" style="3" customWidth="1"/>
    <col min="9225" max="9473" width="3.44140625" style="3"/>
    <col min="9474" max="9474" width="3" style="3" customWidth="1"/>
    <col min="9475" max="9479" width="3.44140625" style="3"/>
    <col min="9480" max="9480" width="2.44140625" style="3" customWidth="1"/>
    <col min="9481" max="9729" width="3.44140625" style="3"/>
    <col min="9730" max="9730" width="3" style="3" customWidth="1"/>
    <col min="9731" max="9735" width="3.44140625" style="3"/>
    <col min="9736" max="9736" width="2.44140625" style="3" customWidth="1"/>
    <col min="9737" max="9985" width="3.44140625" style="3"/>
    <col min="9986" max="9986" width="3" style="3" customWidth="1"/>
    <col min="9987" max="9991" width="3.44140625" style="3"/>
    <col min="9992" max="9992" width="2.44140625" style="3" customWidth="1"/>
    <col min="9993" max="10241" width="3.44140625" style="3"/>
    <col min="10242" max="10242" width="3" style="3" customWidth="1"/>
    <col min="10243" max="10247" width="3.44140625" style="3"/>
    <col min="10248" max="10248" width="2.44140625" style="3" customWidth="1"/>
    <col min="10249" max="10497" width="3.44140625" style="3"/>
    <col min="10498" max="10498" width="3" style="3" customWidth="1"/>
    <col min="10499" max="10503" width="3.44140625" style="3"/>
    <col min="10504" max="10504" width="2.44140625" style="3" customWidth="1"/>
    <col min="10505" max="10753" width="3.44140625" style="3"/>
    <col min="10754" max="10754" width="3" style="3" customWidth="1"/>
    <col min="10755" max="10759" width="3.44140625" style="3"/>
    <col min="10760" max="10760" width="2.44140625" style="3" customWidth="1"/>
    <col min="10761" max="11009" width="3.44140625" style="3"/>
    <col min="11010" max="11010" width="3" style="3" customWidth="1"/>
    <col min="11011" max="11015" width="3.44140625" style="3"/>
    <col min="11016" max="11016" width="2.44140625" style="3" customWidth="1"/>
    <col min="11017" max="11265" width="3.44140625" style="3"/>
    <col min="11266" max="11266" width="3" style="3" customWidth="1"/>
    <col min="11267" max="11271" width="3.44140625" style="3"/>
    <col min="11272" max="11272" width="2.44140625" style="3" customWidth="1"/>
    <col min="11273" max="11521" width="3.44140625" style="3"/>
    <col min="11522" max="11522" width="3" style="3" customWidth="1"/>
    <col min="11523" max="11527" width="3.44140625" style="3"/>
    <col min="11528" max="11528" width="2.44140625" style="3" customWidth="1"/>
    <col min="11529" max="11777" width="3.44140625" style="3"/>
    <col min="11778" max="11778" width="3" style="3" customWidth="1"/>
    <col min="11779" max="11783" width="3.44140625" style="3"/>
    <col min="11784" max="11784" width="2.44140625" style="3" customWidth="1"/>
    <col min="11785" max="12033" width="3.44140625" style="3"/>
    <col min="12034" max="12034" width="3" style="3" customWidth="1"/>
    <col min="12035" max="12039" width="3.44140625" style="3"/>
    <col min="12040" max="12040" width="2.44140625" style="3" customWidth="1"/>
    <col min="12041" max="12289" width="3.44140625" style="3"/>
    <col min="12290" max="12290" width="3" style="3" customWidth="1"/>
    <col min="12291" max="12295" width="3.44140625" style="3"/>
    <col min="12296" max="12296" width="2.44140625" style="3" customWidth="1"/>
    <col min="12297" max="12545" width="3.44140625" style="3"/>
    <col min="12546" max="12546" width="3" style="3" customWidth="1"/>
    <col min="12547" max="12551" width="3.44140625" style="3"/>
    <col min="12552" max="12552" width="2.44140625" style="3" customWidth="1"/>
    <col min="12553" max="12801" width="3.44140625" style="3"/>
    <col min="12802" max="12802" width="3" style="3" customWidth="1"/>
    <col min="12803" max="12807" width="3.44140625" style="3"/>
    <col min="12808" max="12808" width="2.44140625" style="3" customWidth="1"/>
    <col min="12809" max="13057" width="3.44140625" style="3"/>
    <col min="13058" max="13058" width="3" style="3" customWidth="1"/>
    <col min="13059" max="13063" width="3.44140625" style="3"/>
    <col min="13064" max="13064" width="2.44140625" style="3" customWidth="1"/>
    <col min="13065" max="13313" width="3.44140625" style="3"/>
    <col min="13314" max="13314" width="3" style="3" customWidth="1"/>
    <col min="13315" max="13319" width="3.44140625" style="3"/>
    <col min="13320" max="13320" width="2.44140625" style="3" customWidth="1"/>
    <col min="13321" max="13569" width="3.44140625" style="3"/>
    <col min="13570" max="13570" width="3" style="3" customWidth="1"/>
    <col min="13571" max="13575" width="3.44140625" style="3"/>
    <col min="13576" max="13576" width="2.44140625" style="3" customWidth="1"/>
    <col min="13577" max="13825" width="3.44140625" style="3"/>
    <col min="13826" max="13826" width="3" style="3" customWidth="1"/>
    <col min="13827" max="13831" width="3.44140625" style="3"/>
    <col min="13832" max="13832" width="2.44140625" style="3" customWidth="1"/>
    <col min="13833" max="14081" width="3.44140625" style="3"/>
    <col min="14082" max="14082" width="3" style="3" customWidth="1"/>
    <col min="14083" max="14087" width="3.44140625" style="3"/>
    <col min="14088" max="14088" width="2.44140625" style="3" customWidth="1"/>
    <col min="14089" max="14337" width="3.44140625" style="3"/>
    <col min="14338" max="14338" width="3" style="3" customWidth="1"/>
    <col min="14339" max="14343" width="3.44140625" style="3"/>
    <col min="14344" max="14344" width="2.44140625" style="3" customWidth="1"/>
    <col min="14345" max="14593" width="3.44140625" style="3"/>
    <col min="14594" max="14594" width="3" style="3" customWidth="1"/>
    <col min="14595" max="14599" width="3.44140625" style="3"/>
    <col min="14600" max="14600" width="2.44140625" style="3" customWidth="1"/>
    <col min="14601" max="14849" width="3.44140625" style="3"/>
    <col min="14850" max="14850" width="3" style="3" customWidth="1"/>
    <col min="14851" max="14855" width="3.44140625" style="3"/>
    <col min="14856" max="14856" width="2.44140625" style="3" customWidth="1"/>
    <col min="14857" max="15105" width="3.44140625" style="3"/>
    <col min="15106" max="15106" width="3" style="3" customWidth="1"/>
    <col min="15107" max="15111" width="3.44140625" style="3"/>
    <col min="15112" max="15112" width="2.44140625" style="3" customWidth="1"/>
    <col min="15113" max="15361" width="3.44140625" style="3"/>
    <col min="15362" max="15362" width="3" style="3" customWidth="1"/>
    <col min="15363" max="15367" width="3.44140625" style="3"/>
    <col min="15368" max="15368" width="2.44140625" style="3" customWidth="1"/>
    <col min="15369" max="15617" width="3.44140625" style="3"/>
    <col min="15618" max="15618" width="3" style="3" customWidth="1"/>
    <col min="15619" max="15623" width="3.44140625" style="3"/>
    <col min="15624" max="15624" width="2.44140625" style="3" customWidth="1"/>
    <col min="15625" max="15873" width="3.44140625" style="3"/>
    <col min="15874" max="15874" width="3" style="3" customWidth="1"/>
    <col min="15875" max="15879" width="3.44140625" style="3"/>
    <col min="15880" max="15880" width="2.44140625" style="3" customWidth="1"/>
    <col min="15881" max="16129" width="3.44140625" style="3"/>
    <col min="16130" max="16130" width="3" style="3" customWidth="1"/>
    <col min="16131" max="16135" width="3.44140625" style="3"/>
    <col min="16136" max="16136" width="2.44140625" style="3" customWidth="1"/>
    <col min="16137" max="16384" width="3.44140625" style="3"/>
  </cols>
  <sheetData>
    <row r="1" spans="2:27" s="1" customFormat="1"/>
    <row r="2" spans="2:27" s="1" customFormat="1">
      <c r="B2" s="1" t="s">
        <v>1560</v>
      </c>
      <c r="AA2" s="45" t="s">
        <v>766</v>
      </c>
    </row>
    <row r="3" spans="2:27" s="1" customFormat="1" ht="8.25" customHeight="1"/>
    <row r="4" spans="2:27" s="1" customFormat="1">
      <c r="B4" s="1575" t="s">
        <v>1561</v>
      </c>
      <c r="C4" s="1575"/>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row>
    <row r="5" spans="2:27" s="1" customFormat="1" ht="6.75" customHeight="1"/>
    <row r="6" spans="2:27" s="1" customFormat="1" ht="18.600000000000001" customHeight="1">
      <c r="B6" s="1794" t="s">
        <v>1562</v>
      </c>
      <c r="C6" s="1794"/>
      <c r="D6" s="1794"/>
      <c r="E6" s="1794"/>
      <c r="F6" s="1794"/>
      <c r="G6" s="1580"/>
      <c r="H6" s="1581"/>
      <c r="I6" s="1581"/>
      <c r="J6" s="1581"/>
      <c r="K6" s="1581"/>
      <c r="L6" s="1581"/>
      <c r="M6" s="1581"/>
      <c r="N6" s="1581"/>
      <c r="O6" s="1581"/>
      <c r="P6" s="1581"/>
      <c r="Q6" s="1581"/>
      <c r="R6" s="1581"/>
      <c r="S6" s="1581"/>
      <c r="T6" s="1581"/>
      <c r="U6" s="1581"/>
      <c r="V6" s="1581"/>
      <c r="W6" s="1581"/>
      <c r="X6" s="1581"/>
      <c r="Y6" s="1581"/>
      <c r="Z6" s="1581"/>
      <c r="AA6" s="1582"/>
    </row>
    <row r="7" spans="2:27" s="1" customFormat="1" ht="19.5" customHeight="1">
      <c r="B7" s="1794" t="s">
        <v>1109</v>
      </c>
      <c r="C7" s="1794"/>
      <c r="D7" s="1794"/>
      <c r="E7" s="1794"/>
      <c r="F7" s="1794"/>
      <c r="G7" s="1580"/>
      <c r="H7" s="1581"/>
      <c r="I7" s="1581"/>
      <c r="J7" s="1581"/>
      <c r="K7" s="1581"/>
      <c r="L7" s="1581"/>
      <c r="M7" s="1581"/>
      <c r="N7" s="1581"/>
      <c r="O7" s="1581"/>
      <c r="P7" s="1581"/>
      <c r="Q7" s="1581"/>
      <c r="R7" s="1581"/>
      <c r="S7" s="1581"/>
      <c r="T7" s="1581"/>
      <c r="U7" s="1581"/>
      <c r="V7" s="1581"/>
      <c r="W7" s="1581"/>
      <c r="X7" s="1581"/>
      <c r="Y7" s="1581"/>
      <c r="Z7" s="1581"/>
      <c r="AA7" s="1582"/>
    </row>
    <row r="8" spans="2:27" s="1" customFormat="1" ht="19.5" customHeight="1">
      <c r="B8" s="1580" t="s">
        <v>1563</v>
      </c>
      <c r="C8" s="1581"/>
      <c r="D8" s="1581"/>
      <c r="E8" s="1581"/>
      <c r="F8" s="1582"/>
      <c r="G8" s="1803" t="s">
        <v>197</v>
      </c>
      <c r="H8" s="1804"/>
      <c r="I8" s="1804"/>
      <c r="J8" s="1804"/>
      <c r="K8" s="1804"/>
      <c r="L8" s="1804"/>
      <c r="M8" s="1804"/>
      <c r="N8" s="1804"/>
      <c r="O8" s="1804"/>
      <c r="P8" s="1804"/>
      <c r="Q8" s="1804"/>
      <c r="R8" s="1804"/>
      <c r="S8" s="1804"/>
      <c r="T8" s="1804"/>
      <c r="U8" s="1804"/>
      <c r="V8" s="1804"/>
      <c r="W8" s="1804"/>
      <c r="X8" s="1804"/>
      <c r="Y8" s="1804"/>
      <c r="Z8" s="1804"/>
      <c r="AA8" s="1805"/>
    </row>
    <row r="9" spans="2:27" ht="20.100000000000001" customHeight="1">
      <c r="B9" s="1795" t="s">
        <v>1564</v>
      </c>
      <c r="C9" s="1796"/>
      <c r="D9" s="1796"/>
      <c r="E9" s="1796"/>
      <c r="F9" s="1796"/>
      <c r="G9" s="1928" t="s">
        <v>1565</v>
      </c>
      <c r="H9" s="1928"/>
      <c r="I9" s="1928"/>
      <c r="J9" s="1928"/>
      <c r="K9" s="1928"/>
      <c r="L9" s="1928"/>
      <c r="M9" s="1928"/>
      <c r="N9" s="1928" t="s">
        <v>1566</v>
      </c>
      <c r="O9" s="1928"/>
      <c r="P9" s="1928"/>
      <c r="Q9" s="1928"/>
      <c r="R9" s="1928"/>
      <c r="S9" s="1928"/>
      <c r="T9" s="1928"/>
      <c r="U9" s="1928" t="s">
        <v>1567</v>
      </c>
      <c r="V9" s="1928"/>
      <c r="W9" s="1928"/>
      <c r="X9" s="1928"/>
      <c r="Y9" s="1928"/>
      <c r="Z9" s="1928"/>
      <c r="AA9" s="1928"/>
    </row>
    <row r="10" spans="2:27" ht="20.100000000000001" customHeight="1">
      <c r="B10" s="1801"/>
      <c r="C10" s="1575"/>
      <c r="D10" s="1575"/>
      <c r="E10" s="1575"/>
      <c r="F10" s="1575"/>
      <c r="G10" s="1928" t="s">
        <v>1568</v>
      </c>
      <c r="H10" s="1928"/>
      <c r="I10" s="1928"/>
      <c r="J10" s="1928"/>
      <c r="K10" s="1928"/>
      <c r="L10" s="1928"/>
      <c r="M10" s="1928"/>
      <c r="N10" s="1928" t="s">
        <v>1569</v>
      </c>
      <c r="O10" s="1928"/>
      <c r="P10" s="1928"/>
      <c r="Q10" s="1928"/>
      <c r="R10" s="1928"/>
      <c r="S10" s="1928"/>
      <c r="T10" s="1928"/>
      <c r="U10" s="1928" t="s">
        <v>1570</v>
      </c>
      <c r="V10" s="1928"/>
      <c r="W10" s="1928"/>
      <c r="X10" s="1928"/>
      <c r="Y10" s="1928"/>
      <c r="Z10" s="1928"/>
      <c r="AA10" s="1928"/>
    </row>
    <row r="11" spans="2:27" ht="20.100000000000001" customHeight="1">
      <c r="B11" s="1801"/>
      <c r="C11" s="1575"/>
      <c r="D11" s="1575"/>
      <c r="E11" s="1575"/>
      <c r="F11" s="1575"/>
      <c r="G11" s="1928" t="s">
        <v>1571</v>
      </c>
      <c r="H11" s="1928"/>
      <c r="I11" s="1928"/>
      <c r="J11" s="1928"/>
      <c r="K11" s="1928"/>
      <c r="L11" s="1928"/>
      <c r="M11" s="1928"/>
      <c r="N11" s="1928" t="s">
        <v>1572</v>
      </c>
      <c r="O11" s="1928"/>
      <c r="P11" s="1928"/>
      <c r="Q11" s="1928"/>
      <c r="R11" s="1928"/>
      <c r="S11" s="1928"/>
      <c r="T11" s="1928"/>
      <c r="U11" s="1928" t="s">
        <v>1573</v>
      </c>
      <c r="V11" s="1928"/>
      <c r="W11" s="1928"/>
      <c r="X11" s="1928"/>
      <c r="Y11" s="1928"/>
      <c r="Z11" s="1928"/>
      <c r="AA11" s="1928"/>
    </row>
    <row r="12" spans="2:27" ht="20.100000000000001" customHeight="1">
      <c r="B12" s="1801"/>
      <c r="C12" s="1575"/>
      <c r="D12" s="1575"/>
      <c r="E12" s="1575"/>
      <c r="F12" s="1575"/>
      <c r="G12" s="1928" t="s">
        <v>1574</v>
      </c>
      <c r="H12" s="1928"/>
      <c r="I12" s="1928"/>
      <c r="J12" s="1928"/>
      <c r="K12" s="1928"/>
      <c r="L12" s="1928"/>
      <c r="M12" s="1928"/>
      <c r="N12" s="1928" t="s">
        <v>1575</v>
      </c>
      <c r="O12" s="1928"/>
      <c r="P12" s="1928"/>
      <c r="Q12" s="1928"/>
      <c r="R12" s="1928"/>
      <c r="S12" s="1928"/>
      <c r="T12" s="1928"/>
      <c r="U12" s="1929" t="s">
        <v>1576</v>
      </c>
      <c r="V12" s="1929"/>
      <c r="W12" s="1929"/>
      <c r="X12" s="1929"/>
      <c r="Y12" s="1929"/>
      <c r="Z12" s="1929"/>
      <c r="AA12" s="1929"/>
    </row>
    <row r="13" spans="2:27" ht="20.100000000000001" customHeight="1">
      <c r="B13" s="1801"/>
      <c r="C13" s="1575"/>
      <c r="D13" s="1575"/>
      <c r="E13" s="1575"/>
      <c r="F13" s="1575"/>
      <c r="G13" s="1928" t="s">
        <v>1577</v>
      </c>
      <c r="H13" s="1928"/>
      <c r="I13" s="1928"/>
      <c r="J13" s="1928"/>
      <c r="K13" s="1928"/>
      <c r="L13" s="1928"/>
      <c r="M13" s="1928"/>
      <c r="N13" s="1928" t="s">
        <v>1578</v>
      </c>
      <c r="O13" s="1928"/>
      <c r="P13" s="1928"/>
      <c r="Q13" s="1928"/>
      <c r="R13" s="1928"/>
      <c r="S13" s="1928"/>
      <c r="T13" s="1928"/>
      <c r="U13" s="1929" t="s">
        <v>1579</v>
      </c>
      <c r="V13" s="1929"/>
      <c r="W13" s="1929"/>
      <c r="X13" s="1929"/>
      <c r="Y13" s="1929"/>
      <c r="Z13" s="1929"/>
      <c r="AA13" s="1929"/>
    </row>
    <row r="14" spans="2:27" ht="20.100000000000001" customHeight="1">
      <c r="B14" s="1798"/>
      <c r="C14" s="1799"/>
      <c r="D14" s="1799"/>
      <c r="E14" s="1799"/>
      <c r="F14" s="1799"/>
      <c r="G14" s="1928" t="s">
        <v>1580</v>
      </c>
      <c r="H14" s="1928"/>
      <c r="I14" s="1928"/>
      <c r="J14" s="1928"/>
      <c r="K14" s="1928"/>
      <c r="L14" s="1928"/>
      <c r="M14" s="1928"/>
      <c r="N14" s="1928"/>
      <c r="O14" s="1928"/>
      <c r="P14" s="1928"/>
      <c r="Q14" s="1928"/>
      <c r="R14" s="1928"/>
      <c r="S14" s="1928"/>
      <c r="T14" s="1928"/>
      <c r="U14" s="1929"/>
      <c r="V14" s="1929"/>
      <c r="W14" s="1929"/>
      <c r="X14" s="1929"/>
      <c r="Y14" s="1929"/>
      <c r="Z14" s="1929"/>
      <c r="AA14" s="1929"/>
    </row>
    <row r="15" spans="2:27" ht="20.25" customHeight="1">
      <c r="B15" s="1580" t="s">
        <v>1581</v>
      </c>
      <c r="C15" s="1581"/>
      <c r="D15" s="1581"/>
      <c r="E15" s="1581"/>
      <c r="F15" s="1582"/>
      <c r="G15" s="1806" t="s">
        <v>1582</v>
      </c>
      <c r="H15" s="1807"/>
      <c r="I15" s="1807"/>
      <c r="J15" s="1807"/>
      <c r="K15" s="1807"/>
      <c r="L15" s="1807"/>
      <c r="M15" s="1807"/>
      <c r="N15" s="1807"/>
      <c r="O15" s="1807"/>
      <c r="P15" s="1807"/>
      <c r="Q15" s="1807"/>
      <c r="R15" s="1807"/>
      <c r="S15" s="1807"/>
      <c r="T15" s="1807"/>
      <c r="U15" s="1807"/>
      <c r="V15" s="1807"/>
      <c r="W15" s="1807"/>
      <c r="X15" s="1807"/>
      <c r="Y15" s="1807"/>
      <c r="Z15" s="1807"/>
      <c r="AA15" s="1808"/>
    </row>
    <row r="16" spans="2:27" s="1" customFormat="1" ht="9" customHeight="1"/>
    <row r="17" spans="2:27" s="1" customFormat="1" ht="17.25" customHeight="1">
      <c r="B17" s="1" t="s">
        <v>1583</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408"/>
      <c r="C19" s="1" t="s">
        <v>1584</v>
      </c>
      <c r="D19" s="12"/>
      <c r="E19" s="12"/>
      <c r="F19" s="12"/>
      <c r="G19" s="12"/>
      <c r="H19" s="12"/>
      <c r="I19" s="12"/>
      <c r="J19" s="12"/>
      <c r="K19" s="12"/>
      <c r="L19" s="12"/>
      <c r="M19" s="12"/>
      <c r="N19" s="12"/>
      <c r="O19" s="12"/>
      <c r="Y19" s="1927" t="s">
        <v>94</v>
      </c>
      <c r="Z19" s="1927"/>
      <c r="AA19" s="402"/>
    </row>
    <row r="20" spans="2:27" s="1" customFormat="1">
      <c r="B20" s="408"/>
      <c r="D20" s="12"/>
      <c r="E20" s="12"/>
      <c r="F20" s="12"/>
      <c r="G20" s="12"/>
      <c r="H20" s="12"/>
      <c r="I20" s="12"/>
      <c r="J20" s="12"/>
      <c r="K20" s="12"/>
      <c r="L20" s="12"/>
      <c r="M20" s="12"/>
      <c r="N20" s="12"/>
      <c r="O20" s="12"/>
      <c r="Y20" s="614"/>
      <c r="Z20" s="614"/>
      <c r="AA20" s="402"/>
    </row>
    <row r="21" spans="2:27" s="1" customFormat="1">
      <c r="B21" s="408"/>
      <c r="C21" s="1" t="s">
        <v>1585</v>
      </c>
      <c r="D21" s="12"/>
      <c r="E21" s="12"/>
      <c r="F21" s="12"/>
      <c r="G21" s="12"/>
      <c r="H21" s="12"/>
      <c r="I21" s="12"/>
      <c r="J21" s="12"/>
      <c r="K21" s="12"/>
      <c r="L21" s="12"/>
      <c r="M21" s="12"/>
      <c r="N21" s="12"/>
      <c r="O21" s="12"/>
      <c r="Y21" s="614"/>
      <c r="Z21" s="614"/>
      <c r="AA21" s="402"/>
    </row>
    <row r="22" spans="2:27" s="1" customFormat="1" ht="19.5" customHeight="1">
      <c r="B22" s="408"/>
      <c r="C22" s="1" t="s">
        <v>1586</v>
      </c>
      <c r="D22" s="12"/>
      <c r="E22" s="12"/>
      <c r="F22" s="12"/>
      <c r="G22" s="12"/>
      <c r="H22" s="12"/>
      <c r="I22" s="12"/>
      <c r="J22" s="12"/>
      <c r="K22" s="12"/>
      <c r="L22" s="12"/>
      <c r="M22" s="12"/>
      <c r="N22" s="12"/>
      <c r="O22" s="12"/>
      <c r="Y22" s="1927" t="s">
        <v>94</v>
      </c>
      <c r="Z22" s="1927"/>
      <c r="AA22" s="402"/>
    </row>
    <row r="23" spans="2:27" s="1" customFormat="1" ht="19.5" customHeight="1">
      <c r="B23" s="408"/>
      <c r="C23" s="1" t="s">
        <v>1587</v>
      </c>
      <c r="D23" s="12"/>
      <c r="E23" s="12"/>
      <c r="F23" s="12"/>
      <c r="G23" s="12"/>
      <c r="H23" s="12"/>
      <c r="I23" s="12"/>
      <c r="J23" s="12"/>
      <c r="K23" s="12"/>
      <c r="L23" s="12"/>
      <c r="M23" s="12"/>
      <c r="N23" s="12"/>
      <c r="O23" s="12"/>
      <c r="Y23" s="1927" t="s">
        <v>94</v>
      </c>
      <c r="Z23" s="1927"/>
      <c r="AA23" s="402"/>
    </row>
    <row r="24" spans="2:27" s="1" customFormat="1" ht="19.5" customHeight="1">
      <c r="B24" s="408"/>
      <c r="C24" s="1" t="s">
        <v>1588</v>
      </c>
      <c r="D24" s="12"/>
      <c r="E24" s="12"/>
      <c r="F24" s="12"/>
      <c r="G24" s="12"/>
      <c r="H24" s="12"/>
      <c r="I24" s="12"/>
      <c r="J24" s="12"/>
      <c r="K24" s="12"/>
      <c r="L24" s="12"/>
      <c r="M24" s="12"/>
      <c r="N24" s="12"/>
      <c r="O24" s="12"/>
      <c r="Y24" s="1927" t="s">
        <v>94</v>
      </c>
      <c r="Z24" s="1927"/>
      <c r="AA24" s="402"/>
    </row>
    <row r="25" spans="2:27" s="1" customFormat="1" ht="19.5" customHeight="1">
      <c r="B25" s="408"/>
      <c r="D25" s="1847" t="s">
        <v>1589</v>
      </c>
      <c r="E25" s="1847"/>
      <c r="F25" s="1847"/>
      <c r="G25" s="1847"/>
      <c r="H25" s="1847"/>
      <c r="I25" s="1847"/>
      <c r="J25" s="1847"/>
      <c r="K25" s="12"/>
      <c r="L25" s="12"/>
      <c r="M25" s="12"/>
      <c r="N25" s="12"/>
      <c r="O25" s="12"/>
      <c r="Y25" s="614"/>
      <c r="Z25" s="614"/>
      <c r="AA25" s="402"/>
    </row>
    <row r="26" spans="2:27" s="1" customFormat="1" ht="25.2" customHeight="1">
      <c r="B26" s="408"/>
      <c r="C26" s="1" t="s">
        <v>1590</v>
      </c>
      <c r="AA26" s="402"/>
    </row>
    <row r="27" spans="2:27" s="1" customFormat="1" ht="6.75" customHeight="1">
      <c r="B27" s="408"/>
      <c r="AA27" s="402"/>
    </row>
    <row r="28" spans="2:27" s="1" customFormat="1" ht="23.25" customHeight="1">
      <c r="B28" s="408" t="s">
        <v>134</v>
      </c>
      <c r="C28" s="1580" t="s">
        <v>1591</v>
      </c>
      <c r="D28" s="1581"/>
      <c r="E28" s="1581"/>
      <c r="F28" s="1581"/>
      <c r="G28" s="1581"/>
      <c r="H28" s="1582"/>
      <c r="I28" s="1873"/>
      <c r="J28" s="1873"/>
      <c r="K28" s="1873"/>
      <c r="L28" s="1873"/>
      <c r="M28" s="1873"/>
      <c r="N28" s="1873"/>
      <c r="O28" s="1873"/>
      <c r="P28" s="1873"/>
      <c r="Q28" s="1873"/>
      <c r="R28" s="1873"/>
      <c r="S28" s="1873"/>
      <c r="T28" s="1873"/>
      <c r="U28" s="1873"/>
      <c r="V28" s="1873"/>
      <c r="W28" s="1873"/>
      <c r="X28" s="1873"/>
      <c r="Y28" s="1873"/>
      <c r="Z28" s="1931"/>
      <c r="AA28" s="402"/>
    </row>
    <row r="29" spans="2:27" s="1" customFormat="1" ht="23.25" customHeight="1">
      <c r="B29" s="408" t="s">
        <v>134</v>
      </c>
      <c r="C29" s="1580" t="s">
        <v>1592</v>
      </c>
      <c r="D29" s="1581"/>
      <c r="E29" s="1581"/>
      <c r="F29" s="1581"/>
      <c r="G29" s="1581"/>
      <c r="H29" s="1582"/>
      <c r="I29" s="1873"/>
      <c r="J29" s="1873"/>
      <c r="K29" s="1873"/>
      <c r="L29" s="1873"/>
      <c r="M29" s="1873"/>
      <c r="N29" s="1873"/>
      <c r="O29" s="1873"/>
      <c r="P29" s="1873"/>
      <c r="Q29" s="1873"/>
      <c r="R29" s="1873"/>
      <c r="S29" s="1873"/>
      <c r="T29" s="1873"/>
      <c r="U29" s="1873"/>
      <c r="V29" s="1873"/>
      <c r="W29" s="1873"/>
      <c r="X29" s="1873"/>
      <c r="Y29" s="1873"/>
      <c r="Z29" s="1931"/>
      <c r="AA29" s="402"/>
    </row>
    <row r="30" spans="2:27" s="1" customFormat="1" ht="23.25" customHeight="1">
      <c r="B30" s="408" t="s">
        <v>134</v>
      </c>
      <c r="C30" s="1580" t="s">
        <v>1593</v>
      </c>
      <c r="D30" s="1581"/>
      <c r="E30" s="1581"/>
      <c r="F30" s="1581"/>
      <c r="G30" s="1581"/>
      <c r="H30" s="1582"/>
      <c r="I30" s="1873"/>
      <c r="J30" s="1873"/>
      <c r="K30" s="1873"/>
      <c r="L30" s="1873"/>
      <c r="M30" s="1873"/>
      <c r="N30" s="1873"/>
      <c r="O30" s="1873"/>
      <c r="P30" s="1873"/>
      <c r="Q30" s="1873"/>
      <c r="R30" s="1873"/>
      <c r="S30" s="1873"/>
      <c r="T30" s="1873"/>
      <c r="U30" s="1873"/>
      <c r="V30" s="1873"/>
      <c r="W30" s="1873"/>
      <c r="X30" s="1873"/>
      <c r="Y30" s="1873"/>
      <c r="Z30" s="1931"/>
      <c r="AA30" s="402"/>
    </row>
    <row r="31" spans="2:27" s="1" customFormat="1" ht="9" customHeight="1">
      <c r="B31" s="408"/>
      <c r="C31" s="12"/>
      <c r="D31" s="12"/>
      <c r="E31" s="12"/>
      <c r="F31" s="12"/>
      <c r="G31" s="12"/>
      <c r="H31" s="12"/>
      <c r="I31" s="2"/>
      <c r="J31" s="2"/>
      <c r="K31" s="2"/>
      <c r="L31" s="2"/>
      <c r="M31" s="2"/>
      <c r="N31" s="2"/>
      <c r="O31" s="2"/>
      <c r="P31" s="2"/>
      <c r="Q31" s="2"/>
      <c r="R31" s="2"/>
      <c r="S31" s="2"/>
      <c r="T31" s="2"/>
      <c r="U31" s="2"/>
      <c r="V31" s="2"/>
      <c r="W31" s="2"/>
      <c r="X31" s="2"/>
      <c r="Y31" s="2"/>
      <c r="Z31" s="2"/>
      <c r="AA31" s="402"/>
    </row>
    <row r="32" spans="2:27" s="1" customFormat="1" ht="19.5" customHeight="1">
      <c r="B32" s="408"/>
      <c r="C32" s="1" t="s">
        <v>1594</v>
      </c>
      <c r="D32" s="12"/>
      <c r="E32" s="12"/>
      <c r="F32" s="12"/>
      <c r="G32" s="12"/>
      <c r="H32" s="12"/>
      <c r="I32" s="12"/>
      <c r="J32" s="12"/>
      <c r="K32" s="12"/>
      <c r="L32" s="12"/>
      <c r="M32" s="12"/>
      <c r="N32" s="12"/>
      <c r="O32" s="12"/>
      <c r="Y32" s="1927" t="s">
        <v>94</v>
      </c>
      <c r="Z32" s="1927"/>
      <c r="AA32" s="402"/>
    </row>
    <row r="33" spans="1:37" s="1" customFormat="1" ht="12.75" customHeight="1">
      <c r="B33" s="408"/>
      <c r="D33" s="12"/>
      <c r="E33" s="12"/>
      <c r="F33" s="12"/>
      <c r="G33" s="12"/>
      <c r="H33" s="12"/>
      <c r="I33" s="12"/>
      <c r="J33" s="12"/>
      <c r="K33" s="12"/>
      <c r="L33" s="12"/>
      <c r="M33" s="12"/>
      <c r="N33" s="12"/>
      <c r="O33" s="12"/>
      <c r="Y33" s="614"/>
      <c r="Z33" s="614"/>
      <c r="AA33" s="402"/>
    </row>
    <row r="34" spans="1:37" s="1" customFormat="1" ht="19.5" customHeight="1">
      <c r="B34" s="408"/>
      <c r="C34" s="1930" t="s">
        <v>1595</v>
      </c>
      <c r="D34" s="1930"/>
      <c r="E34" s="1930"/>
      <c r="F34" s="1930"/>
      <c r="G34" s="1930"/>
      <c r="H34" s="1930"/>
      <c r="I34" s="1930"/>
      <c r="J34" s="1930"/>
      <c r="K34" s="1930"/>
      <c r="L34" s="1930"/>
      <c r="M34" s="1930"/>
      <c r="N34" s="1930"/>
      <c r="O34" s="1930"/>
      <c r="P34" s="1930"/>
      <c r="Q34" s="1930"/>
      <c r="R34" s="1930"/>
      <c r="S34" s="1930"/>
      <c r="T34" s="1930"/>
      <c r="U34" s="1930"/>
      <c r="V34" s="1930"/>
      <c r="W34" s="1930"/>
      <c r="X34" s="1930"/>
      <c r="Y34" s="1930"/>
      <c r="Z34" s="1930"/>
      <c r="AA34" s="402"/>
    </row>
    <row r="35" spans="1:37" s="1" customFormat="1" ht="19.5" customHeight="1">
      <c r="B35" s="408"/>
      <c r="C35" s="1930" t="s">
        <v>1596</v>
      </c>
      <c r="D35" s="1930"/>
      <c r="E35" s="1930"/>
      <c r="F35" s="1930"/>
      <c r="G35" s="1930"/>
      <c r="H35" s="1930"/>
      <c r="I35" s="1930"/>
      <c r="J35" s="1930"/>
      <c r="K35" s="1930"/>
      <c r="L35" s="1930"/>
      <c r="M35" s="1930"/>
      <c r="N35" s="1930"/>
      <c r="O35" s="1930"/>
      <c r="P35" s="1930"/>
      <c r="Q35" s="1930"/>
      <c r="R35" s="1930"/>
      <c r="S35" s="1930"/>
      <c r="T35" s="1930"/>
      <c r="U35" s="1930"/>
      <c r="V35" s="1930"/>
      <c r="W35" s="1930"/>
      <c r="X35" s="1930"/>
      <c r="Y35" s="1930"/>
      <c r="Z35" s="1930"/>
      <c r="AA35" s="402"/>
    </row>
    <row r="36" spans="1:37" s="1" customFormat="1" ht="19.5" customHeight="1">
      <c r="B36" s="408"/>
      <c r="C36" s="1847" t="s">
        <v>1597</v>
      </c>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402"/>
    </row>
    <row r="37" spans="1:37" s="2" customFormat="1" ht="12.75" customHeight="1">
      <c r="A37" s="1"/>
      <c r="B37" s="408"/>
      <c r="C37" s="12"/>
      <c r="D37" s="12"/>
      <c r="E37" s="12"/>
      <c r="F37" s="12"/>
      <c r="G37" s="12"/>
      <c r="H37" s="12"/>
      <c r="I37" s="12"/>
      <c r="J37" s="12"/>
      <c r="K37" s="12"/>
      <c r="L37" s="12"/>
      <c r="M37" s="12"/>
      <c r="N37" s="12"/>
      <c r="O37" s="12"/>
      <c r="P37" s="1"/>
      <c r="Q37" s="1"/>
      <c r="R37" s="1"/>
      <c r="S37" s="1"/>
      <c r="T37" s="1"/>
      <c r="U37" s="1"/>
      <c r="V37" s="1"/>
      <c r="W37" s="1"/>
      <c r="X37" s="1"/>
      <c r="Y37" s="1"/>
      <c r="Z37" s="1"/>
      <c r="AA37" s="402"/>
      <c r="AB37" s="1"/>
      <c r="AC37" s="1"/>
      <c r="AD37" s="1"/>
      <c r="AE37" s="1"/>
      <c r="AF37" s="1"/>
      <c r="AG37" s="1"/>
      <c r="AH37" s="1"/>
      <c r="AI37" s="1"/>
      <c r="AJ37" s="1"/>
      <c r="AK37" s="1"/>
    </row>
    <row r="38" spans="1:37" s="2" customFormat="1" ht="18" customHeight="1">
      <c r="A38" s="1"/>
      <c r="B38" s="408"/>
      <c r="C38" s="1"/>
      <c r="D38" s="1930" t="s">
        <v>1598</v>
      </c>
      <c r="E38" s="1930"/>
      <c r="F38" s="1930"/>
      <c r="G38" s="1930"/>
      <c r="H38" s="1930"/>
      <c r="I38" s="1930"/>
      <c r="J38" s="1930"/>
      <c r="K38" s="1930"/>
      <c r="L38" s="1930"/>
      <c r="M38" s="1930"/>
      <c r="N38" s="1930"/>
      <c r="O38" s="1930"/>
      <c r="P38" s="1930"/>
      <c r="Q38" s="1930"/>
      <c r="R38" s="1930"/>
      <c r="S38" s="1930"/>
      <c r="T38" s="1930"/>
      <c r="U38" s="1930"/>
      <c r="V38" s="1930"/>
      <c r="W38" s="1"/>
      <c r="X38" s="1"/>
      <c r="Y38" s="1927" t="s">
        <v>94</v>
      </c>
      <c r="Z38" s="1927"/>
      <c r="AA38" s="402"/>
      <c r="AB38" s="1"/>
      <c r="AC38" s="1"/>
      <c r="AD38" s="1"/>
      <c r="AE38" s="1"/>
      <c r="AF38" s="1"/>
      <c r="AG38" s="1"/>
      <c r="AH38" s="1"/>
      <c r="AI38" s="1"/>
      <c r="AJ38" s="1"/>
      <c r="AK38" s="1"/>
    </row>
    <row r="39" spans="1:37" s="2" customFormat="1" ht="37.5" customHeight="1">
      <c r="B39" s="602"/>
      <c r="D39" s="1930" t="s">
        <v>1599</v>
      </c>
      <c r="E39" s="1930"/>
      <c r="F39" s="1930"/>
      <c r="G39" s="1930"/>
      <c r="H39" s="1930"/>
      <c r="I39" s="1930"/>
      <c r="J39" s="1930"/>
      <c r="K39" s="1930"/>
      <c r="L39" s="1930"/>
      <c r="M39" s="1930"/>
      <c r="N39" s="1930"/>
      <c r="O39" s="1930"/>
      <c r="P39" s="1930"/>
      <c r="Q39" s="1930"/>
      <c r="R39" s="1930"/>
      <c r="S39" s="1930"/>
      <c r="T39" s="1930"/>
      <c r="U39" s="1930"/>
      <c r="V39" s="1930"/>
      <c r="Y39" s="1927" t="s">
        <v>94</v>
      </c>
      <c r="Z39" s="1927"/>
      <c r="AA39" s="617"/>
    </row>
    <row r="40" spans="1:37" ht="19.5" customHeight="1">
      <c r="A40" s="2"/>
      <c r="B40" s="602"/>
      <c r="C40" s="2"/>
      <c r="D40" s="1930" t="s">
        <v>1600</v>
      </c>
      <c r="E40" s="1930"/>
      <c r="F40" s="1930"/>
      <c r="G40" s="1930"/>
      <c r="H40" s="1930"/>
      <c r="I40" s="1930"/>
      <c r="J40" s="1930"/>
      <c r="K40" s="1930"/>
      <c r="L40" s="1930"/>
      <c r="M40" s="1930"/>
      <c r="N40" s="1930"/>
      <c r="O40" s="1930"/>
      <c r="P40" s="1930"/>
      <c r="Q40" s="1930"/>
      <c r="R40" s="1930"/>
      <c r="S40" s="1930"/>
      <c r="T40" s="1930"/>
      <c r="U40" s="1930"/>
      <c r="V40" s="1930"/>
      <c r="W40" s="2"/>
      <c r="X40" s="2"/>
      <c r="Y40" s="1927" t="s">
        <v>94</v>
      </c>
      <c r="Z40" s="1927"/>
      <c r="AA40" s="617"/>
      <c r="AB40" s="2"/>
      <c r="AC40" s="2"/>
      <c r="AD40" s="2"/>
      <c r="AE40" s="2"/>
      <c r="AF40" s="2"/>
      <c r="AG40" s="2"/>
      <c r="AH40" s="2"/>
      <c r="AI40" s="2"/>
      <c r="AJ40" s="2"/>
      <c r="AK40" s="2"/>
    </row>
    <row r="41" spans="1:37" s="1" customFormat="1" ht="19.5" customHeight="1">
      <c r="A41" s="2"/>
      <c r="B41" s="602"/>
      <c r="C41" s="2"/>
      <c r="D41" s="1930" t="s">
        <v>1601</v>
      </c>
      <c r="E41" s="1930"/>
      <c r="F41" s="1930"/>
      <c r="G41" s="1930"/>
      <c r="H41" s="1930"/>
      <c r="I41" s="1930"/>
      <c r="J41" s="1930"/>
      <c r="K41" s="1930"/>
      <c r="L41" s="1930"/>
      <c r="M41" s="1930"/>
      <c r="N41" s="1930"/>
      <c r="O41" s="1930"/>
      <c r="P41" s="1930"/>
      <c r="Q41" s="1930"/>
      <c r="R41" s="1930"/>
      <c r="S41" s="1930"/>
      <c r="T41" s="1930"/>
      <c r="U41" s="1930"/>
      <c r="V41" s="1930"/>
      <c r="W41" s="2"/>
      <c r="X41" s="2"/>
      <c r="Y41" s="1927" t="s">
        <v>94</v>
      </c>
      <c r="Z41" s="1927"/>
      <c r="AA41" s="617"/>
      <c r="AB41" s="2"/>
      <c r="AC41" s="2"/>
      <c r="AD41" s="2"/>
      <c r="AE41" s="2"/>
      <c r="AF41" s="2"/>
      <c r="AG41" s="2"/>
      <c r="AH41" s="2"/>
      <c r="AI41" s="2"/>
      <c r="AJ41" s="2"/>
      <c r="AK41" s="2"/>
    </row>
    <row r="42" spans="1:37" s="1" customFormat="1" ht="16.5" customHeight="1">
      <c r="A42" s="2"/>
      <c r="B42" s="602"/>
      <c r="C42" s="2"/>
      <c r="D42" s="1930" t="s">
        <v>1602</v>
      </c>
      <c r="E42" s="1930"/>
      <c r="F42" s="1930"/>
      <c r="G42" s="1930"/>
      <c r="H42" s="1930"/>
      <c r="I42" s="1930"/>
      <c r="J42" s="1930"/>
      <c r="K42" s="1930"/>
      <c r="L42" s="1930"/>
      <c r="M42" s="1930"/>
      <c r="N42" s="1930"/>
      <c r="O42" s="1930"/>
      <c r="P42" s="1930"/>
      <c r="Q42" s="1930"/>
      <c r="R42" s="1930"/>
      <c r="S42" s="1930"/>
      <c r="T42" s="1930"/>
      <c r="U42" s="1930"/>
      <c r="V42" s="1930"/>
      <c r="W42" s="2"/>
      <c r="X42" s="2"/>
      <c r="Y42" s="597"/>
      <c r="Z42" s="597"/>
      <c r="AA42" s="617"/>
      <c r="AB42" s="2"/>
      <c r="AC42" s="2"/>
      <c r="AD42" s="2"/>
      <c r="AE42" s="2"/>
      <c r="AF42" s="2"/>
      <c r="AG42" s="2"/>
      <c r="AH42" s="2"/>
      <c r="AI42" s="2"/>
      <c r="AJ42" s="2"/>
      <c r="AK42" s="2"/>
    </row>
    <row r="43" spans="1:37" s="1" customFormat="1" ht="8.25" customHeight="1">
      <c r="A43" s="3"/>
      <c r="B43" s="67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1603</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408"/>
      <c r="C47" s="1" t="s">
        <v>1604</v>
      </c>
      <c r="D47" s="12"/>
      <c r="E47" s="12"/>
      <c r="F47" s="12"/>
      <c r="G47" s="12"/>
      <c r="H47" s="12"/>
      <c r="I47" s="12"/>
      <c r="J47" s="12"/>
      <c r="K47" s="12"/>
      <c r="L47" s="12"/>
      <c r="M47" s="12"/>
      <c r="N47" s="12"/>
      <c r="O47" s="12"/>
      <c r="Y47" s="614"/>
      <c r="Z47" s="614"/>
      <c r="AA47" s="402"/>
    </row>
    <row r="48" spans="1:37" s="1" customFormat="1" ht="19.5" customHeight="1">
      <c r="B48" s="408"/>
      <c r="C48" s="1" t="s">
        <v>1605</v>
      </c>
      <c r="D48" s="12"/>
      <c r="E48" s="12"/>
      <c r="F48" s="12"/>
      <c r="G48" s="12"/>
      <c r="H48" s="12"/>
      <c r="I48" s="12"/>
      <c r="J48" s="12"/>
      <c r="K48" s="12"/>
      <c r="L48" s="12"/>
      <c r="M48" s="12"/>
      <c r="N48" s="12"/>
      <c r="O48" s="12"/>
      <c r="Y48" s="1927" t="s">
        <v>94</v>
      </c>
      <c r="Z48" s="1927"/>
      <c r="AA48" s="402"/>
    </row>
    <row r="49" spans="1:37" s="1" customFormat="1" ht="19.5" customHeight="1">
      <c r="B49" s="408"/>
      <c r="D49" s="1872" t="s">
        <v>1606</v>
      </c>
      <c r="E49" s="1873"/>
      <c r="F49" s="1873"/>
      <c r="G49" s="1873"/>
      <c r="H49" s="1873"/>
      <c r="I49" s="1873"/>
      <c r="J49" s="1873"/>
      <c r="K49" s="1873"/>
      <c r="L49" s="1873"/>
      <c r="M49" s="1873"/>
      <c r="N49" s="1873"/>
      <c r="O49" s="1873"/>
      <c r="P49" s="1873"/>
      <c r="Q49" s="1873"/>
      <c r="R49" s="1932" t="s">
        <v>89</v>
      </c>
      <c r="S49" s="1933"/>
      <c r="T49" s="1933"/>
      <c r="U49" s="1933"/>
      <c r="V49" s="1934"/>
      <c r="AA49" s="402"/>
    </row>
    <row r="50" spans="1:37" s="1" customFormat="1" ht="19.5" customHeight="1">
      <c r="B50" s="408"/>
      <c r="D50" s="1872" t="s">
        <v>1607</v>
      </c>
      <c r="E50" s="1873"/>
      <c r="F50" s="1873"/>
      <c r="G50" s="1873"/>
      <c r="H50" s="1873"/>
      <c r="I50" s="1873"/>
      <c r="J50" s="1873"/>
      <c r="K50" s="1873"/>
      <c r="L50" s="1873"/>
      <c r="M50" s="1873"/>
      <c r="N50" s="1873"/>
      <c r="O50" s="1873"/>
      <c r="P50" s="1873"/>
      <c r="Q50" s="1931"/>
      <c r="R50" s="1932" t="s">
        <v>89</v>
      </c>
      <c r="S50" s="1933"/>
      <c r="T50" s="1933"/>
      <c r="U50" s="1933"/>
      <c r="V50" s="1934"/>
      <c r="AA50" s="402"/>
    </row>
    <row r="51" spans="1:37" s="1" customFormat="1" ht="19.5" customHeight="1">
      <c r="B51" s="408"/>
      <c r="C51" s="1" t="s">
        <v>1587</v>
      </c>
      <c r="D51" s="12"/>
      <c r="E51" s="12"/>
      <c r="F51" s="12"/>
      <c r="G51" s="12"/>
      <c r="H51" s="12"/>
      <c r="I51" s="12"/>
      <c r="J51" s="12"/>
      <c r="K51" s="12"/>
      <c r="L51" s="12"/>
      <c r="M51" s="12"/>
      <c r="N51" s="12"/>
      <c r="O51" s="12"/>
      <c r="Y51" s="1927" t="s">
        <v>94</v>
      </c>
      <c r="Z51" s="1927"/>
      <c r="AA51" s="402"/>
    </row>
    <row r="52" spans="1:37" s="1" customFormat="1" ht="19.5" customHeight="1">
      <c r="B52" s="408"/>
      <c r="C52" s="1" t="s">
        <v>1588</v>
      </c>
      <c r="D52" s="12"/>
      <c r="E52" s="12"/>
      <c r="F52" s="12"/>
      <c r="G52" s="12"/>
      <c r="H52" s="12"/>
      <c r="I52" s="12"/>
      <c r="J52" s="12"/>
      <c r="K52" s="12"/>
      <c r="L52" s="12"/>
      <c r="M52" s="12"/>
      <c r="N52" s="12"/>
      <c r="O52" s="12"/>
      <c r="Y52" s="1927" t="s">
        <v>94</v>
      </c>
      <c r="Z52" s="1927"/>
      <c r="AA52" s="402"/>
    </row>
    <row r="53" spans="1:37" s="1" customFormat="1" ht="23.25" customHeight="1">
      <c r="B53" s="408"/>
      <c r="D53" s="1847" t="s">
        <v>1589</v>
      </c>
      <c r="E53" s="1847"/>
      <c r="F53" s="1847"/>
      <c r="G53" s="1847"/>
      <c r="H53" s="1847"/>
      <c r="I53" s="1847"/>
      <c r="J53" s="1847"/>
      <c r="K53" s="12"/>
      <c r="L53" s="12"/>
      <c r="M53" s="12"/>
      <c r="N53" s="12"/>
      <c r="O53" s="12"/>
      <c r="Y53" s="614"/>
      <c r="Z53" s="614"/>
      <c r="AA53" s="402"/>
    </row>
    <row r="54" spans="1:37" s="1" customFormat="1" ht="23.25" customHeight="1">
      <c r="B54" s="408"/>
      <c r="C54" s="1" t="s">
        <v>1590</v>
      </c>
      <c r="AA54" s="402"/>
    </row>
    <row r="55" spans="1:37" s="1" customFormat="1" ht="6.75" customHeight="1">
      <c r="B55" s="408"/>
      <c r="AA55" s="402"/>
    </row>
    <row r="56" spans="1:37" s="1" customFormat="1" ht="19.5" customHeight="1">
      <c r="B56" s="408" t="s">
        <v>134</v>
      </c>
      <c r="C56" s="1580" t="s">
        <v>1591</v>
      </c>
      <c r="D56" s="1581"/>
      <c r="E56" s="1581"/>
      <c r="F56" s="1581"/>
      <c r="G56" s="1581"/>
      <c r="H56" s="1582"/>
      <c r="I56" s="1873"/>
      <c r="J56" s="1873"/>
      <c r="K56" s="1873"/>
      <c r="L56" s="1873"/>
      <c r="M56" s="1873"/>
      <c r="N56" s="1873"/>
      <c r="O56" s="1873"/>
      <c r="P56" s="1873"/>
      <c r="Q56" s="1873"/>
      <c r="R56" s="1873"/>
      <c r="S56" s="1873"/>
      <c r="T56" s="1873"/>
      <c r="U56" s="1873"/>
      <c r="V56" s="1873"/>
      <c r="W56" s="1873"/>
      <c r="X56" s="1873"/>
      <c r="Y56" s="1873"/>
      <c r="Z56" s="1931"/>
      <c r="AA56" s="402"/>
    </row>
    <row r="57" spans="1:37" s="1" customFormat="1" ht="19.5" customHeight="1">
      <c r="B57" s="408" t="s">
        <v>134</v>
      </c>
      <c r="C57" s="1580" t="s">
        <v>1592</v>
      </c>
      <c r="D57" s="1581"/>
      <c r="E57" s="1581"/>
      <c r="F57" s="1581"/>
      <c r="G57" s="1581"/>
      <c r="H57" s="1582"/>
      <c r="I57" s="1873"/>
      <c r="J57" s="1873"/>
      <c r="K57" s="1873"/>
      <c r="L57" s="1873"/>
      <c r="M57" s="1873"/>
      <c r="N57" s="1873"/>
      <c r="O57" s="1873"/>
      <c r="P57" s="1873"/>
      <c r="Q57" s="1873"/>
      <c r="R57" s="1873"/>
      <c r="S57" s="1873"/>
      <c r="T57" s="1873"/>
      <c r="U57" s="1873"/>
      <c r="V57" s="1873"/>
      <c r="W57" s="1873"/>
      <c r="X57" s="1873"/>
      <c r="Y57" s="1873"/>
      <c r="Z57" s="1931"/>
      <c r="AA57" s="402"/>
    </row>
    <row r="58" spans="1:37" s="1" customFormat="1" ht="19.5" customHeight="1">
      <c r="B58" s="408" t="s">
        <v>134</v>
      </c>
      <c r="C58" s="1580" t="s">
        <v>1593</v>
      </c>
      <c r="D58" s="1581"/>
      <c r="E58" s="1581"/>
      <c r="F58" s="1581"/>
      <c r="G58" s="1581"/>
      <c r="H58" s="1582"/>
      <c r="I58" s="1873"/>
      <c r="J58" s="1873"/>
      <c r="K58" s="1873"/>
      <c r="L58" s="1873"/>
      <c r="M58" s="1873"/>
      <c r="N58" s="1873"/>
      <c r="O58" s="1873"/>
      <c r="P58" s="1873"/>
      <c r="Q58" s="1873"/>
      <c r="R58" s="1873"/>
      <c r="S58" s="1873"/>
      <c r="T58" s="1873"/>
      <c r="U58" s="1873"/>
      <c r="V58" s="1873"/>
      <c r="W58" s="1873"/>
      <c r="X58" s="1873"/>
      <c r="Y58" s="1873"/>
      <c r="Z58" s="1931"/>
      <c r="AA58" s="402"/>
    </row>
    <row r="59" spans="1:37" s="1" customFormat="1" ht="19.5" customHeight="1">
      <c r="B59" s="408"/>
      <c r="C59" s="12"/>
      <c r="D59" s="12"/>
      <c r="E59" s="12"/>
      <c r="F59" s="12"/>
      <c r="G59" s="12"/>
      <c r="H59" s="12"/>
      <c r="I59" s="2"/>
      <c r="J59" s="2"/>
      <c r="K59" s="2"/>
      <c r="L59" s="2"/>
      <c r="M59" s="2"/>
      <c r="N59" s="2"/>
      <c r="O59" s="2"/>
      <c r="P59" s="2"/>
      <c r="Q59" s="2"/>
      <c r="R59" s="2"/>
      <c r="S59" s="2"/>
      <c r="T59" s="2"/>
      <c r="U59" s="2"/>
      <c r="V59" s="2"/>
      <c r="W59" s="2"/>
      <c r="X59" s="2"/>
      <c r="Y59" s="2"/>
      <c r="Z59" s="2"/>
      <c r="AA59" s="402"/>
    </row>
    <row r="60" spans="1:37" s="2" customFormat="1" ht="18" customHeight="1">
      <c r="A60" s="1"/>
      <c r="B60" s="408"/>
      <c r="C60" s="1597" t="s">
        <v>1608</v>
      </c>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602"/>
      <c r="AB60" s="1"/>
      <c r="AC60" s="1"/>
      <c r="AD60" s="1"/>
      <c r="AE60" s="1"/>
      <c r="AF60" s="1"/>
      <c r="AG60" s="1"/>
      <c r="AH60" s="1"/>
      <c r="AI60" s="1"/>
      <c r="AJ60" s="1"/>
      <c r="AK60" s="1"/>
    </row>
    <row r="61" spans="1:37" s="2" customFormat="1" ht="18" customHeight="1">
      <c r="A61" s="1"/>
      <c r="B61" s="408"/>
      <c r="C61" s="12"/>
      <c r="D61" s="12"/>
      <c r="E61" s="12"/>
      <c r="F61" s="12"/>
      <c r="G61" s="12"/>
      <c r="H61" s="12"/>
      <c r="I61" s="12"/>
      <c r="J61" s="12"/>
      <c r="K61" s="12"/>
      <c r="L61" s="12"/>
      <c r="M61" s="12"/>
      <c r="N61" s="12"/>
      <c r="O61" s="12"/>
      <c r="P61" s="1"/>
      <c r="Q61" s="1"/>
      <c r="R61" s="1"/>
      <c r="S61" s="1"/>
      <c r="T61" s="1"/>
      <c r="U61" s="1"/>
      <c r="V61" s="1"/>
      <c r="W61" s="1"/>
      <c r="X61" s="1"/>
      <c r="Y61" s="1"/>
      <c r="Z61" s="1"/>
      <c r="AA61" s="402"/>
      <c r="AB61" s="1"/>
      <c r="AC61" s="1"/>
      <c r="AD61" s="1"/>
      <c r="AE61" s="1"/>
      <c r="AF61" s="1"/>
      <c r="AG61" s="1"/>
      <c r="AH61" s="1"/>
      <c r="AI61" s="1"/>
      <c r="AJ61" s="1"/>
      <c r="AK61" s="1"/>
    </row>
    <row r="62" spans="1:37" s="2" customFormat="1" ht="19.5" customHeight="1">
      <c r="A62" s="1"/>
      <c r="B62" s="408"/>
      <c r="C62" s="1"/>
      <c r="D62" s="1930" t="s">
        <v>1609</v>
      </c>
      <c r="E62" s="1930"/>
      <c r="F62" s="1930"/>
      <c r="G62" s="1930"/>
      <c r="H62" s="1930"/>
      <c r="I62" s="1930"/>
      <c r="J62" s="1930"/>
      <c r="K62" s="1930"/>
      <c r="L62" s="1930"/>
      <c r="M62" s="1930"/>
      <c r="N62" s="1930"/>
      <c r="O62" s="1930"/>
      <c r="P62" s="1930"/>
      <c r="Q62" s="1930"/>
      <c r="R62" s="1930"/>
      <c r="S62" s="1930"/>
      <c r="T62" s="1930"/>
      <c r="U62" s="1930"/>
      <c r="V62" s="1930"/>
      <c r="W62" s="1"/>
      <c r="X62" s="1"/>
      <c r="Y62" s="1927" t="s">
        <v>94</v>
      </c>
      <c r="Z62" s="1927"/>
      <c r="AA62" s="402"/>
      <c r="AB62" s="1"/>
      <c r="AC62" s="1"/>
      <c r="AD62" s="1"/>
      <c r="AE62" s="1"/>
      <c r="AF62" s="1"/>
      <c r="AG62" s="1"/>
      <c r="AH62" s="1"/>
      <c r="AI62" s="1"/>
      <c r="AJ62" s="1"/>
      <c r="AK62" s="1"/>
    </row>
    <row r="63" spans="1:37" ht="19.5" customHeight="1">
      <c r="A63" s="2"/>
      <c r="B63" s="602"/>
      <c r="C63" s="2"/>
      <c r="D63" s="1930" t="s">
        <v>1599</v>
      </c>
      <c r="E63" s="1930"/>
      <c r="F63" s="1930"/>
      <c r="G63" s="1930"/>
      <c r="H63" s="1930"/>
      <c r="I63" s="1930"/>
      <c r="J63" s="1930"/>
      <c r="K63" s="1930"/>
      <c r="L63" s="1930"/>
      <c r="M63" s="1930"/>
      <c r="N63" s="1930"/>
      <c r="O63" s="1930"/>
      <c r="P63" s="1930"/>
      <c r="Q63" s="1930"/>
      <c r="R63" s="1930"/>
      <c r="S63" s="1930"/>
      <c r="T63" s="1930"/>
      <c r="U63" s="1930"/>
      <c r="V63" s="1930"/>
      <c r="W63" s="2"/>
      <c r="X63" s="2"/>
      <c r="Y63" s="1927" t="s">
        <v>94</v>
      </c>
      <c r="Z63" s="1927"/>
      <c r="AA63" s="617"/>
      <c r="AB63" s="2"/>
      <c r="AC63" s="2"/>
      <c r="AD63" s="2"/>
      <c r="AE63" s="2"/>
      <c r="AF63" s="2"/>
      <c r="AG63" s="2"/>
      <c r="AH63" s="2"/>
      <c r="AI63" s="2"/>
      <c r="AJ63" s="2"/>
      <c r="AK63" s="2"/>
    </row>
    <row r="64" spans="1:37" ht="19.5" customHeight="1">
      <c r="A64" s="2"/>
      <c r="B64" s="602"/>
      <c r="C64" s="2"/>
      <c r="D64" s="1930" t="s">
        <v>1600</v>
      </c>
      <c r="E64" s="1930"/>
      <c r="F64" s="1930"/>
      <c r="G64" s="1930"/>
      <c r="H64" s="1930"/>
      <c r="I64" s="1930"/>
      <c r="J64" s="1930"/>
      <c r="K64" s="1930"/>
      <c r="L64" s="1930"/>
      <c r="M64" s="1930"/>
      <c r="N64" s="1930"/>
      <c r="O64" s="1930"/>
      <c r="P64" s="1930"/>
      <c r="Q64" s="1930"/>
      <c r="R64" s="1930"/>
      <c r="S64" s="1930"/>
      <c r="T64" s="1930"/>
      <c r="U64" s="1930"/>
      <c r="V64" s="1930"/>
      <c r="W64" s="2"/>
      <c r="X64" s="2"/>
      <c r="Y64" s="1927" t="s">
        <v>94</v>
      </c>
      <c r="Z64" s="1927"/>
      <c r="AA64" s="617"/>
      <c r="AB64" s="2"/>
      <c r="AC64" s="2"/>
      <c r="AD64" s="2"/>
      <c r="AE64" s="2"/>
      <c r="AF64" s="2"/>
      <c r="AG64" s="2"/>
      <c r="AH64" s="2"/>
      <c r="AI64" s="2"/>
      <c r="AJ64" s="2"/>
      <c r="AK64" s="2"/>
    </row>
    <row r="65" spans="1:37" ht="19.5" customHeight="1">
      <c r="A65" s="2"/>
      <c r="B65" s="602"/>
      <c r="C65" s="2"/>
      <c r="D65" s="1930" t="s">
        <v>1601</v>
      </c>
      <c r="E65" s="1930"/>
      <c r="F65" s="1930"/>
      <c r="G65" s="1930"/>
      <c r="H65" s="1930"/>
      <c r="I65" s="1930"/>
      <c r="J65" s="1930"/>
      <c r="K65" s="1930"/>
      <c r="L65" s="1930"/>
      <c r="M65" s="1930"/>
      <c r="N65" s="1930"/>
      <c r="O65" s="1930"/>
      <c r="P65" s="1930"/>
      <c r="Q65" s="1930"/>
      <c r="R65" s="1930"/>
      <c r="S65" s="1930"/>
      <c r="T65" s="1930"/>
      <c r="U65" s="1930"/>
      <c r="V65" s="1930"/>
      <c r="W65" s="2"/>
      <c r="X65" s="2"/>
      <c r="Y65" s="1927" t="s">
        <v>94</v>
      </c>
      <c r="Z65" s="1927"/>
      <c r="AA65" s="617"/>
      <c r="AB65" s="2"/>
      <c r="AC65" s="2"/>
      <c r="AD65" s="2"/>
      <c r="AE65" s="2"/>
      <c r="AF65" s="2"/>
      <c r="AG65" s="2"/>
      <c r="AH65" s="2"/>
      <c r="AI65" s="2"/>
      <c r="AJ65" s="2"/>
      <c r="AK65" s="2"/>
    </row>
    <row r="66" spans="1:37" s="2" customFormat="1">
      <c r="B66" s="602"/>
      <c r="D66" s="1930" t="s">
        <v>1602</v>
      </c>
      <c r="E66" s="1930"/>
      <c r="F66" s="1930"/>
      <c r="G66" s="1930"/>
      <c r="H66" s="1930"/>
      <c r="I66" s="1930"/>
      <c r="J66" s="1930"/>
      <c r="K66" s="1930"/>
      <c r="L66" s="1930"/>
      <c r="M66" s="1930"/>
      <c r="N66" s="1930"/>
      <c r="O66" s="1930"/>
      <c r="P66" s="1930"/>
      <c r="Q66" s="1930"/>
      <c r="R66" s="1930"/>
      <c r="S66" s="1930"/>
      <c r="T66" s="1930"/>
      <c r="U66" s="1930"/>
      <c r="V66" s="1930"/>
      <c r="Y66" s="597"/>
      <c r="Z66" s="597"/>
      <c r="AA66" s="617"/>
    </row>
    <row r="67" spans="1:37" s="2" customFormat="1">
      <c r="A67" s="3"/>
      <c r="B67" s="67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61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7.200000000000003" customHeight="1">
      <c r="B69" s="1935" t="s">
        <v>1610</v>
      </c>
      <c r="C69" s="1935"/>
      <c r="D69" s="1935"/>
      <c r="E69" s="1935"/>
      <c r="F69" s="1935"/>
      <c r="G69" s="1935"/>
      <c r="H69" s="1935"/>
      <c r="I69" s="1935"/>
      <c r="J69" s="1935"/>
      <c r="K69" s="1935"/>
      <c r="L69" s="1935"/>
      <c r="M69" s="1935"/>
      <c r="N69" s="1935"/>
      <c r="O69" s="1935"/>
      <c r="P69" s="1935"/>
      <c r="Q69" s="1935"/>
      <c r="R69" s="1935"/>
      <c r="S69" s="1935"/>
      <c r="T69" s="1935"/>
      <c r="U69" s="1935"/>
      <c r="V69" s="1935"/>
      <c r="W69" s="1935"/>
      <c r="X69" s="1935"/>
      <c r="Y69" s="1935"/>
      <c r="Z69" s="1935"/>
      <c r="AA69" s="1935"/>
    </row>
    <row r="70" spans="1:37">
      <c r="A70" s="2"/>
      <c r="B70" s="1935" t="s">
        <v>1611</v>
      </c>
      <c r="C70" s="1935"/>
      <c r="D70" s="1935"/>
      <c r="E70" s="1935"/>
      <c r="F70" s="1935"/>
      <c r="G70" s="1935"/>
      <c r="H70" s="1935"/>
      <c r="I70" s="1935"/>
      <c r="J70" s="1935"/>
      <c r="K70" s="1935"/>
      <c r="L70" s="1935"/>
      <c r="M70" s="1935"/>
      <c r="N70" s="1935"/>
      <c r="O70" s="1935"/>
      <c r="P70" s="1935"/>
      <c r="Q70" s="1935"/>
      <c r="R70" s="1935"/>
      <c r="S70" s="1935"/>
      <c r="T70" s="1935"/>
      <c r="U70" s="1935"/>
      <c r="V70" s="1935"/>
      <c r="W70" s="1935"/>
      <c r="X70" s="1935"/>
      <c r="Y70" s="1935"/>
      <c r="Z70" s="1935"/>
      <c r="AA70" s="1935"/>
      <c r="AB70" s="2"/>
      <c r="AC70" s="2"/>
      <c r="AD70" s="2"/>
      <c r="AE70" s="2"/>
      <c r="AF70" s="2"/>
      <c r="AG70" s="2"/>
      <c r="AH70" s="2"/>
      <c r="AI70" s="2"/>
      <c r="AJ70" s="2"/>
      <c r="AK70" s="2"/>
    </row>
    <row r="71" spans="1:37" ht="13.5" customHeight="1">
      <c r="A71" s="2"/>
      <c r="B71" s="1935" t="s">
        <v>1612</v>
      </c>
      <c r="C71" s="1935"/>
      <c r="D71" s="1935"/>
      <c r="E71" s="1935"/>
      <c r="F71" s="1935"/>
      <c r="G71" s="1935"/>
      <c r="H71" s="1935"/>
      <c r="I71" s="1935"/>
      <c r="J71" s="1935"/>
      <c r="K71" s="1935"/>
      <c r="L71" s="1935"/>
      <c r="M71" s="1935"/>
      <c r="N71" s="1935"/>
      <c r="O71" s="1935"/>
      <c r="P71" s="1935"/>
      <c r="Q71" s="1935"/>
      <c r="R71" s="1935"/>
      <c r="S71" s="1935"/>
      <c r="T71" s="1935"/>
      <c r="U71" s="1935"/>
      <c r="V71" s="1935"/>
      <c r="W71" s="1935"/>
      <c r="X71" s="1935"/>
      <c r="Y71" s="1935"/>
      <c r="Z71" s="1935"/>
      <c r="AA71" s="1935"/>
      <c r="AB71" s="2"/>
      <c r="AC71" s="2"/>
      <c r="AD71" s="2"/>
      <c r="AE71" s="2"/>
      <c r="AF71" s="2"/>
      <c r="AG71" s="2"/>
      <c r="AH71" s="2"/>
      <c r="AI71" s="2"/>
      <c r="AJ71" s="2"/>
      <c r="AK71" s="2"/>
    </row>
    <row r="72" spans="1:37">
      <c r="A72" s="2"/>
      <c r="B72" s="1935" t="s">
        <v>1613</v>
      </c>
      <c r="C72" s="1935"/>
      <c r="D72" s="1935"/>
      <c r="E72" s="1935"/>
      <c r="F72" s="1935"/>
      <c r="G72" s="1935"/>
      <c r="H72" s="1935"/>
      <c r="I72" s="1935"/>
      <c r="J72" s="1935"/>
      <c r="K72" s="1935"/>
      <c r="L72" s="1935"/>
      <c r="M72" s="1935"/>
      <c r="N72" s="1935"/>
      <c r="O72" s="1935"/>
      <c r="P72" s="1935"/>
      <c r="Q72" s="1935"/>
      <c r="R72" s="1935"/>
      <c r="S72" s="1935"/>
      <c r="T72" s="1935"/>
      <c r="U72" s="1935"/>
      <c r="V72" s="1935"/>
      <c r="W72" s="1935"/>
      <c r="X72" s="1935"/>
      <c r="Y72" s="1935"/>
      <c r="Z72" s="1935"/>
      <c r="AA72" s="1935"/>
      <c r="AB72" s="2"/>
      <c r="AC72" s="2"/>
      <c r="AD72" s="2"/>
      <c r="AE72" s="2"/>
      <c r="AF72" s="2"/>
      <c r="AG72" s="2"/>
      <c r="AH72" s="2"/>
      <c r="AI72" s="2"/>
      <c r="AJ72" s="2"/>
      <c r="AK72" s="2"/>
    </row>
    <row r="73" spans="1:37">
      <c r="B73" s="1935" t="s">
        <v>1614</v>
      </c>
      <c r="C73" s="1935"/>
      <c r="D73" s="1935"/>
      <c r="E73" s="1935"/>
      <c r="F73" s="1935"/>
      <c r="G73" s="1935"/>
      <c r="H73" s="1935"/>
      <c r="I73" s="1935"/>
      <c r="J73" s="1935"/>
      <c r="K73" s="1935"/>
      <c r="L73" s="1935"/>
      <c r="M73" s="1935"/>
      <c r="N73" s="1935"/>
      <c r="O73" s="1935"/>
      <c r="P73" s="1935"/>
      <c r="Q73" s="1935"/>
      <c r="R73" s="1935"/>
      <c r="S73" s="1935"/>
      <c r="T73" s="1935"/>
      <c r="U73" s="1935"/>
      <c r="V73" s="1935"/>
      <c r="W73" s="1935"/>
      <c r="X73" s="1935"/>
      <c r="Y73" s="1935"/>
      <c r="Z73" s="1935"/>
      <c r="AA73" s="1935"/>
      <c r="AB73" s="779"/>
    </row>
    <row r="74" spans="1:37">
      <c r="B74" s="1935" t="s">
        <v>1615</v>
      </c>
      <c r="C74" s="1935"/>
      <c r="D74" s="1935"/>
      <c r="E74" s="1935"/>
      <c r="F74" s="1935"/>
      <c r="G74" s="1935"/>
      <c r="H74" s="1935"/>
      <c r="I74" s="1935"/>
      <c r="J74" s="1935"/>
      <c r="K74" s="1935"/>
      <c r="L74" s="1935"/>
      <c r="M74" s="1935"/>
      <c r="N74" s="1935"/>
      <c r="O74" s="1935"/>
      <c r="P74" s="1935"/>
      <c r="Q74" s="1935"/>
      <c r="R74" s="1935"/>
      <c r="S74" s="1935"/>
      <c r="T74" s="1935"/>
      <c r="U74" s="1935"/>
      <c r="V74" s="1935"/>
      <c r="W74" s="1935"/>
      <c r="X74" s="1935"/>
      <c r="Y74" s="1935"/>
      <c r="Z74" s="1935"/>
      <c r="AA74" s="780"/>
      <c r="AB74" s="779"/>
    </row>
    <row r="75" spans="1:37">
      <c r="B75" s="781"/>
      <c r="D75" s="431"/>
    </row>
    <row r="76" spans="1:37">
      <c r="B76" s="781"/>
      <c r="D76" s="431"/>
    </row>
    <row r="77" spans="1:37">
      <c r="B77" s="781"/>
      <c r="D77" s="431"/>
    </row>
    <row r="78" spans="1:37">
      <c r="B78" s="781"/>
      <c r="D78" s="431"/>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3"/>
  <printOptions horizontalCentered="1"/>
  <pageMargins left="0.70866141732283472" right="0.39370078740157483" top="0.51181102362204722" bottom="0.35433070866141736" header="0.31496062992125984" footer="0.31496062992125984"/>
  <pageSetup paperSize="9" fitToHeight="0" orientation="portrait" r:id="rId1"/>
  <headerFooter>
    <oddFooter>&amp;C1－&amp;P</oddFooter>
  </headerFooter>
  <rowBreaks count="1" manualBreakCount="1">
    <brk id="4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B1:BD185"/>
  <sheetViews>
    <sheetView view="pageBreakPreview" zoomScale="70" zoomScaleNormal="85" zoomScaleSheetLayoutView="70" workbookViewId="0">
      <pane xSplit="4" ySplit="18" topLeftCell="E19" activePane="bottomRight" state="frozen"/>
      <selection activeCell="M53" sqref="M53"/>
      <selection pane="topRight" activeCell="M53" sqref="M53"/>
      <selection pane="bottomLeft" activeCell="M53" sqref="M53"/>
      <selection pane="bottomRight"/>
    </sheetView>
  </sheetViews>
  <sheetFormatPr defaultColWidth="9" defaultRowHeight="12"/>
  <cols>
    <col min="1" max="1" width="1" style="85" customWidth="1"/>
    <col min="2" max="2" width="8.21875" style="85" customWidth="1"/>
    <col min="3" max="3" width="29" style="89" customWidth="1"/>
    <col min="4" max="4" width="7.33203125" style="89" customWidth="1"/>
    <col min="5" max="25" width="5.77734375" style="85" customWidth="1"/>
    <col min="26" max="26" width="105.88671875" style="85" customWidth="1"/>
    <col min="27" max="27" width="1.109375" style="85" customWidth="1"/>
    <col min="28" max="56" width="3.109375" style="85" customWidth="1"/>
    <col min="57" max="16384" width="9" style="85"/>
  </cols>
  <sheetData>
    <row r="1" spans="2:56" ht="16.2">
      <c r="B1" s="183" t="s">
        <v>136</v>
      </c>
    </row>
    <row r="3" spans="2:56" s="87" customFormat="1" ht="13.5" customHeight="1">
      <c r="B3" s="184"/>
      <c r="C3" s="185" t="s">
        <v>119</v>
      </c>
      <c r="D3" s="186"/>
      <c r="E3" s="985">
        <v>2</v>
      </c>
      <c r="F3" s="986" t="s">
        <v>2223</v>
      </c>
      <c r="G3" s="986">
        <v>6</v>
      </c>
      <c r="H3" s="987">
        <v>7</v>
      </c>
      <c r="I3" s="985">
        <v>11</v>
      </c>
      <c r="J3" s="988" t="s">
        <v>1478</v>
      </c>
      <c r="K3" s="986" t="s">
        <v>1830</v>
      </c>
      <c r="L3" s="985" t="s">
        <v>1831</v>
      </c>
      <c r="M3" s="985" t="s">
        <v>1832</v>
      </c>
      <c r="N3" s="986">
        <v>20</v>
      </c>
      <c r="O3" s="988">
        <v>22</v>
      </c>
      <c r="P3" s="988" t="s">
        <v>1706</v>
      </c>
      <c r="Q3" s="986">
        <v>24</v>
      </c>
      <c r="R3" s="988">
        <v>28</v>
      </c>
      <c r="S3" s="986">
        <v>29</v>
      </c>
      <c r="T3" s="986" t="s">
        <v>1368</v>
      </c>
      <c r="U3" s="986" t="s">
        <v>1369</v>
      </c>
      <c r="V3" s="986">
        <v>35</v>
      </c>
      <c r="W3" s="986">
        <v>38</v>
      </c>
      <c r="X3" s="988">
        <v>40</v>
      </c>
      <c r="Y3" s="988">
        <v>41</v>
      </c>
      <c r="Z3" s="196" t="s">
        <v>139</v>
      </c>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row>
    <row r="4" spans="2:56" ht="12" customHeight="1">
      <c r="B4" s="190"/>
      <c r="C4" s="191"/>
      <c r="D4" s="192"/>
      <c r="E4" s="1457" t="s">
        <v>667</v>
      </c>
      <c r="F4" s="1457" t="s">
        <v>124</v>
      </c>
      <c r="G4" s="1478" t="s">
        <v>1919</v>
      </c>
      <c r="H4" s="1478" t="s">
        <v>1925</v>
      </c>
      <c r="I4" s="1478" t="s">
        <v>1738</v>
      </c>
      <c r="J4" s="1478" t="s">
        <v>1105</v>
      </c>
      <c r="K4" s="1478" t="s">
        <v>1829</v>
      </c>
      <c r="L4" s="1460" t="s">
        <v>1008</v>
      </c>
      <c r="M4" s="1460" t="s">
        <v>1009</v>
      </c>
      <c r="N4" s="1490" t="s">
        <v>1803</v>
      </c>
      <c r="O4" s="1478" t="s">
        <v>1106</v>
      </c>
      <c r="P4" s="1475" t="s">
        <v>1107</v>
      </c>
      <c r="Q4" s="1460" t="s">
        <v>1010</v>
      </c>
      <c r="R4" s="1478" t="s">
        <v>1616</v>
      </c>
      <c r="S4" s="1463" t="s">
        <v>1371</v>
      </c>
      <c r="T4" s="1463" t="s">
        <v>1370</v>
      </c>
      <c r="U4" s="1484" t="s">
        <v>792</v>
      </c>
      <c r="V4" s="1475" t="s">
        <v>1559</v>
      </c>
      <c r="W4" s="1466" t="s">
        <v>1007</v>
      </c>
      <c r="X4" s="1475" t="s">
        <v>1516</v>
      </c>
      <c r="Y4" s="1466" t="s">
        <v>117</v>
      </c>
      <c r="Z4" s="1469" t="s">
        <v>2205</v>
      </c>
      <c r="AA4" s="93"/>
      <c r="AB4" s="93"/>
      <c r="AC4" s="93"/>
      <c r="AD4" s="93"/>
      <c r="AE4" s="97"/>
      <c r="AF4" s="93"/>
      <c r="AG4" s="93"/>
      <c r="AH4" s="93"/>
      <c r="AI4" s="93"/>
      <c r="AJ4" s="94"/>
      <c r="AK4" s="93"/>
      <c r="AL4" s="93"/>
      <c r="AM4" s="93" t="s">
        <v>135</v>
      </c>
      <c r="AN4" s="93"/>
      <c r="AO4" s="93" t="s">
        <v>134</v>
      </c>
      <c r="AP4" s="97"/>
      <c r="AQ4" s="97"/>
      <c r="AR4" s="93"/>
      <c r="AS4" s="93"/>
      <c r="AY4" s="93"/>
      <c r="BD4" s="1456"/>
    </row>
    <row r="5" spans="2:56" ht="12" customHeight="1">
      <c r="B5" s="190"/>
      <c r="C5" s="191"/>
      <c r="D5" s="192"/>
      <c r="E5" s="1458"/>
      <c r="F5" s="1458"/>
      <c r="G5" s="1479"/>
      <c r="H5" s="1479"/>
      <c r="I5" s="1479"/>
      <c r="J5" s="1479"/>
      <c r="K5" s="1479"/>
      <c r="L5" s="1461"/>
      <c r="M5" s="1461"/>
      <c r="N5" s="1491"/>
      <c r="O5" s="1479"/>
      <c r="P5" s="1476"/>
      <c r="Q5" s="1461"/>
      <c r="R5" s="1479"/>
      <c r="S5" s="1464"/>
      <c r="T5" s="1464"/>
      <c r="U5" s="1485"/>
      <c r="V5" s="1476"/>
      <c r="W5" s="1467"/>
      <c r="X5" s="1476"/>
      <c r="Y5" s="1467"/>
      <c r="Z5" s="1470"/>
      <c r="AA5" s="93"/>
      <c r="AB5" s="93"/>
      <c r="AC5" s="93"/>
      <c r="AD5" s="93"/>
      <c r="AE5" s="93"/>
      <c r="AF5" s="93"/>
      <c r="AG5" s="93"/>
      <c r="AH5" s="93"/>
      <c r="AI5" s="93"/>
      <c r="AJ5" s="94"/>
      <c r="AK5" s="93"/>
      <c r="AL5" s="93"/>
      <c r="AM5" s="93"/>
      <c r="AN5" s="93"/>
      <c r="AO5" s="93"/>
      <c r="AP5" s="93"/>
      <c r="AQ5" s="93"/>
      <c r="AR5" s="93"/>
      <c r="AS5" s="93"/>
      <c r="AV5" s="93"/>
      <c r="AW5" s="94"/>
      <c r="AX5" s="93"/>
      <c r="AY5" s="93"/>
      <c r="AZ5" s="93"/>
      <c r="BA5" s="93"/>
      <c r="BB5" s="93"/>
      <c r="BC5" s="93"/>
      <c r="BD5" s="1456"/>
    </row>
    <row r="6" spans="2:56" ht="12" customHeight="1">
      <c r="B6" s="190"/>
      <c r="C6" s="191"/>
      <c r="D6" s="192"/>
      <c r="E6" s="1458"/>
      <c r="F6" s="1458"/>
      <c r="G6" s="1479"/>
      <c r="H6" s="1479"/>
      <c r="I6" s="1479"/>
      <c r="J6" s="1479"/>
      <c r="K6" s="1479"/>
      <c r="L6" s="1461"/>
      <c r="M6" s="1461"/>
      <c r="N6" s="1491"/>
      <c r="O6" s="1479"/>
      <c r="P6" s="1476"/>
      <c r="Q6" s="1461"/>
      <c r="R6" s="1479"/>
      <c r="S6" s="1464"/>
      <c r="T6" s="1464"/>
      <c r="U6" s="1485"/>
      <c r="V6" s="1476"/>
      <c r="W6" s="1467"/>
      <c r="X6" s="1476"/>
      <c r="Y6" s="1467"/>
      <c r="Z6" s="1470"/>
      <c r="AA6" s="93"/>
      <c r="AB6" s="93"/>
      <c r="AC6" s="93"/>
      <c r="AD6" s="93"/>
      <c r="AE6" s="93"/>
      <c r="AF6" s="93"/>
      <c r="AG6" s="93"/>
      <c r="AH6" s="93"/>
      <c r="AI6" s="93"/>
      <c r="AJ6" s="94"/>
      <c r="AK6" s="93"/>
      <c r="AL6" s="93"/>
      <c r="AM6" s="93"/>
      <c r="AN6" s="93"/>
      <c r="AO6" s="93"/>
      <c r="AP6" s="93"/>
      <c r="AQ6" s="93"/>
      <c r="AR6" s="93"/>
      <c r="AS6" s="93"/>
      <c r="AV6" s="93"/>
      <c r="AW6" s="94"/>
      <c r="AX6" s="93"/>
      <c r="AY6" s="93"/>
      <c r="AZ6" s="93"/>
      <c r="BA6" s="93"/>
      <c r="BB6" s="93"/>
      <c r="BC6" s="93"/>
      <c r="BD6" s="1456"/>
    </row>
    <row r="7" spans="2:56" ht="12" customHeight="1">
      <c r="B7" s="190"/>
      <c r="C7" s="191"/>
      <c r="D7" s="192"/>
      <c r="E7" s="1458"/>
      <c r="F7" s="1458"/>
      <c r="G7" s="1479"/>
      <c r="H7" s="1479"/>
      <c r="I7" s="1479"/>
      <c r="J7" s="1479"/>
      <c r="K7" s="1479"/>
      <c r="L7" s="1461"/>
      <c r="M7" s="1461"/>
      <c r="N7" s="1491"/>
      <c r="O7" s="1479"/>
      <c r="P7" s="1476"/>
      <c r="Q7" s="1461"/>
      <c r="R7" s="1479"/>
      <c r="S7" s="1464"/>
      <c r="T7" s="1464"/>
      <c r="U7" s="1485"/>
      <c r="V7" s="1476"/>
      <c r="W7" s="1467"/>
      <c r="X7" s="1476"/>
      <c r="Y7" s="1467"/>
      <c r="Z7" s="1470"/>
      <c r="AA7" s="93"/>
      <c r="AB7" s="93"/>
      <c r="AC7" s="93"/>
      <c r="AD7" s="93"/>
      <c r="AE7" s="93"/>
      <c r="AF7" s="93"/>
      <c r="AG7" s="93"/>
      <c r="AH7" s="93"/>
      <c r="AI7" s="93"/>
      <c r="AJ7" s="94"/>
      <c r="AK7" s="93"/>
      <c r="AL7" s="93"/>
      <c r="AM7" s="93"/>
      <c r="AN7" s="93"/>
      <c r="AO7" s="93"/>
      <c r="AP7" s="93"/>
      <c r="AQ7" s="93"/>
      <c r="AR7" s="93"/>
      <c r="AS7" s="93"/>
      <c r="AV7" s="93"/>
      <c r="AW7" s="94"/>
      <c r="AX7" s="93"/>
      <c r="AY7" s="93"/>
      <c r="AZ7" s="93"/>
      <c r="BA7" s="93"/>
      <c r="BB7" s="93"/>
      <c r="BC7" s="93"/>
      <c r="BD7" s="1456"/>
    </row>
    <row r="8" spans="2:56" ht="12" customHeight="1">
      <c r="B8" s="190"/>
      <c r="C8" s="191"/>
      <c r="D8" s="192"/>
      <c r="E8" s="1458"/>
      <c r="F8" s="1458"/>
      <c r="G8" s="1479"/>
      <c r="H8" s="1479"/>
      <c r="I8" s="1479"/>
      <c r="J8" s="1479"/>
      <c r="K8" s="1479"/>
      <c r="L8" s="1461"/>
      <c r="M8" s="1461"/>
      <c r="N8" s="1491"/>
      <c r="O8" s="1479"/>
      <c r="P8" s="1476"/>
      <c r="Q8" s="1461"/>
      <c r="R8" s="1479"/>
      <c r="S8" s="1464"/>
      <c r="T8" s="1464"/>
      <c r="U8" s="1485"/>
      <c r="V8" s="1476"/>
      <c r="W8" s="1467"/>
      <c r="X8" s="1476"/>
      <c r="Y8" s="1467"/>
      <c r="Z8" s="1470"/>
      <c r="AA8" s="93"/>
      <c r="AB8" s="93"/>
      <c r="AC8" s="93"/>
      <c r="AD8" s="93"/>
      <c r="AE8" s="93"/>
      <c r="AF8" s="93"/>
      <c r="AG8" s="93"/>
      <c r="AH8" s="93"/>
      <c r="AI8" s="93"/>
      <c r="AJ8" s="94"/>
      <c r="AK8" s="93"/>
      <c r="AL8" s="93"/>
      <c r="AM8" s="93"/>
      <c r="AN8" s="93"/>
      <c r="AO8" s="93"/>
      <c r="AP8" s="93"/>
      <c r="AQ8" s="93"/>
      <c r="AR8" s="93"/>
      <c r="AS8" s="93"/>
      <c r="AV8" s="93"/>
      <c r="AW8" s="94"/>
      <c r="AX8" s="93"/>
      <c r="AY8" s="93"/>
      <c r="AZ8" s="93"/>
      <c r="BA8" s="93"/>
      <c r="BB8" s="93"/>
      <c r="BC8" s="93"/>
      <c r="BD8" s="1456"/>
    </row>
    <row r="9" spans="2:56" ht="12" customHeight="1">
      <c r="B9" s="190"/>
      <c r="C9" s="191"/>
      <c r="D9" s="192"/>
      <c r="E9" s="1458"/>
      <c r="F9" s="1458"/>
      <c r="G9" s="1479"/>
      <c r="H9" s="1479"/>
      <c r="I9" s="1479"/>
      <c r="J9" s="1479"/>
      <c r="K9" s="1479"/>
      <c r="L9" s="1461"/>
      <c r="M9" s="1461"/>
      <c r="N9" s="1491"/>
      <c r="O9" s="1479"/>
      <c r="P9" s="1476"/>
      <c r="Q9" s="1461"/>
      <c r="R9" s="1479"/>
      <c r="S9" s="1464"/>
      <c r="T9" s="1464"/>
      <c r="U9" s="1485"/>
      <c r="V9" s="1476"/>
      <c r="W9" s="1467"/>
      <c r="X9" s="1476"/>
      <c r="Y9" s="1467"/>
      <c r="Z9" s="1470"/>
      <c r="AA9" s="93"/>
      <c r="AB9" s="93"/>
      <c r="AC9" s="93"/>
      <c r="AD9" s="93"/>
      <c r="AE9" s="93"/>
      <c r="AF9" s="93"/>
      <c r="AG9" s="93"/>
      <c r="AH9" s="93"/>
      <c r="AI9" s="93"/>
      <c r="AJ9" s="94"/>
      <c r="AK9" s="93"/>
      <c r="AL9" s="93"/>
      <c r="AM9" s="93"/>
      <c r="AN9" s="93"/>
      <c r="AO9" s="93"/>
      <c r="AP9" s="93"/>
      <c r="AQ9" s="93"/>
      <c r="AR9" s="93"/>
      <c r="AS9" s="93"/>
      <c r="AV9" s="93"/>
      <c r="AW9" s="94"/>
      <c r="AX9" s="93"/>
      <c r="AY9" s="93"/>
      <c r="AZ9" s="93"/>
      <c r="BA9" s="93"/>
      <c r="BB9" s="93"/>
      <c r="BC9" s="93"/>
      <c r="BD9" s="1456"/>
    </row>
    <row r="10" spans="2:56" ht="12" customHeight="1">
      <c r="B10" s="190"/>
      <c r="C10" s="191"/>
      <c r="D10" s="192"/>
      <c r="E10" s="1458"/>
      <c r="F10" s="1458"/>
      <c r="G10" s="1479"/>
      <c r="H10" s="1479"/>
      <c r="I10" s="1479"/>
      <c r="J10" s="1479"/>
      <c r="K10" s="1479"/>
      <c r="L10" s="1461"/>
      <c r="M10" s="1461"/>
      <c r="N10" s="1491"/>
      <c r="O10" s="1479"/>
      <c r="P10" s="1476"/>
      <c r="Q10" s="1461"/>
      <c r="R10" s="1479"/>
      <c r="S10" s="1464"/>
      <c r="T10" s="1464"/>
      <c r="U10" s="1485"/>
      <c r="V10" s="1476"/>
      <c r="W10" s="1467"/>
      <c r="X10" s="1476"/>
      <c r="Y10" s="1467"/>
      <c r="Z10" s="1470"/>
      <c r="AA10" s="93"/>
      <c r="AB10" s="93"/>
      <c r="AC10" s="93"/>
      <c r="AD10" s="93"/>
      <c r="AE10" s="93"/>
      <c r="AF10" s="93"/>
      <c r="AG10" s="93"/>
      <c r="AH10" s="93"/>
      <c r="AI10" s="93"/>
      <c r="AJ10" s="94"/>
      <c r="AK10" s="93"/>
      <c r="AL10" s="93"/>
      <c r="AM10" s="93"/>
      <c r="AN10" s="93"/>
      <c r="AO10" s="93"/>
      <c r="AP10" s="93"/>
      <c r="AQ10" s="93"/>
      <c r="AR10" s="93"/>
      <c r="AS10" s="93"/>
      <c r="AV10" s="93"/>
      <c r="AW10" s="94"/>
      <c r="AX10" s="93"/>
      <c r="AY10" s="93"/>
      <c r="AZ10" s="93"/>
      <c r="BA10" s="93"/>
      <c r="BB10" s="93"/>
      <c r="BC10" s="93"/>
      <c r="BD10" s="1456"/>
    </row>
    <row r="11" spans="2:56" ht="12" customHeight="1">
      <c r="B11" s="190"/>
      <c r="C11" s="191"/>
      <c r="D11" s="192"/>
      <c r="E11" s="1458"/>
      <c r="F11" s="1458"/>
      <c r="G11" s="1479"/>
      <c r="H11" s="1479"/>
      <c r="I11" s="1479"/>
      <c r="J11" s="1479"/>
      <c r="K11" s="1479"/>
      <c r="L11" s="1461"/>
      <c r="M11" s="1461"/>
      <c r="N11" s="1491"/>
      <c r="O11" s="1479"/>
      <c r="P11" s="1476"/>
      <c r="Q11" s="1461"/>
      <c r="R11" s="1479"/>
      <c r="S11" s="1464"/>
      <c r="T11" s="1464"/>
      <c r="U11" s="1485"/>
      <c r="V11" s="1476"/>
      <c r="W11" s="1467"/>
      <c r="X11" s="1476"/>
      <c r="Y11" s="1467"/>
      <c r="Z11" s="1470"/>
      <c r="AA11" s="93"/>
      <c r="AB11" s="93"/>
      <c r="AC11" s="93"/>
      <c r="AD11" s="93"/>
      <c r="AE11" s="93"/>
      <c r="AF11" s="93"/>
      <c r="AG11" s="93"/>
      <c r="AH11" s="93"/>
      <c r="AI11" s="93"/>
      <c r="AJ11" s="94"/>
      <c r="AK11" s="93"/>
      <c r="AL11" s="93"/>
      <c r="AM11" s="93"/>
      <c r="AN11" s="93"/>
      <c r="AO11" s="93"/>
      <c r="AP11" s="93"/>
      <c r="AQ11" s="93"/>
      <c r="AR11" s="93"/>
      <c r="AS11" s="93"/>
      <c r="AV11" s="93"/>
      <c r="AW11" s="94"/>
      <c r="AX11" s="93"/>
      <c r="AY11" s="93"/>
      <c r="AZ11" s="93"/>
      <c r="BA11" s="93"/>
      <c r="BB11" s="93"/>
      <c r="BC11" s="93"/>
      <c r="BD11" s="1456"/>
    </row>
    <row r="12" spans="2:56" ht="12" customHeight="1">
      <c r="B12" s="190"/>
      <c r="C12" s="191"/>
      <c r="D12" s="192"/>
      <c r="E12" s="1458"/>
      <c r="F12" s="1458"/>
      <c r="G12" s="1479"/>
      <c r="H12" s="1479"/>
      <c r="I12" s="1479"/>
      <c r="J12" s="1479"/>
      <c r="K12" s="1479"/>
      <c r="L12" s="1461"/>
      <c r="M12" s="1461"/>
      <c r="N12" s="1491"/>
      <c r="O12" s="1479"/>
      <c r="P12" s="1476"/>
      <c r="Q12" s="1461"/>
      <c r="R12" s="1479"/>
      <c r="S12" s="1464"/>
      <c r="T12" s="1464"/>
      <c r="U12" s="1485"/>
      <c r="V12" s="1476"/>
      <c r="W12" s="1467"/>
      <c r="X12" s="1476"/>
      <c r="Y12" s="1467"/>
      <c r="Z12" s="1470"/>
      <c r="AA12" s="93"/>
      <c r="AB12" s="93"/>
      <c r="AC12" s="93"/>
      <c r="AD12" s="93"/>
      <c r="AE12" s="93"/>
      <c r="AF12" s="93"/>
      <c r="AG12" s="93"/>
      <c r="AH12" s="93"/>
      <c r="AI12" s="93"/>
      <c r="AJ12" s="94"/>
      <c r="AK12" s="93"/>
      <c r="AL12" s="93"/>
      <c r="AM12" s="93"/>
      <c r="AN12" s="93"/>
      <c r="AO12" s="93"/>
      <c r="AP12" s="93"/>
      <c r="AQ12" s="93"/>
      <c r="AR12" s="93"/>
      <c r="AS12" s="93"/>
      <c r="AV12" s="93"/>
      <c r="AW12" s="94"/>
      <c r="AX12" s="93"/>
      <c r="AY12" s="93"/>
      <c r="AZ12" s="93"/>
      <c r="BA12" s="93"/>
      <c r="BB12" s="93"/>
      <c r="BC12" s="93"/>
      <c r="BD12" s="1456"/>
    </row>
    <row r="13" spans="2:56" ht="12" customHeight="1">
      <c r="B13" s="190"/>
      <c r="C13" s="191"/>
      <c r="D13" s="192"/>
      <c r="E13" s="1458"/>
      <c r="F13" s="1458"/>
      <c r="G13" s="1479"/>
      <c r="H13" s="1479"/>
      <c r="I13" s="1479"/>
      <c r="J13" s="1479"/>
      <c r="K13" s="1479"/>
      <c r="L13" s="1461"/>
      <c r="M13" s="1461"/>
      <c r="N13" s="1491"/>
      <c r="O13" s="1479"/>
      <c r="P13" s="1476"/>
      <c r="Q13" s="1461"/>
      <c r="R13" s="1479"/>
      <c r="S13" s="1464"/>
      <c r="T13" s="1464"/>
      <c r="U13" s="1485"/>
      <c r="V13" s="1476"/>
      <c r="W13" s="1467"/>
      <c r="X13" s="1476"/>
      <c r="Y13" s="1467"/>
      <c r="Z13" s="1470"/>
      <c r="AA13" s="93"/>
      <c r="AB13" s="93"/>
      <c r="AC13" s="93"/>
      <c r="AD13" s="93"/>
      <c r="AE13" s="93"/>
      <c r="AF13" s="93"/>
      <c r="AG13" s="93"/>
      <c r="AH13" s="93"/>
      <c r="AI13" s="93"/>
      <c r="AJ13" s="94"/>
      <c r="AK13" s="93"/>
      <c r="AL13" s="93"/>
      <c r="AM13" s="93"/>
      <c r="AN13" s="93"/>
      <c r="AO13" s="93"/>
      <c r="AP13" s="93"/>
      <c r="AQ13" s="93"/>
      <c r="AR13" s="93"/>
      <c r="AS13" s="93"/>
      <c r="AV13" s="93"/>
      <c r="AW13" s="94"/>
      <c r="AX13" s="93"/>
      <c r="AY13" s="93"/>
      <c r="AZ13" s="93"/>
      <c r="BA13" s="93"/>
      <c r="BB13" s="93"/>
      <c r="BC13" s="93"/>
      <c r="BD13" s="1456"/>
    </row>
    <row r="14" spans="2:56" ht="12" customHeight="1">
      <c r="B14" s="190"/>
      <c r="C14" s="191"/>
      <c r="D14" s="192"/>
      <c r="E14" s="1458"/>
      <c r="F14" s="1458"/>
      <c r="G14" s="1479"/>
      <c r="H14" s="1479"/>
      <c r="I14" s="1479"/>
      <c r="J14" s="1479"/>
      <c r="K14" s="1479"/>
      <c r="L14" s="1461"/>
      <c r="M14" s="1461"/>
      <c r="N14" s="1491"/>
      <c r="O14" s="1479"/>
      <c r="P14" s="1476"/>
      <c r="Q14" s="1461"/>
      <c r="R14" s="1479"/>
      <c r="S14" s="1464"/>
      <c r="T14" s="1464"/>
      <c r="U14" s="1485"/>
      <c r="V14" s="1476"/>
      <c r="W14" s="1467"/>
      <c r="X14" s="1476"/>
      <c r="Y14" s="1467"/>
      <c r="Z14" s="1470"/>
      <c r="AA14" s="93"/>
      <c r="AB14" s="93"/>
      <c r="AC14" s="93"/>
      <c r="AD14" s="93"/>
      <c r="AE14" s="93"/>
      <c r="AF14" s="93"/>
      <c r="AG14" s="93"/>
      <c r="AH14" s="93"/>
      <c r="AI14" s="93"/>
      <c r="AJ14" s="94"/>
      <c r="AK14" s="93"/>
      <c r="AL14" s="93"/>
      <c r="AM14" s="93"/>
      <c r="AN14" s="93"/>
      <c r="AO14" s="93"/>
      <c r="AP14" s="93"/>
      <c r="AQ14" s="93"/>
      <c r="AR14" s="93"/>
      <c r="AS14" s="93"/>
      <c r="AV14" s="93"/>
      <c r="AW14" s="94"/>
      <c r="AX14" s="93"/>
      <c r="AY14" s="93"/>
      <c r="AZ14" s="93"/>
      <c r="BA14" s="93"/>
      <c r="BB14" s="93"/>
      <c r="BC14" s="93"/>
      <c r="BD14" s="1456"/>
    </row>
    <row r="15" spans="2:56" ht="12" customHeight="1">
      <c r="B15" s="190"/>
      <c r="C15" s="191"/>
      <c r="D15" s="192"/>
      <c r="E15" s="1458"/>
      <c r="F15" s="1458"/>
      <c r="G15" s="1479"/>
      <c r="H15" s="1479"/>
      <c r="I15" s="1479"/>
      <c r="J15" s="1479"/>
      <c r="K15" s="1479"/>
      <c r="L15" s="1461"/>
      <c r="M15" s="1461"/>
      <c r="N15" s="1491"/>
      <c r="O15" s="1479"/>
      <c r="P15" s="1476"/>
      <c r="Q15" s="1461"/>
      <c r="R15" s="1479"/>
      <c r="S15" s="1464"/>
      <c r="T15" s="1464"/>
      <c r="U15" s="1485"/>
      <c r="V15" s="1476"/>
      <c r="W15" s="1467"/>
      <c r="X15" s="1476"/>
      <c r="Y15" s="1467"/>
      <c r="Z15" s="1470"/>
      <c r="AA15" s="93"/>
      <c r="AB15" s="93"/>
      <c r="AC15" s="93"/>
      <c r="AD15" s="93"/>
      <c r="AE15" s="93"/>
      <c r="AF15" s="93"/>
      <c r="AG15" s="93"/>
      <c r="AH15" s="93"/>
      <c r="AI15" s="93"/>
      <c r="AJ15" s="94"/>
      <c r="AK15" s="93"/>
      <c r="AL15" s="93"/>
      <c r="AM15" s="93"/>
      <c r="AN15" s="93"/>
      <c r="AO15" s="93"/>
      <c r="AP15" s="93"/>
      <c r="AQ15" s="93"/>
      <c r="AR15" s="93"/>
      <c r="AS15" s="93"/>
      <c r="AV15" s="93"/>
      <c r="AW15" s="94"/>
      <c r="AX15" s="93"/>
      <c r="AY15" s="93"/>
      <c r="AZ15" s="93"/>
      <c r="BA15" s="93"/>
      <c r="BB15" s="93"/>
      <c r="BC15" s="93"/>
      <c r="BD15" s="1456"/>
    </row>
    <row r="16" spans="2:56" ht="12" customHeight="1">
      <c r="B16" s="190"/>
      <c r="C16" s="191"/>
      <c r="D16" s="192"/>
      <c r="E16" s="1458"/>
      <c r="F16" s="1458"/>
      <c r="G16" s="1479"/>
      <c r="H16" s="1479"/>
      <c r="I16" s="1479"/>
      <c r="J16" s="1479"/>
      <c r="K16" s="1479"/>
      <c r="L16" s="1461"/>
      <c r="M16" s="1461"/>
      <c r="N16" s="1491"/>
      <c r="O16" s="1479"/>
      <c r="P16" s="1476"/>
      <c r="Q16" s="1461"/>
      <c r="R16" s="1479"/>
      <c r="S16" s="1464"/>
      <c r="T16" s="1464"/>
      <c r="U16" s="1485"/>
      <c r="V16" s="1476"/>
      <c r="W16" s="1467"/>
      <c r="X16" s="1476"/>
      <c r="Y16" s="1467"/>
      <c r="Z16" s="1470"/>
      <c r="AA16" s="93"/>
      <c r="AB16" s="93"/>
      <c r="AC16" s="93"/>
      <c r="AD16" s="93"/>
      <c r="AE16" s="93"/>
      <c r="AF16" s="93"/>
      <c r="AG16" s="93"/>
      <c r="AH16" s="93"/>
      <c r="AI16" s="93"/>
      <c r="AJ16" s="94"/>
      <c r="AK16" s="93"/>
      <c r="AL16" s="93"/>
      <c r="AM16" s="93"/>
      <c r="AN16" s="93"/>
      <c r="AO16" s="93"/>
      <c r="AP16" s="93"/>
      <c r="AQ16" s="93"/>
      <c r="AR16" s="93"/>
      <c r="AS16" s="93"/>
      <c r="AV16" s="93"/>
      <c r="AW16" s="94"/>
      <c r="AX16" s="93"/>
      <c r="AY16" s="93"/>
      <c r="AZ16" s="93"/>
      <c r="BA16" s="93"/>
      <c r="BB16" s="93"/>
      <c r="BC16" s="93"/>
      <c r="BD16" s="1456"/>
    </row>
    <row r="17" spans="2:56" ht="12" customHeight="1">
      <c r="B17" s="190"/>
      <c r="C17" s="191"/>
      <c r="D17" s="192"/>
      <c r="E17" s="1458"/>
      <c r="F17" s="1458"/>
      <c r="G17" s="1479"/>
      <c r="H17" s="1479"/>
      <c r="I17" s="1479"/>
      <c r="J17" s="1479"/>
      <c r="K17" s="1479"/>
      <c r="L17" s="1461"/>
      <c r="M17" s="1461"/>
      <c r="N17" s="1491"/>
      <c r="O17" s="1479"/>
      <c r="P17" s="1476"/>
      <c r="Q17" s="1461"/>
      <c r="R17" s="1479"/>
      <c r="S17" s="1464"/>
      <c r="T17" s="1464"/>
      <c r="U17" s="1485"/>
      <c r="V17" s="1476"/>
      <c r="W17" s="1467"/>
      <c r="X17" s="1476"/>
      <c r="Y17" s="1467"/>
      <c r="Z17" s="1470"/>
      <c r="AA17" s="93"/>
      <c r="AB17" s="93"/>
      <c r="AC17" s="93"/>
      <c r="AD17" s="93"/>
      <c r="AE17" s="93"/>
      <c r="AF17" s="93"/>
      <c r="AG17" s="93"/>
      <c r="AH17" s="93"/>
      <c r="AI17" s="93"/>
      <c r="AJ17" s="94"/>
      <c r="AK17" s="93"/>
      <c r="AL17" s="93"/>
      <c r="AM17" s="93"/>
      <c r="AN17" s="93"/>
      <c r="AO17" s="93"/>
      <c r="AP17" s="93"/>
      <c r="AQ17" s="93"/>
      <c r="AR17" s="93"/>
      <c r="AS17" s="93"/>
      <c r="AT17" s="93"/>
      <c r="AU17" s="93"/>
      <c r="AV17" s="93"/>
      <c r="AW17" s="94"/>
      <c r="AX17" s="93"/>
      <c r="AY17" s="93"/>
      <c r="AZ17" s="93"/>
      <c r="BA17" s="93"/>
      <c r="BB17" s="93"/>
      <c r="BC17" s="93"/>
      <c r="BD17" s="1456"/>
    </row>
    <row r="18" spans="2:56" ht="12" customHeight="1">
      <c r="B18" s="193" t="s">
        <v>120</v>
      </c>
      <c r="C18" s="194" t="s">
        <v>118</v>
      </c>
      <c r="D18" s="195"/>
      <c r="E18" s="1459"/>
      <c r="F18" s="1459"/>
      <c r="G18" s="1480"/>
      <c r="H18" s="1480"/>
      <c r="I18" s="1480"/>
      <c r="J18" s="1480"/>
      <c r="K18" s="1480"/>
      <c r="L18" s="1462"/>
      <c r="M18" s="1462"/>
      <c r="N18" s="1492"/>
      <c r="O18" s="1480"/>
      <c r="P18" s="1477"/>
      <c r="Q18" s="1462"/>
      <c r="R18" s="1480"/>
      <c r="S18" s="1465"/>
      <c r="T18" s="1465"/>
      <c r="U18" s="1486"/>
      <c r="V18" s="1477"/>
      <c r="W18" s="1468"/>
      <c r="X18" s="1477"/>
      <c r="Y18" s="1468"/>
      <c r="Z18" s="1471"/>
      <c r="AA18" s="93"/>
      <c r="AB18" s="93"/>
      <c r="AC18" s="93"/>
      <c r="AD18" s="93"/>
      <c r="AE18" s="93"/>
      <c r="AF18" s="93"/>
      <c r="AG18" s="93"/>
      <c r="AH18" s="93"/>
      <c r="AI18" s="93"/>
      <c r="AJ18" s="94"/>
      <c r="AK18" s="93"/>
      <c r="AL18" s="93"/>
      <c r="AM18" s="93"/>
      <c r="AN18" s="93"/>
      <c r="AO18" s="93"/>
      <c r="AP18" s="93"/>
      <c r="AQ18" s="93"/>
      <c r="AR18" s="93"/>
      <c r="AS18" s="93"/>
      <c r="AT18" s="93"/>
      <c r="AU18" s="93"/>
      <c r="AV18" s="93"/>
      <c r="AW18" s="94"/>
      <c r="AX18" s="93"/>
      <c r="AY18" s="93"/>
      <c r="AZ18" s="93"/>
      <c r="BA18" s="93"/>
      <c r="BB18" s="93"/>
      <c r="BC18" s="93"/>
      <c r="BD18" s="1456"/>
    </row>
    <row r="19" spans="2:56" ht="13.5" customHeight="1">
      <c r="AH19" s="93"/>
      <c r="AI19" s="93"/>
      <c r="AJ19" s="94"/>
      <c r="AK19" s="93"/>
      <c r="AL19" s="93"/>
      <c r="AM19" s="93"/>
      <c r="AN19" s="93"/>
      <c r="AO19" s="93"/>
    </row>
    <row r="20" spans="2:56" s="90" customFormat="1" ht="16.2">
      <c r="B20" s="197" t="s">
        <v>454</v>
      </c>
      <c r="D20" s="90" t="s">
        <v>326</v>
      </c>
      <c r="E20" s="98"/>
      <c r="F20" s="98"/>
      <c r="G20" s="98"/>
      <c r="H20" s="98"/>
      <c r="I20" s="98"/>
      <c r="J20" s="98"/>
      <c r="K20" s="98"/>
      <c r="L20" s="98"/>
      <c r="M20" s="98"/>
      <c r="N20" s="98"/>
      <c r="O20" s="98"/>
      <c r="P20" s="98"/>
      <c r="Q20" s="98"/>
      <c r="R20" s="98"/>
      <c r="S20" s="98"/>
      <c r="T20" s="98"/>
      <c r="U20" s="98"/>
      <c r="V20" s="98"/>
      <c r="W20" s="98"/>
      <c r="X20" s="98"/>
      <c r="Y20" s="98"/>
      <c r="AH20" s="91"/>
      <c r="AI20" s="91"/>
      <c r="AJ20" s="91"/>
      <c r="AK20" s="91"/>
      <c r="AL20" s="91"/>
      <c r="AM20" s="91"/>
      <c r="AN20" s="91"/>
      <c r="AO20" s="91"/>
      <c r="AP20" s="92"/>
      <c r="AQ20" s="92"/>
      <c r="AR20" s="92"/>
      <c r="AS20" s="92"/>
      <c r="AT20" s="92"/>
      <c r="AU20" s="92"/>
      <c r="AV20" s="92"/>
      <c r="AW20" s="92"/>
      <c r="AX20" s="92"/>
      <c r="AY20" s="92"/>
      <c r="AZ20" s="92"/>
      <c r="BA20" s="92"/>
      <c r="BB20" s="92"/>
      <c r="BC20" s="92"/>
      <c r="BD20" s="92"/>
    </row>
    <row r="21" spans="2:56" ht="30.6" customHeight="1">
      <c r="B21" s="323" t="s">
        <v>149</v>
      </c>
      <c r="C21" s="324" t="s">
        <v>193</v>
      </c>
      <c r="D21" s="325"/>
      <c r="E21" s="1212" t="s">
        <v>190</v>
      </c>
      <c r="F21" s="1212" t="s">
        <v>190</v>
      </c>
      <c r="G21" s="1212"/>
      <c r="H21" s="327" t="s">
        <v>138</v>
      </c>
      <c r="I21" s="326"/>
      <c r="J21" s="596"/>
      <c r="K21" s="734"/>
      <c r="L21" s="326"/>
      <c r="M21" s="326"/>
      <c r="N21" s="326"/>
      <c r="O21" s="596"/>
      <c r="P21" s="596"/>
      <c r="Q21" s="326"/>
      <c r="R21" s="596"/>
      <c r="S21" s="326" t="s">
        <v>190</v>
      </c>
      <c r="T21" s="326" t="s">
        <v>190</v>
      </c>
      <c r="U21" s="326"/>
      <c r="V21" s="734"/>
      <c r="W21" s="326"/>
      <c r="X21" s="596"/>
      <c r="Y21" s="327"/>
      <c r="Z21" s="557" t="s">
        <v>1209</v>
      </c>
      <c r="AJ21" s="91"/>
      <c r="AK21" s="91"/>
      <c r="AL21" s="91"/>
      <c r="AM21" s="91"/>
      <c r="AN21" s="91"/>
      <c r="AO21" s="91"/>
      <c r="AP21" s="91"/>
      <c r="AQ21" s="91"/>
      <c r="AR21" s="91"/>
      <c r="AS21" s="91"/>
      <c r="AT21" s="1455"/>
      <c r="AU21" s="1455"/>
      <c r="AV21" s="1455"/>
      <c r="AW21" s="1455"/>
      <c r="AX21" s="91"/>
      <c r="AY21" s="91"/>
      <c r="AZ21" s="91"/>
      <c r="BA21" s="1455"/>
      <c r="BB21" s="1455"/>
      <c r="BC21" s="1455"/>
      <c r="BD21" s="1455"/>
    </row>
    <row r="22" spans="2:56" ht="30.6" customHeight="1">
      <c r="B22" s="329" t="s">
        <v>150</v>
      </c>
      <c r="C22" s="330" t="s">
        <v>195</v>
      </c>
      <c r="D22" s="331"/>
      <c r="E22" s="1209" t="s">
        <v>190</v>
      </c>
      <c r="F22" s="1209" t="s">
        <v>190</v>
      </c>
      <c r="G22" s="1209"/>
      <c r="H22" s="333" t="s">
        <v>138</v>
      </c>
      <c r="I22" s="332"/>
      <c r="J22" s="333"/>
      <c r="K22" s="332"/>
      <c r="L22" s="332"/>
      <c r="M22" s="332"/>
      <c r="N22" s="332"/>
      <c r="O22" s="333"/>
      <c r="P22" s="333"/>
      <c r="Q22" s="332"/>
      <c r="R22" s="333"/>
      <c r="S22" s="1209" t="s">
        <v>190</v>
      </c>
      <c r="T22" s="1209" t="s">
        <v>190</v>
      </c>
      <c r="U22" s="332"/>
      <c r="V22" s="332"/>
      <c r="W22" s="332"/>
      <c r="X22" s="333"/>
      <c r="Y22" s="333"/>
      <c r="Z22" s="334" t="s">
        <v>1209</v>
      </c>
      <c r="AJ22" s="91"/>
      <c r="AK22" s="91"/>
      <c r="AL22" s="91"/>
      <c r="AM22" s="91"/>
      <c r="AN22" s="91"/>
      <c r="AO22" s="91"/>
      <c r="AP22" s="91"/>
      <c r="AQ22" s="91"/>
      <c r="AR22" s="91"/>
      <c r="AS22" s="91"/>
      <c r="AT22" s="91"/>
      <c r="AU22" s="91"/>
      <c r="AV22" s="91"/>
      <c r="AW22" s="91"/>
      <c r="AX22" s="91"/>
      <c r="AY22" s="91"/>
      <c r="AZ22" s="91"/>
      <c r="BA22" s="91"/>
      <c r="BB22" s="91"/>
      <c r="BC22" s="91"/>
      <c r="BD22" s="91"/>
    </row>
    <row r="23" spans="2:56" ht="30.6" customHeight="1">
      <c r="B23" s="329" t="s">
        <v>151</v>
      </c>
      <c r="C23" s="330" t="s">
        <v>194</v>
      </c>
      <c r="D23" s="331"/>
      <c r="E23" s="1209" t="s">
        <v>190</v>
      </c>
      <c r="F23" s="1209" t="s">
        <v>190</v>
      </c>
      <c r="G23" s="1209"/>
      <c r="H23" s="333" t="s">
        <v>138</v>
      </c>
      <c r="I23" s="332"/>
      <c r="J23" s="333"/>
      <c r="K23" s="332"/>
      <c r="L23" s="332"/>
      <c r="M23" s="332"/>
      <c r="N23" s="332"/>
      <c r="O23" s="333"/>
      <c r="P23" s="333"/>
      <c r="Q23" s="332"/>
      <c r="R23" s="333"/>
      <c r="S23" s="1209" t="s">
        <v>190</v>
      </c>
      <c r="T23" s="1209" t="s">
        <v>190</v>
      </c>
      <c r="U23" s="332"/>
      <c r="V23" s="332"/>
      <c r="W23" s="332"/>
      <c r="X23" s="333"/>
      <c r="Y23" s="333"/>
      <c r="Z23" s="334" t="s">
        <v>1209</v>
      </c>
      <c r="AJ23" s="91"/>
      <c r="AK23" s="91"/>
      <c r="AL23" s="91"/>
      <c r="AM23" s="91"/>
      <c r="AN23" s="91"/>
      <c r="AO23" s="91"/>
      <c r="AP23" s="91"/>
      <c r="AQ23" s="91"/>
      <c r="AR23" s="91"/>
      <c r="AS23" s="91"/>
      <c r="AT23" s="91"/>
      <c r="AU23" s="91"/>
      <c r="AV23" s="91"/>
      <c r="AW23" s="91"/>
      <c r="AX23" s="91"/>
      <c r="AY23" s="91"/>
      <c r="AZ23" s="91"/>
      <c r="BA23" s="91"/>
      <c r="BB23" s="91"/>
      <c r="BC23" s="91"/>
      <c r="BD23" s="91"/>
    </row>
    <row r="24" spans="2:56" ht="30.6" customHeight="1">
      <c r="B24" s="329" t="s">
        <v>152</v>
      </c>
      <c r="C24" s="331" t="s">
        <v>108</v>
      </c>
      <c r="D24" s="330" t="s">
        <v>164</v>
      </c>
      <c r="E24" s="1209" t="s">
        <v>137</v>
      </c>
      <c r="F24" s="1209" t="s">
        <v>137</v>
      </c>
      <c r="G24" s="1209"/>
      <c r="H24" s="333" t="s">
        <v>138</v>
      </c>
      <c r="I24" s="333"/>
      <c r="J24" s="335"/>
      <c r="K24" s="335"/>
      <c r="L24" s="335"/>
      <c r="M24" s="335"/>
      <c r="N24" s="335"/>
      <c r="O24" s="335"/>
      <c r="P24" s="335"/>
      <c r="Q24" s="335"/>
      <c r="R24" s="335"/>
      <c r="S24" s="1213"/>
      <c r="T24" s="1213"/>
      <c r="U24" s="335"/>
      <c r="V24" s="335"/>
      <c r="W24" s="335"/>
      <c r="X24" s="335"/>
      <c r="Y24" s="335"/>
      <c r="Z24" s="334" t="s">
        <v>1038</v>
      </c>
      <c r="AJ24" s="91"/>
      <c r="AK24" s="91"/>
      <c r="AL24" s="91"/>
      <c r="AM24" s="91"/>
      <c r="AN24" s="91"/>
      <c r="AO24" s="91"/>
      <c r="AP24" s="91"/>
      <c r="AQ24" s="91"/>
      <c r="AR24" s="91"/>
      <c r="AS24" s="91"/>
      <c r="AT24" s="91"/>
      <c r="AU24" s="91"/>
      <c r="AV24" s="91"/>
      <c r="AW24" s="91"/>
      <c r="AX24" s="91"/>
      <c r="AY24" s="91"/>
      <c r="AZ24" s="91"/>
      <c r="BA24" s="91"/>
      <c r="BB24" s="91"/>
      <c r="BC24" s="91"/>
      <c r="BD24" s="91"/>
    </row>
    <row r="25" spans="2:56" ht="30.6" customHeight="1">
      <c r="B25" s="329" t="s">
        <v>153</v>
      </c>
      <c r="C25" s="330" t="s">
        <v>90</v>
      </c>
      <c r="D25" s="331" t="s">
        <v>164</v>
      </c>
      <c r="E25" s="1209" t="s">
        <v>137</v>
      </c>
      <c r="F25" s="1209" t="s">
        <v>137</v>
      </c>
      <c r="G25" s="1209"/>
      <c r="H25" s="1210" t="s">
        <v>138</v>
      </c>
      <c r="I25" s="332"/>
      <c r="J25" s="333"/>
      <c r="K25" s="332"/>
      <c r="L25" s="332"/>
      <c r="M25" s="332"/>
      <c r="N25" s="332"/>
      <c r="O25" s="333"/>
      <c r="P25" s="333"/>
      <c r="Q25" s="332"/>
      <c r="R25" s="333"/>
      <c r="S25" s="332"/>
      <c r="T25" s="332"/>
      <c r="U25" s="332"/>
      <c r="V25" s="332"/>
      <c r="W25" s="332"/>
      <c r="X25" s="333"/>
      <c r="Y25" s="333"/>
      <c r="Z25" s="334" t="s">
        <v>1039</v>
      </c>
      <c r="AJ25" s="91"/>
      <c r="AK25" s="91"/>
      <c r="AL25" s="91"/>
      <c r="AM25" s="91"/>
      <c r="AN25" s="91"/>
      <c r="AO25" s="91"/>
      <c r="AP25" s="91"/>
      <c r="AQ25" s="91"/>
      <c r="AR25" s="91"/>
      <c r="AS25" s="91"/>
      <c r="AT25" s="91"/>
      <c r="AU25" s="91"/>
      <c r="AV25" s="91"/>
      <c r="AW25" s="91"/>
      <c r="AX25" s="91"/>
      <c r="AY25" s="91"/>
      <c r="AZ25" s="91"/>
      <c r="BA25" s="91"/>
      <c r="BB25" s="91"/>
      <c r="BC25" s="1455"/>
      <c r="BD25" s="1455"/>
    </row>
    <row r="26" spans="2:56" ht="25.2" customHeight="1">
      <c r="B26" s="329" t="s">
        <v>154</v>
      </c>
      <c r="C26" s="330" t="s">
        <v>91</v>
      </c>
      <c r="D26" s="331" t="s">
        <v>164</v>
      </c>
      <c r="E26" s="1209" t="s">
        <v>190</v>
      </c>
      <c r="F26" s="1209" t="s">
        <v>137</v>
      </c>
      <c r="G26" s="1209" t="s">
        <v>137</v>
      </c>
      <c r="H26" s="1210" t="s">
        <v>191</v>
      </c>
      <c r="I26" s="332"/>
      <c r="J26" s="333"/>
      <c r="K26" s="332"/>
      <c r="L26" s="332"/>
      <c r="M26" s="332"/>
      <c r="N26" s="332"/>
      <c r="O26" s="333"/>
      <c r="P26" s="333"/>
      <c r="Q26" s="332"/>
      <c r="R26" s="333"/>
      <c r="S26" s="332"/>
      <c r="T26" s="332"/>
      <c r="U26" s="332"/>
      <c r="V26" s="332"/>
      <c r="W26" s="332"/>
      <c r="X26" s="333"/>
      <c r="Y26" s="333"/>
      <c r="Z26" s="334" t="s">
        <v>1920</v>
      </c>
      <c r="AJ26" s="91"/>
      <c r="AK26" s="91"/>
      <c r="AL26" s="91"/>
      <c r="AM26" s="91"/>
      <c r="AN26" s="91"/>
      <c r="AO26" s="91"/>
      <c r="AP26" s="91"/>
      <c r="AQ26" s="91"/>
      <c r="AR26" s="91"/>
      <c r="AS26" s="91"/>
      <c r="AT26" s="91"/>
      <c r="AU26" s="91"/>
      <c r="AV26" s="91"/>
      <c r="AW26" s="91"/>
      <c r="AX26" s="91"/>
      <c r="AY26" s="91"/>
      <c r="AZ26" s="91"/>
      <c r="BA26" s="91"/>
      <c r="BB26" s="91"/>
      <c r="BC26" s="1455"/>
      <c r="BD26" s="1455"/>
    </row>
    <row r="27" spans="2:56" ht="25.2" customHeight="1">
      <c r="B27" s="329" t="s">
        <v>155</v>
      </c>
      <c r="C27" s="1207" t="s">
        <v>110</v>
      </c>
      <c r="D27" s="331" t="s">
        <v>164</v>
      </c>
      <c r="E27" s="1209" t="s">
        <v>190</v>
      </c>
      <c r="F27" s="1209" t="s">
        <v>190</v>
      </c>
      <c r="G27" s="1209"/>
      <c r="H27" s="1210"/>
      <c r="I27" s="332"/>
      <c r="J27" s="333"/>
      <c r="K27" s="332"/>
      <c r="L27" s="332"/>
      <c r="M27" s="332"/>
      <c r="N27" s="332"/>
      <c r="O27" s="333"/>
      <c r="P27" s="333"/>
      <c r="Q27" s="332"/>
      <c r="R27" s="333"/>
      <c r="S27" s="332"/>
      <c r="T27" s="332"/>
      <c r="U27" s="332"/>
      <c r="V27" s="332"/>
      <c r="W27" s="332"/>
      <c r="X27" s="333"/>
      <c r="Y27" s="333"/>
      <c r="Z27" s="334"/>
      <c r="AJ27" s="91"/>
      <c r="AK27" s="91"/>
      <c r="AL27" s="91"/>
      <c r="AM27" s="91"/>
      <c r="AN27" s="91"/>
      <c r="AO27" s="91"/>
      <c r="AP27" s="91"/>
      <c r="AQ27" s="91"/>
      <c r="AR27" s="91"/>
      <c r="AS27" s="91"/>
      <c r="AT27" s="91"/>
      <c r="AU27" s="91"/>
      <c r="AV27" s="91"/>
      <c r="AW27" s="91"/>
      <c r="AX27" s="91"/>
      <c r="AY27" s="91"/>
      <c r="AZ27" s="91"/>
      <c r="BA27" s="91"/>
      <c r="BB27" s="91"/>
      <c r="BC27" s="1455"/>
      <c r="BD27" s="1455"/>
    </row>
    <row r="28" spans="2:56" ht="25.2" customHeight="1">
      <c r="B28" s="329" t="s">
        <v>156</v>
      </c>
      <c r="C28" s="1207" t="s">
        <v>753</v>
      </c>
      <c r="D28" s="331" t="s">
        <v>164</v>
      </c>
      <c r="E28" s="1209" t="s">
        <v>190</v>
      </c>
      <c r="F28" s="1209" t="s">
        <v>190</v>
      </c>
      <c r="G28" s="1209"/>
      <c r="H28" s="1210"/>
      <c r="I28" s="332"/>
      <c r="J28" s="333"/>
      <c r="K28" s="332"/>
      <c r="L28" s="332"/>
      <c r="M28" s="332"/>
      <c r="N28" s="332"/>
      <c r="O28" s="333"/>
      <c r="P28" s="333"/>
      <c r="Q28" s="332"/>
      <c r="R28" s="333"/>
      <c r="S28" s="332"/>
      <c r="T28" s="332"/>
      <c r="U28" s="332"/>
      <c r="V28" s="332"/>
      <c r="W28" s="332"/>
      <c r="X28" s="333"/>
      <c r="Y28" s="333"/>
      <c r="Z28" s="334"/>
      <c r="AJ28" s="91"/>
      <c r="AK28" s="91"/>
      <c r="AL28" s="91"/>
      <c r="AM28" s="91"/>
      <c r="AN28" s="91"/>
      <c r="AO28" s="91"/>
      <c r="AP28" s="91"/>
      <c r="AQ28" s="91"/>
      <c r="AR28" s="91"/>
      <c r="AS28" s="91"/>
      <c r="AT28" s="91"/>
      <c r="AU28" s="91"/>
      <c r="AV28" s="91"/>
      <c r="AW28" s="91"/>
      <c r="AX28" s="91"/>
      <c r="AY28" s="91"/>
      <c r="AZ28" s="91"/>
      <c r="BA28" s="91"/>
      <c r="BB28" s="91"/>
      <c r="BC28" s="91"/>
      <c r="BD28" s="91"/>
    </row>
    <row r="29" spans="2:56" ht="25.2" customHeight="1">
      <c r="B29" s="329" t="s">
        <v>157</v>
      </c>
      <c r="C29" s="1207" t="s">
        <v>1372</v>
      </c>
      <c r="D29" s="331" t="s">
        <v>164</v>
      </c>
      <c r="E29" s="1209" t="s">
        <v>190</v>
      </c>
      <c r="F29" s="1209" t="s">
        <v>190</v>
      </c>
      <c r="G29" s="1209"/>
      <c r="H29" s="1210"/>
      <c r="I29" s="332"/>
      <c r="J29" s="333"/>
      <c r="K29" s="332"/>
      <c r="L29" s="332"/>
      <c r="M29" s="332"/>
      <c r="N29" s="332"/>
      <c r="O29" s="333"/>
      <c r="P29" s="333"/>
      <c r="Q29" s="332"/>
      <c r="R29" s="333"/>
      <c r="S29" s="332"/>
      <c r="T29" s="332"/>
      <c r="U29" s="332"/>
      <c r="V29" s="332"/>
      <c r="W29" s="332"/>
      <c r="X29" s="333"/>
      <c r="Y29" s="333"/>
      <c r="Z29" s="334"/>
      <c r="AJ29" s="91"/>
      <c r="AK29" s="91"/>
      <c r="AL29" s="91"/>
      <c r="AM29" s="91"/>
      <c r="AN29" s="91"/>
      <c r="AO29" s="91"/>
      <c r="AP29" s="91"/>
      <c r="AQ29" s="91"/>
      <c r="AR29" s="91"/>
      <c r="AS29" s="91"/>
      <c r="AT29" s="91"/>
      <c r="AU29" s="91"/>
      <c r="AV29" s="91"/>
      <c r="AW29" s="91"/>
      <c r="AX29" s="91"/>
      <c r="AY29" s="91"/>
      <c r="AZ29" s="91"/>
      <c r="BA29" s="91"/>
      <c r="BB29" s="91"/>
      <c r="BC29" s="91"/>
      <c r="BD29" s="91"/>
    </row>
    <row r="30" spans="2:56" ht="25.2" customHeight="1">
      <c r="B30" s="329" t="s">
        <v>158</v>
      </c>
      <c r="C30" s="1207" t="s">
        <v>1373</v>
      </c>
      <c r="D30" s="331" t="s">
        <v>164</v>
      </c>
      <c r="E30" s="1209" t="s">
        <v>190</v>
      </c>
      <c r="F30" s="1209" t="s">
        <v>190</v>
      </c>
      <c r="G30" s="1209"/>
      <c r="H30" s="1210"/>
      <c r="I30" s="332"/>
      <c r="J30" s="333"/>
      <c r="K30" s="332"/>
      <c r="L30" s="332"/>
      <c r="M30" s="332"/>
      <c r="N30" s="332"/>
      <c r="O30" s="333"/>
      <c r="P30" s="333"/>
      <c r="Q30" s="332"/>
      <c r="R30" s="333"/>
      <c r="S30" s="332"/>
      <c r="T30" s="332"/>
      <c r="U30" s="332"/>
      <c r="V30" s="332"/>
      <c r="W30" s="332"/>
      <c r="X30" s="333"/>
      <c r="Y30" s="333"/>
      <c r="Z30" s="334"/>
      <c r="AJ30" s="91"/>
      <c r="AK30" s="91"/>
      <c r="AL30" s="91"/>
      <c r="AM30" s="91"/>
      <c r="AN30" s="91"/>
      <c r="AO30" s="91"/>
      <c r="AP30" s="91"/>
      <c r="AQ30" s="91"/>
      <c r="AR30" s="91"/>
      <c r="AS30" s="91"/>
      <c r="AT30" s="91"/>
      <c r="AU30" s="91"/>
      <c r="AV30" s="91"/>
      <c r="AW30" s="91"/>
      <c r="AX30" s="91"/>
      <c r="AY30" s="91"/>
      <c r="AZ30" s="91"/>
      <c r="BA30" s="91"/>
      <c r="BB30" s="91"/>
      <c r="BC30" s="91"/>
      <c r="BD30" s="91"/>
    </row>
    <row r="31" spans="2:56" ht="25.2" customHeight="1">
      <c r="B31" s="329" t="s">
        <v>159</v>
      </c>
      <c r="C31" s="1207" t="s">
        <v>754</v>
      </c>
      <c r="D31" s="331" t="s">
        <v>164</v>
      </c>
      <c r="E31" s="1209" t="s">
        <v>190</v>
      </c>
      <c r="F31" s="1209" t="s">
        <v>190</v>
      </c>
      <c r="G31" s="1209"/>
      <c r="H31" s="1210"/>
      <c r="I31" s="332"/>
      <c r="J31" s="333"/>
      <c r="K31" s="332"/>
      <c r="L31" s="332"/>
      <c r="M31" s="332"/>
      <c r="N31" s="332"/>
      <c r="O31" s="333"/>
      <c r="P31" s="333"/>
      <c r="Q31" s="332"/>
      <c r="R31" s="333"/>
      <c r="S31" s="332"/>
      <c r="T31" s="332"/>
      <c r="U31" s="332"/>
      <c r="V31" s="332"/>
      <c r="W31" s="332"/>
      <c r="X31" s="333"/>
      <c r="Y31" s="333"/>
      <c r="Z31" s="334"/>
      <c r="AJ31" s="91"/>
      <c r="AK31" s="91"/>
      <c r="AL31" s="91"/>
      <c r="AM31" s="91"/>
      <c r="AN31" s="91"/>
      <c r="AO31" s="91"/>
      <c r="AP31" s="91"/>
      <c r="AQ31" s="91"/>
      <c r="AR31" s="91"/>
      <c r="AS31" s="91"/>
      <c r="AT31" s="91"/>
      <c r="AU31" s="91"/>
      <c r="AV31" s="91"/>
      <c r="AW31" s="91"/>
      <c r="AX31" s="91"/>
      <c r="AY31" s="91"/>
      <c r="AZ31" s="91"/>
      <c r="BA31" s="91"/>
      <c r="BB31" s="91"/>
      <c r="BC31" s="91"/>
      <c r="BD31" s="91"/>
    </row>
    <row r="32" spans="2:56" ht="25.2" customHeight="1">
      <c r="B32" s="329" t="s">
        <v>160</v>
      </c>
      <c r="C32" s="1207" t="s">
        <v>140</v>
      </c>
      <c r="D32" s="331" t="s">
        <v>164</v>
      </c>
      <c r="E32" s="1209" t="s">
        <v>190</v>
      </c>
      <c r="F32" s="1209" t="s">
        <v>190</v>
      </c>
      <c r="G32" s="1209"/>
      <c r="H32" s="1210"/>
      <c r="I32" s="332"/>
      <c r="J32" s="333"/>
      <c r="K32" s="332"/>
      <c r="L32" s="332"/>
      <c r="M32" s="332"/>
      <c r="N32" s="332"/>
      <c r="O32" s="333"/>
      <c r="P32" s="333"/>
      <c r="Q32" s="332"/>
      <c r="R32" s="333"/>
      <c r="S32" s="332"/>
      <c r="T32" s="332"/>
      <c r="U32" s="332"/>
      <c r="V32" s="332"/>
      <c r="W32" s="332"/>
      <c r="X32" s="333"/>
      <c r="Y32" s="333"/>
      <c r="Z32" s="334" t="s">
        <v>2241</v>
      </c>
      <c r="AJ32" s="91"/>
      <c r="AK32" s="91"/>
      <c r="AL32" s="91"/>
      <c r="AM32" s="91"/>
      <c r="AN32" s="91"/>
      <c r="AO32" s="91"/>
      <c r="AP32" s="91"/>
      <c r="AQ32" s="91"/>
      <c r="AR32" s="91"/>
      <c r="AS32" s="91"/>
      <c r="AT32" s="91"/>
      <c r="AU32" s="91"/>
      <c r="AV32" s="91"/>
      <c r="AW32" s="91"/>
      <c r="AX32" s="91"/>
      <c r="AY32" s="91"/>
      <c r="AZ32" s="91"/>
      <c r="BA32" s="91"/>
      <c r="BB32" s="91"/>
      <c r="BC32" s="1455"/>
      <c r="BD32" s="1455"/>
    </row>
    <row r="33" spans="2:56" ht="25.2" customHeight="1">
      <c r="B33" s="329" t="s">
        <v>161</v>
      </c>
      <c r="C33" s="1207" t="s">
        <v>1402</v>
      </c>
      <c r="D33" s="331" t="s">
        <v>164</v>
      </c>
      <c r="E33" s="1209" t="s">
        <v>190</v>
      </c>
      <c r="F33" s="1209" t="s">
        <v>190</v>
      </c>
      <c r="G33" s="1209"/>
      <c r="H33" s="1210" t="s">
        <v>191</v>
      </c>
      <c r="I33" s="332"/>
      <c r="J33" s="333"/>
      <c r="K33" s="332"/>
      <c r="L33" s="332"/>
      <c r="M33" s="332"/>
      <c r="N33" s="332"/>
      <c r="O33" s="333"/>
      <c r="P33" s="333"/>
      <c r="Q33" s="332"/>
      <c r="R33" s="333"/>
      <c r="S33" s="332"/>
      <c r="T33" s="332"/>
      <c r="U33" s="332"/>
      <c r="V33" s="332"/>
      <c r="W33" s="332"/>
      <c r="X33" s="333"/>
      <c r="Y33" s="333"/>
      <c r="Z33" s="885" t="s">
        <v>1899</v>
      </c>
      <c r="AJ33" s="91"/>
      <c r="AK33" s="91"/>
      <c r="AL33" s="91"/>
      <c r="AM33" s="91"/>
      <c r="AN33" s="91"/>
      <c r="AO33" s="91"/>
      <c r="AP33" s="91"/>
      <c r="AQ33" s="91"/>
      <c r="AR33" s="91"/>
      <c r="AS33" s="91"/>
      <c r="AT33" s="91"/>
      <c r="AU33" s="91"/>
      <c r="AV33" s="91"/>
      <c r="AW33" s="91"/>
      <c r="AX33" s="91"/>
      <c r="AY33" s="91"/>
      <c r="AZ33" s="91"/>
      <c r="BA33" s="91"/>
      <c r="BB33" s="91"/>
      <c r="BC33" s="91"/>
      <c r="BD33" s="91"/>
    </row>
    <row r="34" spans="2:56" ht="25.2" customHeight="1">
      <c r="B34" s="329" t="s">
        <v>162</v>
      </c>
      <c r="C34" s="1207" t="s">
        <v>141</v>
      </c>
      <c r="D34" s="331" t="s">
        <v>164</v>
      </c>
      <c r="E34" s="1209" t="s">
        <v>190</v>
      </c>
      <c r="F34" s="1209" t="s">
        <v>190</v>
      </c>
      <c r="G34" s="1209" t="s">
        <v>190</v>
      </c>
      <c r="H34" s="1210" t="s">
        <v>191</v>
      </c>
      <c r="I34" s="332"/>
      <c r="J34" s="333"/>
      <c r="K34" s="332"/>
      <c r="L34" s="332"/>
      <c r="M34" s="332"/>
      <c r="N34" s="332"/>
      <c r="O34" s="333"/>
      <c r="P34" s="333"/>
      <c r="Q34" s="332"/>
      <c r="R34" s="333"/>
      <c r="S34" s="332"/>
      <c r="T34" s="332"/>
      <c r="U34" s="332"/>
      <c r="V34" s="332"/>
      <c r="W34" s="332"/>
      <c r="X34" s="333"/>
      <c r="Y34" s="333"/>
      <c r="Z34" s="334" t="s">
        <v>1921</v>
      </c>
      <c r="AJ34" s="91"/>
      <c r="AK34" s="91"/>
      <c r="AL34" s="91"/>
      <c r="AM34" s="91"/>
      <c r="AN34" s="91"/>
      <c r="AO34" s="91"/>
      <c r="AP34" s="91"/>
      <c r="AQ34" s="91"/>
      <c r="AR34" s="91"/>
      <c r="AS34" s="91"/>
      <c r="AT34" s="91"/>
      <c r="AU34" s="91"/>
      <c r="AV34" s="91"/>
      <c r="AW34" s="91"/>
      <c r="AX34" s="91"/>
      <c r="AY34" s="91"/>
      <c r="AZ34" s="91"/>
      <c r="BA34" s="91"/>
      <c r="BB34" s="91"/>
      <c r="BC34" s="1455"/>
      <c r="BD34" s="1455"/>
    </row>
    <row r="35" spans="2:56" ht="25.2" customHeight="1">
      <c r="B35" s="329" t="s">
        <v>165</v>
      </c>
      <c r="C35" s="1207" t="s">
        <v>142</v>
      </c>
      <c r="D35" s="331" t="s">
        <v>164</v>
      </c>
      <c r="E35" s="1209" t="s">
        <v>190</v>
      </c>
      <c r="F35" s="1209" t="s">
        <v>190</v>
      </c>
      <c r="G35" s="1209"/>
      <c r="H35" s="1210"/>
      <c r="I35" s="332"/>
      <c r="J35" s="398"/>
      <c r="K35" s="397"/>
      <c r="L35" s="332"/>
      <c r="M35" s="332"/>
      <c r="N35" s="332"/>
      <c r="O35" s="398"/>
      <c r="P35" s="398"/>
      <c r="Q35" s="332"/>
      <c r="R35" s="398"/>
      <c r="S35" s="332"/>
      <c r="T35" s="332"/>
      <c r="U35" s="332"/>
      <c r="V35" s="397"/>
      <c r="W35" s="332"/>
      <c r="X35" s="398"/>
      <c r="Y35" s="333"/>
      <c r="Z35" s="399"/>
      <c r="AJ35" s="91"/>
      <c r="AK35" s="91"/>
      <c r="AL35" s="91"/>
      <c r="AM35" s="91"/>
      <c r="AN35" s="91"/>
      <c r="AO35" s="91"/>
      <c r="AP35" s="91"/>
      <c r="AQ35" s="91"/>
      <c r="AR35" s="91"/>
      <c r="AS35" s="91"/>
      <c r="AT35" s="91"/>
      <c r="AU35" s="91"/>
      <c r="AV35" s="91"/>
      <c r="AW35" s="91"/>
      <c r="AX35" s="91"/>
      <c r="AY35" s="91"/>
      <c r="AZ35" s="91"/>
      <c r="BA35" s="91"/>
      <c r="BB35" s="91"/>
      <c r="BC35" s="1455"/>
      <c r="BD35" s="1455"/>
    </row>
    <row r="36" spans="2:56" ht="50.1" customHeight="1">
      <c r="B36" s="329" t="s">
        <v>166</v>
      </c>
      <c r="C36" s="1207" t="s">
        <v>143</v>
      </c>
      <c r="D36" s="331" t="s">
        <v>169</v>
      </c>
      <c r="E36" s="1209" t="s">
        <v>190</v>
      </c>
      <c r="F36" s="1209" t="s">
        <v>190</v>
      </c>
      <c r="G36" s="1209"/>
      <c r="H36" s="1210" t="s">
        <v>357</v>
      </c>
      <c r="I36" s="332"/>
      <c r="J36" s="333"/>
      <c r="K36" s="332"/>
      <c r="L36" s="332"/>
      <c r="M36" s="332"/>
      <c r="N36" s="332"/>
      <c r="O36" s="333"/>
      <c r="P36" s="333"/>
      <c r="Q36" s="332"/>
      <c r="R36" s="333"/>
      <c r="S36" s="332" t="s">
        <v>190</v>
      </c>
      <c r="T36" s="332" t="s">
        <v>190</v>
      </c>
      <c r="U36" s="332"/>
      <c r="V36" s="332"/>
      <c r="W36" s="332"/>
      <c r="X36" s="333"/>
      <c r="Y36" s="333"/>
      <c r="Z36" s="334" t="s">
        <v>1209</v>
      </c>
      <c r="AJ36" s="91"/>
      <c r="AK36" s="91"/>
      <c r="AL36" s="91"/>
      <c r="AM36" s="91"/>
      <c r="AN36" s="91"/>
      <c r="AO36" s="91"/>
      <c r="AP36" s="91"/>
      <c r="AQ36" s="91"/>
      <c r="AR36" s="91"/>
      <c r="AS36" s="91"/>
      <c r="AT36" s="91"/>
      <c r="AU36" s="91"/>
      <c r="AV36" s="91"/>
      <c r="AW36" s="91"/>
      <c r="AX36" s="91"/>
      <c r="AY36" s="91"/>
      <c r="AZ36" s="91"/>
      <c r="BA36" s="91"/>
      <c r="BB36" s="91"/>
      <c r="BC36" s="1455"/>
      <c r="BD36" s="1455"/>
    </row>
    <row r="37" spans="2:56" ht="25.2" customHeight="1">
      <c r="B37" s="329" t="s">
        <v>167</v>
      </c>
      <c r="C37" s="330" t="s">
        <v>144</v>
      </c>
      <c r="D37" s="331" t="s">
        <v>164</v>
      </c>
      <c r="E37" s="1209" t="s">
        <v>190</v>
      </c>
      <c r="F37" s="1209" t="s">
        <v>190</v>
      </c>
      <c r="G37" s="1209"/>
      <c r="H37" s="1210"/>
      <c r="I37" s="332"/>
      <c r="J37" s="333"/>
      <c r="K37" s="332"/>
      <c r="L37" s="332"/>
      <c r="M37" s="332"/>
      <c r="N37" s="332"/>
      <c r="O37" s="333"/>
      <c r="P37" s="333"/>
      <c r="Q37" s="332"/>
      <c r="R37" s="333"/>
      <c r="S37" s="332"/>
      <c r="T37" s="332"/>
      <c r="U37" s="332"/>
      <c r="V37" s="332"/>
      <c r="W37" s="332"/>
      <c r="X37" s="333"/>
      <c r="Y37" s="333"/>
      <c r="Z37" s="334"/>
      <c r="AJ37" s="91"/>
      <c r="AK37" s="91"/>
      <c r="AL37" s="91"/>
      <c r="AM37" s="91"/>
      <c r="AN37" s="91"/>
      <c r="AO37" s="91"/>
      <c r="AP37" s="91"/>
      <c r="AQ37" s="91"/>
      <c r="AR37" s="91"/>
      <c r="AS37" s="91"/>
      <c r="AT37" s="91"/>
      <c r="AU37" s="91"/>
      <c r="AV37" s="91"/>
      <c r="AW37" s="91"/>
      <c r="AX37" s="91"/>
      <c r="AY37" s="91"/>
      <c r="AZ37" s="91"/>
      <c r="BA37" s="91"/>
      <c r="BB37" s="91"/>
      <c r="BC37" s="1455"/>
      <c r="BD37" s="1455"/>
    </row>
    <row r="38" spans="2:56" ht="25.2" customHeight="1">
      <c r="B38" s="329" t="s">
        <v>168</v>
      </c>
      <c r="C38" s="388" t="s">
        <v>1055</v>
      </c>
      <c r="D38" s="389" t="s">
        <v>327</v>
      </c>
      <c r="E38" s="390" t="s">
        <v>190</v>
      </c>
      <c r="F38" s="390" t="s">
        <v>190</v>
      </c>
      <c r="G38" s="390"/>
      <c r="H38" s="391"/>
      <c r="I38" s="390"/>
      <c r="J38" s="391"/>
      <c r="K38" s="390"/>
      <c r="L38" s="390"/>
      <c r="M38" s="390"/>
      <c r="N38" s="390"/>
      <c r="O38" s="391"/>
      <c r="P38" s="391"/>
      <c r="Q38" s="390"/>
      <c r="R38" s="391"/>
      <c r="S38" s="390"/>
      <c r="T38" s="390"/>
      <c r="U38" s="390"/>
      <c r="V38" s="390"/>
      <c r="W38" s="390"/>
      <c r="X38" s="391"/>
      <c r="Y38" s="391"/>
      <c r="Z38" s="392" t="s">
        <v>675</v>
      </c>
      <c r="AJ38" s="91"/>
      <c r="AK38" s="91"/>
      <c r="AL38" s="91"/>
      <c r="AM38" s="91"/>
      <c r="AN38" s="91"/>
      <c r="AO38" s="91"/>
      <c r="AP38" s="91"/>
      <c r="AQ38" s="91"/>
      <c r="AR38" s="91"/>
      <c r="AS38" s="91"/>
      <c r="AT38" s="91"/>
      <c r="AU38" s="91"/>
      <c r="AV38" s="91"/>
      <c r="AW38" s="91"/>
      <c r="AX38" s="91"/>
      <c r="AY38" s="91"/>
      <c r="AZ38" s="91"/>
      <c r="BA38" s="91"/>
      <c r="BB38" s="91"/>
      <c r="BC38" s="1455"/>
      <c r="BD38" s="1455"/>
    </row>
    <row r="39" spans="2:56" ht="25.2" customHeight="1">
      <c r="B39" s="329" t="s">
        <v>192</v>
      </c>
      <c r="C39" s="388" t="s">
        <v>1053</v>
      </c>
      <c r="D39" s="389" t="s">
        <v>327</v>
      </c>
      <c r="E39" s="390" t="s">
        <v>190</v>
      </c>
      <c r="F39" s="390" t="s">
        <v>190</v>
      </c>
      <c r="G39" s="390"/>
      <c r="H39" s="391" t="s">
        <v>191</v>
      </c>
      <c r="I39" s="390"/>
      <c r="J39" s="391"/>
      <c r="K39" s="390"/>
      <c r="L39" s="390"/>
      <c r="M39" s="390"/>
      <c r="N39" s="390"/>
      <c r="O39" s="391"/>
      <c r="P39" s="391"/>
      <c r="Q39" s="390"/>
      <c r="R39" s="391"/>
      <c r="S39" s="390"/>
      <c r="T39" s="390"/>
      <c r="U39" s="390"/>
      <c r="V39" s="390"/>
      <c r="W39" s="390"/>
      <c r="X39" s="391"/>
      <c r="Y39" s="391"/>
      <c r="Z39" s="392" t="s">
        <v>2226</v>
      </c>
      <c r="AJ39" s="91"/>
      <c r="AK39" s="91"/>
      <c r="AL39" s="91"/>
      <c r="AM39" s="91"/>
      <c r="AN39" s="91"/>
      <c r="AO39" s="91"/>
      <c r="AP39" s="91"/>
      <c r="AQ39" s="91"/>
      <c r="AR39" s="91"/>
      <c r="AS39" s="91"/>
      <c r="AT39" s="91"/>
      <c r="AU39" s="91"/>
      <c r="AV39" s="91"/>
      <c r="AW39" s="91"/>
      <c r="AX39" s="91"/>
      <c r="AY39" s="91"/>
      <c r="AZ39" s="91"/>
      <c r="BA39" s="91"/>
      <c r="BB39" s="91"/>
      <c r="BC39" s="91"/>
      <c r="BD39" s="91"/>
    </row>
    <row r="40" spans="2:56" ht="25.2" customHeight="1">
      <c r="B40" s="329" t="s">
        <v>320</v>
      </c>
      <c r="C40" s="715" t="s">
        <v>744</v>
      </c>
      <c r="D40" s="389" t="s">
        <v>327</v>
      </c>
      <c r="E40" s="390" t="s">
        <v>190</v>
      </c>
      <c r="F40" s="390" t="s">
        <v>190</v>
      </c>
      <c r="G40" s="390"/>
      <c r="H40" s="391" t="s">
        <v>358</v>
      </c>
      <c r="I40" s="390"/>
      <c r="J40" s="391"/>
      <c r="K40" s="390"/>
      <c r="L40" s="390"/>
      <c r="M40" s="390"/>
      <c r="N40" s="390"/>
      <c r="O40" s="391"/>
      <c r="P40" s="391"/>
      <c r="Q40" s="390"/>
      <c r="R40" s="391"/>
      <c r="S40" s="390"/>
      <c r="T40" s="390"/>
      <c r="U40" s="390"/>
      <c r="V40" s="390"/>
      <c r="W40" s="390"/>
      <c r="X40" s="391"/>
      <c r="Y40" s="391"/>
      <c r="Z40" s="392" t="s">
        <v>2227</v>
      </c>
      <c r="AJ40" s="91"/>
      <c r="AK40" s="91"/>
      <c r="AL40" s="91"/>
      <c r="AM40" s="91"/>
      <c r="AN40" s="91"/>
      <c r="AO40" s="91"/>
      <c r="AP40" s="91"/>
      <c r="AQ40" s="91"/>
      <c r="AR40" s="91"/>
      <c r="AS40" s="91"/>
      <c r="AT40" s="1455"/>
      <c r="AU40" s="1455"/>
      <c r="AV40" s="1455"/>
      <c r="AW40" s="1455"/>
      <c r="AX40" s="91"/>
      <c r="AY40" s="91"/>
      <c r="AZ40" s="91"/>
      <c r="BA40" s="1455"/>
      <c r="BB40" s="1455"/>
      <c r="BC40" s="1455"/>
      <c r="BD40" s="1455"/>
    </row>
    <row r="41" spans="2:56" ht="25.2" customHeight="1">
      <c r="B41" s="329" t="s">
        <v>321</v>
      </c>
      <c r="C41" s="388" t="s">
        <v>742</v>
      </c>
      <c r="D41" s="389" t="s">
        <v>327</v>
      </c>
      <c r="E41" s="390" t="s">
        <v>190</v>
      </c>
      <c r="F41" s="390" t="s">
        <v>190</v>
      </c>
      <c r="G41" s="390"/>
      <c r="H41" s="391" t="s">
        <v>191</v>
      </c>
      <c r="I41" s="390"/>
      <c r="J41" s="391"/>
      <c r="K41" s="390"/>
      <c r="L41" s="390"/>
      <c r="M41" s="390"/>
      <c r="N41" s="390"/>
      <c r="O41" s="391"/>
      <c r="P41" s="391"/>
      <c r="Q41" s="390"/>
      <c r="R41" s="391"/>
      <c r="S41" s="390"/>
      <c r="T41" s="390"/>
      <c r="U41" s="390"/>
      <c r="V41" s="390"/>
      <c r="W41" s="390"/>
      <c r="X41" s="391"/>
      <c r="Y41" s="391"/>
      <c r="Z41" s="392" t="s">
        <v>2228</v>
      </c>
      <c r="AJ41" s="91"/>
      <c r="AK41" s="91"/>
      <c r="AL41" s="91"/>
      <c r="AM41" s="91"/>
      <c r="AN41" s="91"/>
      <c r="AO41" s="91"/>
      <c r="AP41" s="91"/>
      <c r="AQ41" s="91"/>
      <c r="AR41" s="91"/>
      <c r="AS41" s="91"/>
      <c r="AT41" s="91"/>
      <c r="AU41" s="91"/>
      <c r="AV41" s="91"/>
      <c r="AW41" s="91"/>
      <c r="AX41" s="91"/>
      <c r="AY41" s="91"/>
      <c r="AZ41" s="91"/>
      <c r="BA41" s="91"/>
      <c r="BB41" s="91"/>
      <c r="BC41" s="91"/>
      <c r="BD41" s="91"/>
    </row>
    <row r="42" spans="2:56" ht="25.2" customHeight="1">
      <c r="B42" s="329" t="s">
        <v>738</v>
      </c>
      <c r="C42" s="388" t="s">
        <v>743</v>
      </c>
      <c r="D42" s="389" t="s">
        <v>327</v>
      </c>
      <c r="E42" s="390" t="s">
        <v>190</v>
      </c>
      <c r="F42" s="390" t="s">
        <v>190</v>
      </c>
      <c r="G42" s="390"/>
      <c r="H42" s="391" t="s">
        <v>191</v>
      </c>
      <c r="I42" s="390"/>
      <c r="J42" s="391"/>
      <c r="K42" s="390"/>
      <c r="L42" s="390"/>
      <c r="M42" s="390"/>
      <c r="N42" s="390"/>
      <c r="O42" s="391"/>
      <c r="P42" s="391"/>
      <c r="Q42" s="390"/>
      <c r="R42" s="391"/>
      <c r="S42" s="390"/>
      <c r="T42" s="390"/>
      <c r="U42" s="390"/>
      <c r="V42" s="390"/>
      <c r="W42" s="390"/>
      <c r="X42" s="391"/>
      <c r="Y42" s="391"/>
      <c r="Z42" s="392" t="s">
        <v>2229</v>
      </c>
      <c r="AJ42" s="91"/>
      <c r="AK42" s="91"/>
      <c r="AL42" s="91"/>
      <c r="AM42" s="91"/>
      <c r="AN42" s="91"/>
      <c r="AO42" s="91"/>
      <c r="AP42" s="91"/>
      <c r="AQ42" s="91"/>
      <c r="AR42" s="91"/>
      <c r="AS42" s="91"/>
      <c r="AT42" s="91"/>
      <c r="AU42" s="91"/>
      <c r="AV42" s="91"/>
      <c r="AW42" s="91"/>
      <c r="AX42" s="91"/>
      <c r="AY42" s="91"/>
      <c r="AZ42" s="91"/>
      <c r="BA42" s="91"/>
      <c r="BB42" s="91"/>
      <c r="BC42" s="91"/>
      <c r="BD42" s="91"/>
    </row>
    <row r="43" spans="2:56" ht="25.2" customHeight="1">
      <c r="B43" s="329" t="s">
        <v>739</v>
      </c>
      <c r="C43" s="388" t="s">
        <v>745</v>
      </c>
      <c r="D43" s="389" t="s">
        <v>327</v>
      </c>
      <c r="E43" s="390" t="s">
        <v>190</v>
      </c>
      <c r="F43" s="390" t="s">
        <v>190</v>
      </c>
      <c r="G43" s="390"/>
      <c r="H43" s="391"/>
      <c r="I43" s="390"/>
      <c r="J43" s="391"/>
      <c r="K43" s="390"/>
      <c r="L43" s="390"/>
      <c r="M43" s="390"/>
      <c r="N43" s="390"/>
      <c r="O43" s="391"/>
      <c r="P43" s="391"/>
      <c r="Q43" s="390"/>
      <c r="R43" s="391"/>
      <c r="S43" s="390"/>
      <c r="T43" s="390"/>
      <c r="U43" s="390"/>
      <c r="V43" s="390"/>
      <c r="W43" s="390"/>
      <c r="X43" s="391"/>
      <c r="Y43" s="391"/>
      <c r="Z43" s="392"/>
      <c r="AJ43" s="91"/>
      <c r="AK43" s="91"/>
      <c r="AL43" s="91"/>
      <c r="AM43" s="91"/>
      <c r="AN43" s="91"/>
      <c r="AO43" s="91"/>
      <c r="AP43" s="91"/>
      <c r="AQ43" s="91"/>
      <c r="AR43" s="91"/>
      <c r="AS43" s="91"/>
      <c r="AT43" s="91"/>
      <c r="AU43" s="91"/>
      <c r="AV43" s="91"/>
      <c r="AW43" s="91"/>
      <c r="AX43" s="91"/>
      <c r="AY43" s="91"/>
      <c r="AZ43" s="91"/>
      <c r="BA43" s="91"/>
      <c r="BB43" s="91"/>
      <c r="BC43" s="91"/>
      <c r="BD43" s="91"/>
    </row>
    <row r="44" spans="2:56" ht="25.2" customHeight="1">
      <c r="B44" s="329" t="s">
        <v>740</v>
      </c>
      <c r="C44" s="984" t="s">
        <v>147</v>
      </c>
      <c r="D44" s="389" t="s">
        <v>327</v>
      </c>
      <c r="E44" s="390" t="s">
        <v>190</v>
      </c>
      <c r="F44" s="390" t="s">
        <v>190</v>
      </c>
      <c r="G44" s="390"/>
      <c r="H44" s="391" t="s">
        <v>138</v>
      </c>
      <c r="I44" s="390"/>
      <c r="J44" s="391"/>
      <c r="K44" s="390"/>
      <c r="L44" s="390"/>
      <c r="M44" s="390"/>
      <c r="N44" s="390"/>
      <c r="O44" s="391"/>
      <c r="P44" s="391"/>
      <c r="Q44" s="390"/>
      <c r="R44" s="391"/>
      <c r="S44" s="390"/>
      <c r="T44" s="390"/>
      <c r="U44" s="390"/>
      <c r="V44" s="390"/>
      <c r="W44" s="390"/>
      <c r="X44" s="391"/>
      <c r="Y44" s="391"/>
      <c r="Z44" s="392" t="s">
        <v>384</v>
      </c>
      <c r="AJ44" s="91"/>
      <c r="AK44" s="91"/>
      <c r="AL44" s="91"/>
      <c r="AM44" s="91"/>
      <c r="AN44" s="91"/>
      <c r="AO44" s="91"/>
      <c r="AP44" s="91"/>
      <c r="AQ44" s="91"/>
      <c r="AR44" s="91"/>
      <c r="AS44" s="91"/>
      <c r="AT44" s="91"/>
      <c r="AU44" s="91"/>
      <c r="AV44" s="91"/>
      <c r="AW44" s="91"/>
      <c r="AX44" s="91"/>
      <c r="AY44" s="91"/>
      <c r="AZ44" s="91"/>
      <c r="BA44" s="91"/>
      <c r="BB44" s="91"/>
      <c r="BC44" s="1455"/>
      <c r="BD44" s="1455"/>
    </row>
    <row r="45" spans="2:56" ht="25.2" customHeight="1">
      <c r="B45" s="329" t="s">
        <v>741</v>
      </c>
      <c r="C45" s="984" t="s">
        <v>148</v>
      </c>
      <c r="D45" s="389" t="s">
        <v>327</v>
      </c>
      <c r="E45" s="390" t="s">
        <v>190</v>
      </c>
      <c r="F45" s="390" t="s">
        <v>190</v>
      </c>
      <c r="G45" s="390"/>
      <c r="H45" s="391" t="s">
        <v>138</v>
      </c>
      <c r="I45" s="390"/>
      <c r="J45" s="391"/>
      <c r="K45" s="390"/>
      <c r="L45" s="390"/>
      <c r="M45" s="390"/>
      <c r="N45" s="390"/>
      <c r="O45" s="391"/>
      <c r="P45" s="391"/>
      <c r="Q45" s="390"/>
      <c r="R45" s="391"/>
      <c r="S45" s="390"/>
      <c r="T45" s="390"/>
      <c r="U45" s="390" t="s">
        <v>190</v>
      </c>
      <c r="V45" s="390"/>
      <c r="W45" s="390"/>
      <c r="X45" s="391"/>
      <c r="Y45" s="391"/>
      <c r="Z45" s="392" t="s">
        <v>359</v>
      </c>
      <c r="AJ45" s="91"/>
      <c r="AK45" s="91"/>
      <c r="AL45" s="91"/>
      <c r="AM45" s="91"/>
      <c r="AN45" s="91"/>
      <c r="AO45" s="91"/>
      <c r="AP45" s="91"/>
      <c r="AQ45" s="91"/>
      <c r="AR45" s="91"/>
      <c r="AS45" s="91"/>
      <c r="AT45" s="91"/>
      <c r="AU45" s="91"/>
      <c r="AV45" s="91"/>
      <c r="AW45" s="91"/>
      <c r="AX45" s="91"/>
      <c r="AY45" s="91"/>
      <c r="AZ45" s="91"/>
      <c r="BA45" s="91"/>
      <c r="BB45" s="91"/>
      <c r="BC45" s="1455"/>
      <c r="BD45" s="1455"/>
    </row>
    <row r="46" spans="2:56" ht="25.2" customHeight="1">
      <c r="B46" s="329" t="s">
        <v>1015</v>
      </c>
      <c r="C46" s="330" t="s">
        <v>755</v>
      </c>
      <c r="D46" s="331" t="s">
        <v>164</v>
      </c>
      <c r="E46" s="332" t="s">
        <v>137</v>
      </c>
      <c r="F46" s="332" t="s">
        <v>137</v>
      </c>
      <c r="G46" s="332"/>
      <c r="H46" s="333" t="s">
        <v>138</v>
      </c>
      <c r="I46" s="332"/>
      <c r="J46" s="333"/>
      <c r="K46" s="332"/>
      <c r="L46" s="332"/>
      <c r="M46" s="332"/>
      <c r="N46" s="332"/>
      <c r="O46" s="333"/>
      <c r="P46" s="333"/>
      <c r="Q46" s="332"/>
      <c r="R46" s="333"/>
      <c r="S46" s="332"/>
      <c r="T46" s="332"/>
      <c r="U46" s="1209"/>
      <c r="V46" s="1209"/>
      <c r="W46" s="1209" t="s">
        <v>190</v>
      </c>
      <c r="X46" s="1210"/>
      <c r="Y46" s="1210"/>
      <c r="Z46" s="885" t="s">
        <v>1040</v>
      </c>
      <c r="AJ46" s="91"/>
      <c r="AK46" s="91"/>
      <c r="AL46" s="91"/>
      <c r="AM46" s="91"/>
      <c r="AN46" s="91"/>
      <c r="AO46" s="91"/>
      <c r="AP46" s="91"/>
      <c r="AQ46" s="91"/>
      <c r="AR46" s="91"/>
      <c r="AS46" s="91"/>
      <c r="AT46" s="91"/>
      <c r="AU46" s="91"/>
      <c r="AV46" s="91"/>
      <c r="AW46" s="91"/>
      <c r="AX46" s="91"/>
      <c r="AY46" s="91"/>
      <c r="AZ46" s="91"/>
      <c r="BA46" s="91"/>
      <c r="BB46" s="91"/>
      <c r="BC46" s="1455"/>
      <c r="BD46" s="1455"/>
    </row>
    <row r="47" spans="2:56" ht="25.2" customHeight="1">
      <c r="B47" s="329" t="s">
        <v>1016</v>
      </c>
      <c r="C47" s="330" t="s">
        <v>145</v>
      </c>
      <c r="D47" s="331" t="s">
        <v>164</v>
      </c>
      <c r="E47" s="332" t="s">
        <v>190</v>
      </c>
      <c r="F47" s="332" t="s">
        <v>190</v>
      </c>
      <c r="G47" s="332"/>
      <c r="H47" s="333"/>
      <c r="I47" s="332"/>
      <c r="J47" s="333"/>
      <c r="K47" s="332"/>
      <c r="L47" s="332"/>
      <c r="M47" s="332"/>
      <c r="N47" s="332"/>
      <c r="O47" s="333"/>
      <c r="P47" s="333"/>
      <c r="Q47" s="332"/>
      <c r="R47" s="333"/>
      <c r="S47" s="332"/>
      <c r="T47" s="332"/>
      <c r="U47" s="1209"/>
      <c r="V47" s="1209"/>
      <c r="W47" s="1209"/>
      <c r="X47" s="1210"/>
      <c r="Y47" s="1210"/>
      <c r="Z47" s="885" t="s">
        <v>1041</v>
      </c>
      <c r="AJ47" s="91"/>
      <c r="AK47" s="91"/>
      <c r="AL47" s="91"/>
      <c r="AM47" s="91"/>
      <c r="AN47" s="91"/>
      <c r="AO47" s="91"/>
      <c r="AP47" s="91"/>
      <c r="AQ47" s="91"/>
      <c r="AR47" s="91"/>
      <c r="AS47" s="91"/>
      <c r="AT47" s="91"/>
      <c r="AU47" s="91"/>
      <c r="AV47" s="91"/>
      <c r="AW47" s="91"/>
      <c r="AX47" s="91"/>
      <c r="AY47" s="91"/>
      <c r="AZ47" s="91"/>
      <c r="BA47" s="91"/>
      <c r="BB47" s="91"/>
      <c r="BC47" s="1455"/>
      <c r="BD47" s="1455"/>
    </row>
    <row r="48" spans="2:56" ht="25.2" customHeight="1">
      <c r="B48" s="329" t="s">
        <v>1017</v>
      </c>
      <c r="C48" s="330" t="s">
        <v>146</v>
      </c>
      <c r="D48" s="331" t="s">
        <v>164</v>
      </c>
      <c r="E48" s="332" t="s">
        <v>190</v>
      </c>
      <c r="F48" s="332" t="s">
        <v>190</v>
      </c>
      <c r="G48" s="332"/>
      <c r="H48" s="333"/>
      <c r="I48" s="332"/>
      <c r="J48" s="333" t="s">
        <v>190</v>
      </c>
      <c r="K48" s="332"/>
      <c r="L48" s="332"/>
      <c r="M48" s="332"/>
      <c r="N48" s="332"/>
      <c r="O48" s="333"/>
      <c r="P48" s="333"/>
      <c r="Q48" s="332"/>
      <c r="R48" s="333"/>
      <c r="S48" s="332"/>
      <c r="T48" s="332"/>
      <c r="U48" s="1209"/>
      <c r="V48" s="1209"/>
      <c r="W48" s="1209"/>
      <c r="X48" s="1210"/>
      <c r="Y48" s="1210"/>
      <c r="Z48" s="885" t="s">
        <v>1024</v>
      </c>
      <c r="AJ48" s="91"/>
      <c r="AK48" s="91"/>
      <c r="AL48" s="91"/>
      <c r="AM48" s="91"/>
      <c r="AN48" s="91"/>
      <c r="AO48" s="91"/>
      <c r="AP48" s="91"/>
      <c r="AQ48" s="91"/>
      <c r="AR48" s="91"/>
      <c r="AS48" s="91"/>
      <c r="AT48" s="91"/>
      <c r="AU48" s="91"/>
      <c r="AV48" s="91"/>
      <c r="AW48" s="91"/>
      <c r="AX48" s="91"/>
      <c r="AY48" s="91"/>
      <c r="AZ48" s="91"/>
      <c r="BA48" s="91"/>
      <c r="BB48" s="91"/>
      <c r="BC48" s="1455"/>
      <c r="BD48" s="1455"/>
    </row>
    <row r="49" spans="2:56" ht="25.2" customHeight="1">
      <c r="B49" s="329" t="s">
        <v>1018</v>
      </c>
      <c r="C49" s="1207" t="s">
        <v>1746</v>
      </c>
      <c r="D49" s="1216" t="s">
        <v>164</v>
      </c>
      <c r="E49" s="1209" t="s">
        <v>190</v>
      </c>
      <c r="F49" s="1209" t="s">
        <v>190</v>
      </c>
      <c r="G49" s="981"/>
      <c r="H49" s="333"/>
      <c r="I49" s="332"/>
      <c r="J49" s="333"/>
      <c r="K49" s="332"/>
      <c r="L49" s="332"/>
      <c r="M49" s="332"/>
      <c r="N49" s="332"/>
      <c r="O49" s="333"/>
      <c r="P49" s="333"/>
      <c r="Q49" s="332"/>
      <c r="R49" s="333"/>
      <c r="S49" s="332"/>
      <c r="T49" s="332"/>
      <c r="U49" s="1209"/>
      <c r="V49" s="1209"/>
      <c r="W49" s="1209"/>
      <c r="X49" s="1210" t="s">
        <v>190</v>
      </c>
      <c r="Y49" s="1210"/>
      <c r="Z49" s="885" t="s">
        <v>1882</v>
      </c>
      <c r="AJ49" s="91"/>
      <c r="AK49" s="91"/>
      <c r="AL49" s="91"/>
      <c r="AM49" s="91"/>
      <c r="AN49" s="91"/>
      <c r="AO49" s="91"/>
      <c r="AP49" s="91"/>
      <c r="AQ49" s="91"/>
      <c r="AR49" s="91"/>
      <c r="AS49" s="91"/>
      <c r="AT49" s="91"/>
      <c r="AU49" s="91"/>
      <c r="AV49" s="91"/>
      <c r="AW49" s="91"/>
      <c r="AX49" s="91"/>
      <c r="AY49" s="91"/>
      <c r="AZ49" s="91"/>
      <c r="BA49" s="91"/>
      <c r="BB49" s="91"/>
      <c r="BC49" s="91"/>
      <c r="BD49" s="91"/>
    </row>
    <row r="50" spans="2:56" ht="25.2" customHeight="1">
      <c r="B50" s="329" t="s">
        <v>1019</v>
      </c>
      <c r="C50" s="1207" t="s">
        <v>756</v>
      </c>
      <c r="D50" s="1216" t="s">
        <v>1023</v>
      </c>
      <c r="E50" s="1209" t="s">
        <v>190</v>
      </c>
      <c r="F50" s="1209" t="s">
        <v>190</v>
      </c>
      <c r="G50" s="332"/>
      <c r="H50" s="333"/>
      <c r="I50" s="332"/>
      <c r="J50" s="333"/>
      <c r="K50" s="332"/>
      <c r="L50" s="332"/>
      <c r="M50" s="332"/>
      <c r="N50" s="332"/>
      <c r="O50" s="333"/>
      <c r="P50" s="333"/>
      <c r="Q50" s="332"/>
      <c r="R50" s="333"/>
      <c r="S50" s="332"/>
      <c r="T50" s="332"/>
      <c r="U50" s="1209"/>
      <c r="V50" s="1209"/>
      <c r="W50" s="1209"/>
      <c r="X50" s="1210"/>
      <c r="Y50" s="1210"/>
      <c r="Z50" s="885"/>
      <c r="AJ50" s="91"/>
      <c r="AK50" s="91"/>
      <c r="AL50" s="91"/>
      <c r="AM50" s="91"/>
      <c r="AN50" s="91"/>
      <c r="AO50" s="91"/>
      <c r="AP50" s="91"/>
      <c r="AQ50" s="91"/>
      <c r="AR50" s="91"/>
      <c r="AS50" s="91"/>
      <c r="AT50" s="91"/>
      <c r="AU50" s="91"/>
      <c r="AV50" s="91"/>
      <c r="AW50" s="91"/>
      <c r="AX50" s="91"/>
      <c r="AY50" s="91"/>
      <c r="AZ50" s="91"/>
      <c r="BA50" s="91"/>
      <c r="BB50" s="91"/>
      <c r="BC50" s="91"/>
      <c r="BD50" s="91"/>
    </row>
    <row r="51" spans="2:56" ht="25.2" customHeight="1">
      <c r="B51" s="329" t="s">
        <v>1020</v>
      </c>
      <c r="C51" s="1207" t="s">
        <v>112</v>
      </c>
      <c r="D51" s="1216" t="s">
        <v>163</v>
      </c>
      <c r="E51" s="1209" t="s">
        <v>190</v>
      </c>
      <c r="F51" s="1209" t="s">
        <v>190</v>
      </c>
      <c r="G51" s="332"/>
      <c r="H51" s="333"/>
      <c r="I51" s="332"/>
      <c r="J51" s="333"/>
      <c r="K51" s="332"/>
      <c r="L51" s="332"/>
      <c r="M51" s="332"/>
      <c r="N51" s="332"/>
      <c r="O51" s="333"/>
      <c r="P51" s="333"/>
      <c r="Q51" s="332"/>
      <c r="R51" s="333"/>
      <c r="S51" s="332"/>
      <c r="T51" s="332"/>
      <c r="U51" s="1209"/>
      <c r="V51" s="1209"/>
      <c r="W51" s="1209"/>
      <c r="X51" s="1210"/>
      <c r="Y51" s="1210" t="s">
        <v>190</v>
      </c>
      <c r="Z51" s="885"/>
      <c r="AJ51" s="91"/>
      <c r="AK51" s="91"/>
      <c r="AL51" s="91"/>
      <c r="AM51" s="91"/>
      <c r="AN51" s="91"/>
      <c r="AO51" s="91"/>
      <c r="AP51" s="91"/>
      <c r="AQ51" s="91"/>
      <c r="AR51" s="91"/>
      <c r="AS51" s="91"/>
      <c r="AT51" s="1455"/>
      <c r="AU51" s="1455"/>
      <c r="AV51" s="1455"/>
      <c r="AW51" s="1455"/>
      <c r="AX51" s="91"/>
      <c r="AY51" s="91"/>
      <c r="AZ51" s="91"/>
      <c r="BA51" s="1455"/>
      <c r="BB51" s="1455"/>
      <c r="BC51" s="1455"/>
      <c r="BD51" s="1455"/>
    </row>
    <row r="52" spans="2:56" ht="25.2" customHeight="1">
      <c r="B52" s="329" t="s">
        <v>1021</v>
      </c>
      <c r="C52" s="1217" t="s">
        <v>757</v>
      </c>
      <c r="D52" s="1216" t="s">
        <v>1023</v>
      </c>
      <c r="E52" s="1209" t="s">
        <v>190</v>
      </c>
      <c r="F52" s="1209" t="s">
        <v>190</v>
      </c>
      <c r="G52" s="397"/>
      <c r="H52" s="398"/>
      <c r="I52" s="397"/>
      <c r="J52" s="398"/>
      <c r="K52" s="397"/>
      <c r="L52" s="397"/>
      <c r="M52" s="397"/>
      <c r="N52" s="397"/>
      <c r="O52" s="398"/>
      <c r="P52" s="398"/>
      <c r="Q52" s="397"/>
      <c r="R52" s="398"/>
      <c r="S52" s="397"/>
      <c r="T52" s="397"/>
      <c r="U52" s="1221"/>
      <c r="V52" s="1221"/>
      <c r="W52" s="1221"/>
      <c r="X52" s="1222"/>
      <c r="Y52" s="1222"/>
      <c r="Z52" s="1391"/>
      <c r="AJ52" s="91"/>
      <c r="AK52" s="91"/>
      <c r="AL52" s="91"/>
      <c r="AM52" s="91"/>
      <c r="AN52" s="91"/>
      <c r="AO52" s="91"/>
      <c r="AP52" s="91"/>
      <c r="AQ52" s="91"/>
      <c r="AR52" s="91"/>
      <c r="AS52" s="91"/>
      <c r="AT52" s="91"/>
      <c r="AU52" s="91"/>
      <c r="AV52" s="91"/>
      <c r="AW52" s="91"/>
      <c r="AX52" s="91"/>
      <c r="AY52" s="91"/>
      <c r="AZ52" s="91"/>
      <c r="BA52" s="91"/>
      <c r="BB52" s="91"/>
      <c r="BC52" s="91"/>
      <c r="BD52" s="91"/>
    </row>
    <row r="53" spans="2:56" ht="25.2" customHeight="1">
      <c r="B53" s="329" t="s">
        <v>1022</v>
      </c>
      <c r="C53" s="1217" t="s">
        <v>758</v>
      </c>
      <c r="D53" s="1216" t="s">
        <v>1023</v>
      </c>
      <c r="E53" s="1209" t="s">
        <v>190</v>
      </c>
      <c r="F53" s="1209" t="s">
        <v>190</v>
      </c>
      <c r="G53" s="397"/>
      <c r="H53" s="398"/>
      <c r="I53" s="397"/>
      <c r="J53" s="398"/>
      <c r="K53" s="397"/>
      <c r="L53" s="397"/>
      <c r="M53" s="397"/>
      <c r="N53" s="397"/>
      <c r="O53" s="398"/>
      <c r="P53" s="398"/>
      <c r="Q53" s="397"/>
      <c r="R53" s="398"/>
      <c r="S53" s="397"/>
      <c r="T53" s="397"/>
      <c r="U53" s="1221"/>
      <c r="V53" s="1221"/>
      <c r="W53" s="1221"/>
      <c r="X53" s="1222"/>
      <c r="Y53" s="1222"/>
      <c r="Z53" s="1391"/>
      <c r="AJ53" s="91"/>
      <c r="AK53" s="91"/>
      <c r="AL53" s="91"/>
      <c r="AM53" s="91"/>
      <c r="AN53" s="91"/>
      <c r="AO53" s="91"/>
      <c r="AP53" s="91"/>
      <c r="AQ53" s="91"/>
      <c r="AR53" s="91"/>
      <c r="AS53" s="91"/>
      <c r="AT53" s="91"/>
      <c r="AU53" s="91"/>
      <c r="AV53" s="91"/>
      <c r="AW53" s="91"/>
      <c r="AX53" s="91"/>
      <c r="AY53" s="91"/>
      <c r="AZ53" s="91"/>
      <c r="BA53" s="91"/>
      <c r="BB53" s="91"/>
      <c r="BC53" s="91"/>
      <c r="BD53" s="91"/>
    </row>
    <row r="54" spans="2:56" ht="25.2" customHeight="1">
      <c r="B54" s="329" t="s">
        <v>1459</v>
      </c>
      <c r="C54" s="1217" t="s">
        <v>759</v>
      </c>
      <c r="D54" s="1216" t="s">
        <v>1023</v>
      </c>
      <c r="E54" s="1209" t="s">
        <v>190</v>
      </c>
      <c r="F54" s="1209" t="s">
        <v>190</v>
      </c>
      <c r="G54" s="397"/>
      <c r="H54" s="398"/>
      <c r="I54" s="397"/>
      <c r="J54" s="398"/>
      <c r="K54" s="397"/>
      <c r="L54" s="397"/>
      <c r="M54" s="397"/>
      <c r="N54" s="397"/>
      <c r="O54" s="398"/>
      <c r="P54" s="398"/>
      <c r="Q54" s="397"/>
      <c r="R54" s="398"/>
      <c r="S54" s="397"/>
      <c r="T54" s="397"/>
      <c r="U54" s="1221"/>
      <c r="V54" s="1221"/>
      <c r="W54" s="1221"/>
      <c r="X54" s="1222"/>
      <c r="Y54" s="1222"/>
      <c r="Z54" s="1391"/>
      <c r="AJ54" s="91"/>
      <c r="AK54" s="91"/>
      <c r="AL54" s="91"/>
      <c r="AM54" s="91"/>
      <c r="AN54" s="91"/>
      <c r="AO54" s="91"/>
      <c r="AP54" s="91"/>
      <c r="AQ54" s="91"/>
      <c r="AR54" s="91"/>
      <c r="AS54" s="91"/>
      <c r="AT54" s="91"/>
      <c r="AU54" s="91"/>
      <c r="AV54" s="91"/>
      <c r="AW54" s="91"/>
      <c r="AX54" s="91"/>
      <c r="AY54" s="91"/>
      <c r="AZ54" s="91"/>
      <c r="BA54" s="91"/>
      <c r="BB54" s="91"/>
      <c r="BC54" s="91"/>
      <c r="BD54" s="91"/>
    </row>
    <row r="55" spans="2:56" ht="25.2" customHeight="1">
      <c r="B55" s="329" t="s">
        <v>1460</v>
      </c>
      <c r="C55" s="1217" t="s">
        <v>760</v>
      </c>
      <c r="D55" s="1216" t="s">
        <v>1023</v>
      </c>
      <c r="E55" s="1209" t="s">
        <v>190</v>
      </c>
      <c r="F55" s="1209" t="s">
        <v>190</v>
      </c>
      <c r="G55" s="397"/>
      <c r="H55" s="398"/>
      <c r="I55" s="397"/>
      <c r="J55" s="398"/>
      <c r="K55" s="397"/>
      <c r="L55" s="397"/>
      <c r="M55" s="397"/>
      <c r="N55" s="397"/>
      <c r="O55" s="398"/>
      <c r="P55" s="398"/>
      <c r="Q55" s="397"/>
      <c r="R55" s="398"/>
      <c r="S55" s="397"/>
      <c r="T55" s="397"/>
      <c r="U55" s="1221"/>
      <c r="V55" s="1221"/>
      <c r="W55" s="1221"/>
      <c r="X55" s="1222"/>
      <c r="Y55" s="1222"/>
      <c r="Z55" s="1391" t="s">
        <v>1898</v>
      </c>
      <c r="AJ55" s="91"/>
      <c r="AK55" s="91"/>
      <c r="AL55" s="91"/>
      <c r="AM55" s="91"/>
      <c r="AN55" s="91"/>
      <c r="AO55" s="91"/>
      <c r="AP55" s="91"/>
      <c r="AQ55" s="91"/>
      <c r="AR55" s="91"/>
      <c r="AS55" s="91"/>
      <c r="AT55" s="91"/>
      <c r="AU55" s="91"/>
      <c r="AV55" s="91"/>
      <c r="AW55" s="91"/>
      <c r="AX55" s="91"/>
      <c r="AY55" s="91"/>
      <c r="AZ55" s="91"/>
      <c r="BA55" s="91"/>
      <c r="BB55" s="91"/>
      <c r="BC55" s="91"/>
      <c r="BD55" s="91"/>
    </row>
    <row r="56" spans="2:56" ht="25.2" customHeight="1">
      <c r="B56" s="329" t="s">
        <v>1461</v>
      </c>
      <c r="C56" s="1217" t="s">
        <v>1747</v>
      </c>
      <c r="D56" s="1216" t="s">
        <v>164</v>
      </c>
      <c r="E56" s="1209" t="s">
        <v>190</v>
      </c>
      <c r="F56" s="1209" t="s">
        <v>190</v>
      </c>
      <c r="G56" s="983"/>
      <c r="H56" s="398"/>
      <c r="I56" s="397"/>
      <c r="J56" s="398"/>
      <c r="K56" s="397"/>
      <c r="L56" s="397"/>
      <c r="M56" s="397"/>
      <c r="N56" s="397"/>
      <c r="O56" s="398"/>
      <c r="P56" s="398"/>
      <c r="Q56" s="397"/>
      <c r="R56" s="398"/>
      <c r="S56" s="397"/>
      <c r="T56" s="397"/>
      <c r="U56" s="1221"/>
      <c r="V56" s="1221" t="s">
        <v>190</v>
      </c>
      <c r="W56" s="1221"/>
      <c r="X56" s="1222"/>
      <c r="Y56" s="1222"/>
      <c r="Z56" s="1391" t="s">
        <v>2209</v>
      </c>
      <c r="AJ56" s="91"/>
      <c r="AK56" s="91"/>
      <c r="AL56" s="91"/>
      <c r="AM56" s="91"/>
      <c r="AN56" s="91"/>
      <c r="AO56" s="91"/>
      <c r="AP56" s="91"/>
      <c r="AQ56" s="91"/>
      <c r="AR56" s="91"/>
      <c r="AS56" s="91"/>
      <c r="AT56" s="91"/>
      <c r="AU56" s="91"/>
      <c r="AV56" s="91"/>
      <c r="AW56" s="91"/>
      <c r="AX56" s="91"/>
      <c r="AY56" s="91"/>
      <c r="AZ56" s="91"/>
      <c r="BA56" s="91"/>
      <c r="BB56" s="91"/>
      <c r="BC56" s="91"/>
      <c r="BD56" s="91"/>
    </row>
    <row r="57" spans="2:56" ht="25.2" customHeight="1">
      <c r="B57" s="329" t="s">
        <v>1750</v>
      </c>
      <c r="C57" s="1217" t="s">
        <v>1748</v>
      </c>
      <c r="D57" s="1216" t="s">
        <v>164</v>
      </c>
      <c r="E57" s="1209" t="s">
        <v>190</v>
      </c>
      <c r="F57" s="1209" t="s">
        <v>190</v>
      </c>
      <c r="G57" s="983"/>
      <c r="H57" s="398"/>
      <c r="I57" s="397"/>
      <c r="J57" s="398"/>
      <c r="K57" s="397"/>
      <c r="L57" s="397"/>
      <c r="M57" s="397"/>
      <c r="N57" s="397"/>
      <c r="O57" s="398"/>
      <c r="P57" s="398"/>
      <c r="Q57" s="397"/>
      <c r="R57" s="398"/>
      <c r="S57" s="397"/>
      <c r="T57" s="397"/>
      <c r="U57" s="1221"/>
      <c r="V57" s="1221" t="s">
        <v>190</v>
      </c>
      <c r="W57" s="1221"/>
      <c r="X57" s="1222"/>
      <c r="Y57" s="1222"/>
      <c r="Z57" s="885"/>
      <c r="AJ57" s="91"/>
      <c r="AK57" s="91"/>
      <c r="AL57" s="91"/>
      <c r="AM57" s="91"/>
      <c r="AN57" s="91"/>
      <c r="AO57" s="91"/>
      <c r="AP57" s="91"/>
      <c r="AQ57" s="91"/>
      <c r="AR57" s="91"/>
      <c r="AS57" s="91"/>
      <c r="AT57" s="91"/>
      <c r="AU57" s="91"/>
      <c r="AV57" s="91"/>
      <c r="AW57" s="91"/>
      <c r="AX57" s="91"/>
      <c r="AY57" s="91"/>
      <c r="AZ57" s="91"/>
      <c r="BA57" s="91"/>
      <c r="BB57" s="91"/>
      <c r="BC57" s="91"/>
      <c r="BD57" s="91"/>
    </row>
    <row r="58" spans="2:56" ht="119.4" customHeight="1">
      <c r="B58" s="1496" t="s">
        <v>1751</v>
      </c>
      <c r="C58" s="1493" t="s">
        <v>1749</v>
      </c>
      <c r="D58" s="1493" t="s">
        <v>164</v>
      </c>
      <c r="E58" s="1487" t="s">
        <v>190</v>
      </c>
      <c r="F58" s="1487" t="s">
        <v>190</v>
      </c>
      <c r="G58" s="1472"/>
      <c r="H58" s="1472"/>
      <c r="I58" s="1472"/>
      <c r="J58" s="1472"/>
      <c r="K58" s="1472"/>
      <c r="L58" s="1472"/>
      <c r="M58" s="1472"/>
      <c r="N58" s="1472"/>
      <c r="O58" s="1472"/>
      <c r="P58" s="1472"/>
      <c r="Q58" s="1472"/>
      <c r="R58" s="1481" t="s">
        <v>190</v>
      </c>
      <c r="S58" s="1472"/>
      <c r="T58" s="1472"/>
      <c r="U58" s="1472"/>
      <c r="V58" s="1472"/>
      <c r="W58" s="1472"/>
      <c r="X58" s="1472"/>
      <c r="Y58" s="1472"/>
      <c r="Z58" s="1390" t="s">
        <v>2240</v>
      </c>
      <c r="AJ58" s="91"/>
      <c r="AK58" s="91"/>
      <c r="AL58" s="91"/>
      <c r="AM58" s="91"/>
      <c r="AN58" s="91"/>
      <c r="AO58" s="91"/>
      <c r="AP58" s="91"/>
      <c r="AQ58" s="91"/>
      <c r="AR58" s="91"/>
      <c r="AS58" s="91"/>
      <c r="AT58" s="91"/>
      <c r="AU58" s="91"/>
      <c r="AV58" s="91"/>
      <c r="AW58" s="91"/>
      <c r="AX58" s="91"/>
      <c r="AY58" s="91"/>
      <c r="AZ58" s="91"/>
      <c r="BA58" s="91"/>
      <c r="BB58" s="91"/>
      <c r="BC58" s="91"/>
      <c r="BD58" s="91"/>
    </row>
    <row r="59" spans="2:56" ht="13.2" customHeight="1">
      <c r="B59" s="1497"/>
      <c r="C59" s="1494"/>
      <c r="D59" s="1494"/>
      <c r="E59" s="1488"/>
      <c r="F59" s="1488"/>
      <c r="G59" s="1473"/>
      <c r="H59" s="1473"/>
      <c r="I59" s="1473"/>
      <c r="J59" s="1473"/>
      <c r="K59" s="1473"/>
      <c r="L59" s="1473"/>
      <c r="M59" s="1473"/>
      <c r="N59" s="1473"/>
      <c r="O59" s="1473"/>
      <c r="P59" s="1473"/>
      <c r="Q59" s="1473"/>
      <c r="R59" s="1482"/>
      <c r="S59" s="1473"/>
      <c r="T59" s="1473"/>
      <c r="U59" s="1473"/>
      <c r="V59" s="1473"/>
      <c r="W59" s="1473"/>
      <c r="X59" s="1473"/>
      <c r="Y59" s="1473"/>
      <c r="Z59" s="1392" t="s">
        <v>2220</v>
      </c>
      <c r="AJ59" s="91"/>
      <c r="AK59" s="91"/>
      <c r="AL59" s="91"/>
      <c r="AM59" s="91"/>
      <c r="AN59" s="91"/>
      <c r="AO59" s="91"/>
      <c r="AP59" s="91"/>
      <c r="AQ59" s="91"/>
      <c r="AR59" s="91"/>
      <c r="AS59" s="91"/>
      <c r="AT59" s="91"/>
      <c r="AU59" s="91"/>
      <c r="AV59" s="91"/>
      <c r="AW59" s="91"/>
      <c r="AX59" s="91"/>
      <c r="AY59" s="91"/>
      <c r="AZ59" s="91"/>
      <c r="BA59" s="91"/>
      <c r="BB59" s="91"/>
      <c r="BC59" s="91"/>
      <c r="BD59" s="91"/>
    </row>
    <row r="60" spans="2:56" ht="13.2" customHeight="1">
      <c r="B60" s="1497"/>
      <c r="C60" s="1494"/>
      <c r="D60" s="1494"/>
      <c r="E60" s="1488"/>
      <c r="F60" s="1488"/>
      <c r="G60" s="1473"/>
      <c r="H60" s="1473"/>
      <c r="I60" s="1473"/>
      <c r="J60" s="1473"/>
      <c r="K60" s="1473"/>
      <c r="L60" s="1473"/>
      <c r="M60" s="1473"/>
      <c r="N60" s="1473"/>
      <c r="O60" s="1473"/>
      <c r="P60" s="1473"/>
      <c r="Q60" s="1473"/>
      <c r="R60" s="1482"/>
      <c r="S60" s="1473"/>
      <c r="T60" s="1473"/>
      <c r="U60" s="1473"/>
      <c r="V60" s="1473"/>
      <c r="W60" s="1473"/>
      <c r="X60" s="1473"/>
      <c r="Y60" s="1473"/>
      <c r="Z60" s="1393" t="s">
        <v>2221</v>
      </c>
      <c r="AJ60" s="91"/>
      <c r="AK60" s="91"/>
      <c r="AL60" s="91"/>
      <c r="AM60" s="91"/>
      <c r="AN60" s="91"/>
      <c r="AO60" s="91"/>
      <c r="AP60" s="91"/>
      <c r="AQ60" s="91"/>
      <c r="AR60" s="91"/>
      <c r="AS60" s="91"/>
      <c r="AT60" s="91"/>
      <c r="AU60" s="91"/>
      <c r="AV60" s="91"/>
      <c r="AW60" s="91"/>
      <c r="AX60" s="91"/>
      <c r="AY60" s="91"/>
      <c r="AZ60" s="91"/>
      <c r="BA60" s="91"/>
      <c r="BB60" s="91"/>
      <c r="BC60" s="91"/>
      <c r="BD60" s="91"/>
    </row>
    <row r="61" spans="2:56" ht="13.2" customHeight="1">
      <c r="B61" s="1498"/>
      <c r="C61" s="1495"/>
      <c r="D61" s="1495"/>
      <c r="E61" s="1489"/>
      <c r="F61" s="1489"/>
      <c r="G61" s="1474"/>
      <c r="H61" s="1474"/>
      <c r="I61" s="1474"/>
      <c r="J61" s="1474"/>
      <c r="K61" s="1474"/>
      <c r="L61" s="1474"/>
      <c r="M61" s="1474"/>
      <c r="N61" s="1474"/>
      <c r="O61" s="1474"/>
      <c r="P61" s="1474"/>
      <c r="Q61" s="1474"/>
      <c r="R61" s="1483"/>
      <c r="S61" s="1474"/>
      <c r="T61" s="1474"/>
      <c r="U61" s="1474"/>
      <c r="V61" s="1474"/>
      <c r="W61" s="1474"/>
      <c r="X61" s="1474"/>
      <c r="Y61" s="1474"/>
      <c r="Z61" s="1394" t="s">
        <v>2222</v>
      </c>
      <c r="AJ61" s="91"/>
      <c r="AK61" s="91"/>
      <c r="AL61" s="91"/>
      <c r="AM61" s="91"/>
      <c r="AN61" s="91"/>
      <c r="AO61" s="91"/>
      <c r="AP61" s="91"/>
      <c r="AQ61" s="91"/>
      <c r="AR61" s="91"/>
      <c r="AS61" s="91"/>
      <c r="AT61" s="91"/>
      <c r="AU61" s="91"/>
      <c r="AV61" s="91"/>
      <c r="AW61" s="91"/>
      <c r="AX61" s="91"/>
      <c r="AY61" s="91"/>
      <c r="AZ61" s="91"/>
      <c r="BA61" s="91"/>
      <c r="BB61" s="91"/>
      <c r="BC61" s="91"/>
      <c r="BD61" s="91"/>
    </row>
    <row r="62" spans="2:56" ht="25.2" customHeight="1">
      <c r="B62" s="329" t="s">
        <v>1752</v>
      </c>
      <c r="C62" s="330" t="s">
        <v>113</v>
      </c>
      <c r="D62" s="331" t="s">
        <v>164</v>
      </c>
      <c r="E62" s="332" t="s">
        <v>190</v>
      </c>
      <c r="F62" s="332" t="s">
        <v>190</v>
      </c>
      <c r="G62" s="982"/>
      <c r="H62" s="333"/>
      <c r="I62" s="332"/>
      <c r="J62" s="398"/>
      <c r="K62" s="398"/>
      <c r="L62" s="398"/>
      <c r="M62" s="333" t="s">
        <v>190</v>
      </c>
      <c r="N62" s="397"/>
      <c r="O62" s="398"/>
      <c r="P62" s="398"/>
      <c r="Q62" s="397"/>
      <c r="R62" s="398"/>
      <c r="S62" s="397"/>
      <c r="T62" s="397"/>
      <c r="U62" s="397"/>
      <c r="V62" s="333"/>
      <c r="W62" s="333"/>
      <c r="X62" s="398"/>
      <c r="Y62" s="398"/>
      <c r="Z62" s="399" t="s">
        <v>1042</v>
      </c>
      <c r="AJ62" s="91"/>
      <c r="AK62" s="91"/>
      <c r="AL62" s="91"/>
      <c r="AM62" s="91"/>
      <c r="AN62" s="91"/>
      <c r="AO62" s="91"/>
      <c r="AP62" s="91"/>
      <c r="AQ62" s="91"/>
      <c r="AR62" s="91"/>
      <c r="AS62" s="91"/>
      <c r="AT62" s="91"/>
      <c r="AU62" s="91"/>
      <c r="AV62" s="91"/>
      <c r="AW62" s="91"/>
      <c r="AX62" s="91"/>
      <c r="AY62" s="91"/>
      <c r="AZ62" s="91"/>
      <c r="BA62" s="91"/>
      <c r="BB62" s="91"/>
      <c r="BC62" s="91"/>
      <c r="BD62" s="91"/>
    </row>
    <row r="63" spans="2:56" ht="25.2" customHeight="1">
      <c r="B63" s="394" t="s">
        <v>1753</v>
      </c>
      <c r="C63" s="554" t="s">
        <v>1006</v>
      </c>
      <c r="D63" s="549" t="s">
        <v>164</v>
      </c>
      <c r="E63" s="338" t="s">
        <v>190</v>
      </c>
      <c r="F63" s="339" t="s">
        <v>190</v>
      </c>
      <c r="G63" s="555"/>
      <c r="H63" s="555"/>
      <c r="I63" s="550"/>
      <c r="J63" s="339"/>
      <c r="K63" s="339"/>
      <c r="L63" s="339"/>
      <c r="M63" s="550"/>
      <c r="N63" s="338"/>
      <c r="O63" s="339"/>
      <c r="P63" s="339"/>
      <c r="Q63" s="338"/>
      <c r="R63" s="339"/>
      <c r="S63" s="338"/>
      <c r="T63" s="338"/>
      <c r="U63" s="338"/>
      <c r="V63" s="550"/>
      <c r="W63" s="550"/>
      <c r="X63" s="339"/>
      <c r="Y63" s="339"/>
      <c r="Z63" s="340"/>
      <c r="AJ63" s="91"/>
      <c r="AK63" s="91"/>
      <c r="AL63" s="91"/>
      <c r="AM63" s="91"/>
      <c r="AN63" s="91"/>
      <c r="AO63" s="91"/>
      <c r="AP63" s="91"/>
      <c r="AQ63" s="91"/>
      <c r="AR63" s="91"/>
      <c r="AS63" s="91"/>
      <c r="AT63" s="1455"/>
      <c r="AU63" s="1455"/>
      <c r="AV63" s="1455"/>
      <c r="AW63" s="1455"/>
      <c r="AX63" s="91"/>
      <c r="AY63" s="91"/>
      <c r="AZ63" s="91"/>
      <c r="BA63" s="1455"/>
      <c r="BB63" s="1455"/>
      <c r="BC63" s="1455"/>
      <c r="BD63" s="1455"/>
    </row>
    <row r="64" spans="2:56" ht="15" customHeight="1">
      <c r="B64" s="172"/>
      <c r="AH64" s="93"/>
      <c r="AI64" s="93"/>
      <c r="AJ64" s="94"/>
      <c r="AK64" s="93"/>
      <c r="AL64" s="93"/>
      <c r="AM64" s="93"/>
      <c r="AN64" s="93"/>
      <c r="AO64" s="93"/>
    </row>
    <row r="65" spans="2:56" ht="15" customHeight="1">
      <c r="AH65" s="93"/>
      <c r="AI65" s="93"/>
      <c r="AJ65" s="94"/>
      <c r="AK65" s="93"/>
      <c r="AL65" s="93"/>
      <c r="AM65" s="93"/>
      <c r="AN65" s="93"/>
      <c r="AO65" s="93"/>
    </row>
    <row r="66" spans="2:56" s="90" customFormat="1" ht="16.2">
      <c r="B66" s="197" t="s">
        <v>455</v>
      </c>
      <c r="C66" s="86"/>
      <c r="Z66" s="1259" t="s">
        <v>1924</v>
      </c>
    </row>
    <row r="67" spans="2:56" ht="46.2" customHeight="1">
      <c r="B67" s="323" t="s">
        <v>178</v>
      </c>
      <c r="C67" s="324" t="s">
        <v>318</v>
      </c>
      <c r="D67" s="325"/>
      <c r="E67" s="326" t="s">
        <v>190</v>
      </c>
      <c r="F67" s="326" t="s">
        <v>190</v>
      </c>
      <c r="G67" s="326"/>
      <c r="H67" s="327"/>
      <c r="I67" s="326"/>
      <c r="J67" s="327"/>
      <c r="K67" s="326"/>
      <c r="L67" s="326"/>
      <c r="M67" s="326"/>
      <c r="N67" s="326"/>
      <c r="O67" s="327"/>
      <c r="P67" s="327"/>
      <c r="Q67" s="326"/>
      <c r="R67" s="327"/>
      <c r="S67" s="326"/>
      <c r="T67" s="326"/>
      <c r="U67" s="326"/>
      <c r="V67" s="326"/>
      <c r="W67" s="326"/>
      <c r="X67" s="327"/>
      <c r="Y67" s="327"/>
      <c r="Z67" s="328" t="s">
        <v>2230</v>
      </c>
      <c r="AH67" s="91"/>
      <c r="AI67" s="91"/>
      <c r="AJ67" s="95"/>
      <c r="AK67" s="95"/>
      <c r="AL67" s="95"/>
      <c r="AM67" s="95"/>
      <c r="AN67" s="95"/>
      <c r="AO67" s="95"/>
      <c r="AP67" s="1454"/>
      <c r="AQ67" s="1454"/>
      <c r="AR67" s="1454"/>
      <c r="AS67" s="1454"/>
      <c r="AT67" s="1454"/>
      <c r="AU67" s="1454"/>
      <c r="AV67" s="1454"/>
      <c r="AW67" s="1454"/>
      <c r="AX67" s="95"/>
      <c r="AY67" s="95"/>
      <c r="AZ67" s="95"/>
      <c r="BA67" s="1454"/>
      <c r="BB67" s="1454"/>
      <c r="BC67" s="1454"/>
      <c r="BD67" s="1454"/>
    </row>
    <row r="68" spans="2:56" ht="25.2" customHeight="1">
      <c r="B68" s="394" t="s">
        <v>304</v>
      </c>
      <c r="C68" s="1207" t="s">
        <v>90</v>
      </c>
      <c r="D68" s="1216"/>
      <c r="E68" s="1209" t="s">
        <v>137</v>
      </c>
      <c r="F68" s="1209" t="s">
        <v>137</v>
      </c>
      <c r="G68" s="1209"/>
      <c r="H68" s="1210" t="s">
        <v>138</v>
      </c>
      <c r="I68" s="332"/>
      <c r="J68" s="333"/>
      <c r="K68" s="332"/>
      <c r="L68" s="332"/>
      <c r="M68" s="332"/>
      <c r="N68" s="332"/>
      <c r="O68" s="333"/>
      <c r="P68" s="333"/>
      <c r="Q68" s="332"/>
      <c r="R68" s="333"/>
      <c r="S68" s="332"/>
      <c r="T68" s="332"/>
      <c r="U68" s="332"/>
      <c r="V68" s="332"/>
      <c r="W68" s="332"/>
      <c r="X68" s="333"/>
      <c r="Y68" s="333"/>
      <c r="Z68" s="1220" t="s">
        <v>1043</v>
      </c>
      <c r="AH68" s="91"/>
      <c r="AI68" s="91"/>
      <c r="AJ68" s="95"/>
      <c r="AK68" s="95"/>
      <c r="AL68" s="95"/>
      <c r="AM68" s="95"/>
      <c r="AN68" s="95"/>
      <c r="AO68" s="95"/>
      <c r="AP68" s="95"/>
      <c r="AQ68" s="95"/>
      <c r="AR68" s="95"/>
      <c r="AS68" s="95"/>
      <c r="AT68" s="95"/>
      <c r="AU68" s="95"/>
      <c r="AV68" s="95"/>
      <c r="AW68" s="95"/>
      <c r="AX68" s="95"/>
      <c r="AY68" s="95"/>
      <c r="AZ68" s="95"/>
      <c r="BA68" s="95"/>
      <c r="BB68" s="95"/>
      <c r="BC68" s="95"/>
      <c r="BD68" s="95"/>
    </row>
    <row r="69" spans="2:56" ht="25.2" customHeight="1">
      <c r="B69" s="394" t="s">
        <v>305</v>
      </c>
      <c r="C69" s="1207" t="s">
        <v>1372</v>
      </c>
      <c r="D69" s="1216"/>
      <c r="E69" s="1209" t="s">
        <v>190</v>
      </c>
      <c r="F69" s="1209" t="s">
        <v>190</v>
      </c>
      <c r="G69" s="1209"/>
      <c r="H69" s="1210"/>
      <c r="I69" s="332"/>
      <c r="J69" s="333"/>
      <c r="K69" s="332"/>
      <c r="L69" s="332"/>
      <c r="M69" s="332"/>
      <c r="N69" s="332"/>
      <c r="O69" s="333"/>
      <c r="P69" s="333"/>
      <c r="Q69" s="332"/>
      <c r="R69" s="333"/>
      <c r="S69" s="332"/>
      <c r="T69" s="332"/>
      <c r="U69" s="332"/>
      <c r="V69" s="332"/>
      <c r="W69" s="332"/>
      <c r="X69" s="333"/>
      <c r="Y69" s="333"/>
      <c r="Z69" s="1220"/>
      <c r="AJ69" s="91"/>
      <c r="AK69" s="91"/>
      <c r="AL69" s="91"/>
      <c r="AM69" s="91"/>
      <c r="AN69" s="91"/>
      <c r="AO69" s="91"/>
      <c r="AP69" s="91"/>
      <c r="AQ69" s="91"/>
      <c r="AR69" s="91"/>
      <c r="AS69" s="91"/>
      <c r="AT69" s="91"/>
      <c r="AU69" s="91"/>
      <c r="AV69" s="91"/>
      <c r="AW69" s="91"/>
      <c r="AX69" s="91"/>
      <c r="AY69" s="91"/>
      <c r="AZ69" s="91"/>
      <c r="BA69" s="91"/>
      <c r="BB69" s="91"/>
      <c r="BC69" s="91"/>
      <c r="BD69" s="91"/>
    </row>
    <row r="70" spans="2:56" ht="25.2" customHeight="1">
      <c r="B70" s="394" t="s">
        <v>306</v>
      </c>
      <c r="C70" s="1207" t="s">
        <v>1373</v>
      </c>
      <c r="D70" s="1216"/>
      <c r="E70" s="1209" t="s">
        <v>190</v>
      </c>
      <c r="F70" s="1209" t="s">
        <v>190</v>
      </c>
      <c r="G70" s="1209"/>
      <c r="H70" s="1210"/>
      <c r="I70" s="332"/>
      <c r="J70" s="333"/>
      <c r="K70" s="332"/>
      <c r="L70" s="332"/>
      <c r="M70" s="332"/>
      <c r="N70" s="332"/>
      <c r="O70" s="333"/>
      <c r="P70" s="333"/>
      <c r="Q70" s="332"/>
      <c r="R70" s="333"/>
      <c r="S70" s="332"/>
      <c r="T70" s="332"/>
      <c r="U70" s="332"/>
      <c r="V70" s="332"/>
      <c r="W70" s="332"/>
      <c r="X70" s="333"/>
      <c r="Y70" s="333"/>
      <c r="Z70" s="1220"/>
      <c r="AJ70" s="91"/>
      <c r="AK70" s="91"/>
      <c r="AL70" s="91"/>
      <c r="AM70" s="91"/>
      <c r="AN70" s="91"/>
      <c r="AO70" s="91"/>
      <c r="AP70" s="91"/>
      <c r="AQ70" s="91"/>
      <c r="AR70" s="91"/>
      <c r="AS70" s="91"/>
      <c r="AT70" s="91"/>
      <c r="AU70" s="91"/>
      <c r="AV70" s="91"/>
      <c r="AW70" s="91"/>
      <c r="AX70" s="91"/>
      <c r="AY70" s="91"/>
      <c r="AZ70" s="91"/>
      <c r="BA70" s="91"/>
      <c r="BB70" s="91"/>
      <c r="BC70" s="91"/>
      <c r="BD70" s="91"/>
    </row>
    <row r="71" spans="2:56" ht="48" customHeight="1">
      <c r="B71" s="394" t="s">
        <v>307</v>
      </c>
      <c r="C71" s="1225" t="s">
        <v>761</v>
      </c>
      <c r="D71" s="1216"/>
      <c r="E71" s="1209" t="s">
        <v>137</v>
      </c>
      <c r="F71" s="1209" t="s">
        <v>137</v>
      </c>
      <c r="G71" s="1209"/>
      <c r="H71" s="1210"/>
      <c r="I71" s="332"/>
      <c r="J71" s="333"/>
      <c r="K71" s="332"/>
      <c r="L71" s="332"/>
      <c r="M71" s="332"/>
      <c r="N71" s="332"/>
      <c r="O71" s="333"/>
      <c r="P71" s="333"/>
      <c r="Q71" s="332"/>
      <c r="R71" s="333"/>
      <c r="S71" s="332"/>
      <c r="T71" s="332"/>
      <c r="U71" s="332"/>
      <c r="V71" s="332"/>
      <c r="W71" s="332"/>
      <c r="X71" s="333"/>
      <c r="Y71" s="333"/>
      <c r="Z71" s="1220" t="s">
        <v>1035</v>
      </c>
      <c r="AH71" s="91"/>
      <c r="AI71" s="91"/>
      <c r="AJ71" s="95"/>
      <c r="AK71" s="95"/>
      <c r="AL71" s="95"/>
      <c r="AM71" s="95"/>
      <c r="AN71" s="95"/>
      <c r="AO71" s="95"/>
      <c r="AP71" s="95"/>
      <c r="AQ71" s="95"/>
      <c r="AR71" s="95"/>
      <c r="AS71" s="95"/>
      <c r="AT71" s="95"/>
      <c r="AU71" s="95"/>
      <c r="AV71" s="95"/>
      <c r="AW71" s="95"/>
      <c r="AX71" s="95"/>
      <c r="AY71" s="95"/>
      <c r="AZ71" s="95"/>
      <c r="BA71" s="95"/>
      <c r="BB71" s="95"/>
      <c r="BC71" s="95"/>
      <c r="BD71" s="95"/>
    </row>
    <row r="72" spans="2:56" ht="25.2" customHeight="1">
      <c r="B72" s="394" t="s">
        <v>308</v>
      </c>
      <c r="C72" s="1207" t="s">
        <v>170</v>
      </c>
      <c r="D72" s="1216"/>
      <c r="E72" s="1209" t="s">
        <v>190</v>
      </c>
      <c r="F72" s="1209" t="s">
        <v>190</v>
      </c>
      <c r="G72" s="1209"/>
      <c r="H72" s="1210" t="s">
        <v>191</v>
      </c>
      <c r="I72" s="332"/>
      <c r="J72" s="333"/>
      <c r="K72" s="332"/>
      <c r="L72" s="332"/>
      <c r="M72" s="332"/>
      <c r="N72" s="332"/>
      <c r="O72" s="333"/>
      <c r="P72" s="333"/>
      <c r="Q72" s="332"/>
      <c r="R72" s="333"/>
      <c r="S72" s="332"/>
      <c r="T72" s="332"/>
      <c r="U72" s="332"/>
      <c r="V72" s="332"/>
      <c r="W72" s="332"/>
      <c r="X72" s="333"/>
      <c r="Y72" s="333"/>
      <c r="Z72" s="1220" t="s">
        <v>1044</v>
      </c>
      <c r="AH72" s="91"/>
      <c r="AI72" s="91"/>
      <c r="AJ72" s="95"/>
      <c r="AK72" s="95"/>
      <c r="AL72" s="95"/>
      <c r="AM72" s="95"/>
      <c r="AN72" s="95"/>
      <c r="AO72" s="95"/>
      <c r="AP72" s="1454"/>
      <c r="AQ72" s="1454"/>
      <c r="AR72" s="1454"/>
      <c r="AS72" s="1454"/>
      <c r="AT72" s="1454"/>
      <c r="AU72" s="1454"/>
      <c r="AV72" s="1454"/>
      <c r="AW72" s="1454"/>
      <c r="AX72" s="95"/>
      <c r="AY72" s="95"/>
      <c r="AZ72" s="95"/>
      <c r="BA72" s="1454"/>
      <c r="BB72" s="1454"/>
      <c r="BC72" s="1454"/>
      <c r="BD72" s="1454"/>
    </row>
    <row r="73" spans="2:56" ht="25.2" customHeight="1">
      <c r="B73" s="394" t="s">
        <v>309</v>
      </c>
      <c r="C73" s="1207" t="s">
        <v>171</v>
      </c>
      <c r="D73" s="1216"/>
      <c r="E73" s="1209" t="s">
        <v>190</v>
      </c>
      <c r="F73" s="1209" t="s">
        <v>190</v>
      </c>
      <c r="G73" s="1209"/>
      <c r="H73" s="1210" t="s">
        <v>191</v>
      </c>
      <c r="I73" s="332"/>
      <c r="J73" s="333"/>
      <c r="K73" s="332"/>
      <c r="L73" s="332"/>
      <c r="M73" s="332"/>
      <c r="N73" s="332"/>
      <c r="O73" s="333"/>
      <c r="P73" s="333"/>
      <c r="Q73" s="332"/>
      <c r="R73" s="333"/>
      <c r="S73" s="332"/>
      <c r="T73" s="332"/>
      <c r="U73" s="332"/>
      <c r="V73" s="332"/>
      <c r="W73" s="332"/>
      <c r="X73" s="333"/>
      <c r="Y73" s="333"/>
      <c r="Z73" s="1220" t="s">
        <v>1011</v>
      </c>
      <c r="AJ73" s="95"/>
      <c r="AK73" s="95"/>
      <c r="AL73" s="95"/>
      <c r="AM73" s="95"/>
      <c r="AN73" s="95"/>
      <c r="AO73" s="95"/>
      <c r="AP73" s="1454"/>
      <c r="AQ73" s="1454"/>
      <c r="AR73" s="1454"/>
      <c r="AS73" s="1454"/>
      <c r="AT73" s="1454"/>
      <c r="AU73" s="1454"/>
      <c r="AV73" s="1454"/>
      <c r="AW73" s="1454"/>
      <c r="AX73" s="95"/>
      <c r="AY73" s="95"/>
      <c r="AZ73" s="95"/>
      <c r="BA73" s="1454"/>
      <c r="BB73" s="1454"/>
      <c r="BC73" s="1454"/>
      <c r="BD73" s="1454"/>
    </row>
    <row r="74" spans="2:56" ht="25.2" customHeight="1">
      <c r="B74" s="394" t="s">
        <v>310</v>
      </c>
      <c r="C74" s="1207" t="s">
        <v>762</v>
      </c>
      <c r="D74" s="1216"/>
      <c r="E74" s="1209" t="s">
        <v>190</v>
      </c>
      <c r="F74" s="1209" t="s">
        <v>190</v>
      </c>
      <c r="G74" s="1209" t="s">
        <v>190</v>
      </c>
      <c r="H74" s="1210"/>
      <c r="I74" s="332"/>
      <c r="J74" s="333"/>
      <c r="K74" s="332"/>
      <c r="L74" s="332"/>
      <c r="M74" s="332"/>
      <c r="N74" s="332"/>
      <c r="O74" s="333"/>
      <c r="P74" s="333"/>
      <c r="Q74" s="332"/>
      <c r="R74" s="333"/>
      <c r="S74" s="332"/>
      <c r="T74" s="332"/>
      <c r="U74" s="332"/>
      <c r="V74" s="332"/>
      <c r="W74" s="332"/>
      <c r="X74" s="333"/>
      <c r="Y74" s="333"/>
      <c r="Z74" s="1220" t="s">
        <v>2214</v>
      </c>
      <c r="AH74" s="92"/>
      <c r="AI74" s="92"/>
      <c r="AJ74" s="95"/>
      <c r="AK74" s="95"/>
      <c r="AL74" s="95"/>
      <c r="AM74" s="95"/>
      <c r="AN74" s="95"/>
      <c r="AO74" s="95"/>
      <c r="AP74" s="1454"/>
      <c r="AQ74" s="1454"/>
      <c r="AR74" s="1454"/>
      <c r="AS74" s="1454"/>
      <c r="AT74" s="1454"/>
      <c r="AU74" s="1454"/>
      <c r="AV74" s="1454"/>
      <c r="AW74" s="1454"/>
      <c r="AX74" s="95"/>
      <c r="AY74" s="95"/>
      <c r="AZ74" s="95"/>
      <c r="BA74" s="1454"/>
      <c r="BB74" s="1454"/>
      <c r="BC74" s="1454"/>
      <c r="BD74" s="1454"/>
    </row>
    <row r="75" spans="2:56" ht="25.2" customHeight="1">
      <c r="B75" s="394" t="s">
        <v>311</v>
      </c>
      <c r="C75" s="1207" t="s">
        <v>172</v>
      </c>
      <c r="D75" s="1216"/>
      <c r="E75" s="1209" t="s">
        <v>190</v>
      </c>
      <c r="F75" s="1209" t="s">
        <v>190</v>
      </c>
      <c r="G75" s="1209"/>
      <c r="H75" s="1210" t="s">
        <v>319</v>
      </c>
      <c r="I75" s="332"/>
      <c r="J75" s="333"/>
      <c r="K75" s="332"/>
      <c r="L75" s="332"/>
      <c r="M75" s="332"/>
      <c r="N75" s="332"/>
      <c r="O75" s="333"/>
      <c r="P75" s="333"/>
      <c r="Q75" s="332"/>
      <c r="R75" s="333"/>
      <c r="S75" s="332"/>
      <c r="T75" s="332"/>
      <c r="U75" s="332"/>
      <c r="V75" s="332"/>
      <c r="W75" s="332"/>
      <c r="X75" s="333"/>
      <c r="Y75" s="333"/>
      <c r="Z75" s="1220" t="s">
        <v>1045</v>
      </c>
      <c r="AH75" s="91"/>
      <c r="AI75" s="91"/>
      <c r="AJ75" s="95"/>
      <c r="AK75" s="95"/>
      <c r="AL75" s="95"/>
      <c r="AM75" s="95"/>
      <c r="AN75" s="95"/>
      <c r="AO75" s="95"/>
      <c r="AP75" s="1454"/>
      <c r="AQ75" s="1454"/>
      <c r="AR75" s="1454"/>
      <c r="AS75" s="1454"/>
      <c r="AT75" s="1454"/>
      <c r="AU75" s="1454"/>
      <c r="AV75" s="1454"/>
      <c r="AW75" s="1454"/>
      <c r="AX75" s="95"/>
      <c r="AY75" s="95"/>
      <c r="AZ75" s="95"/>
      <c r="BA75" s="1454"/>
      <c r="BB75" s="1454"/>
      <c r="BC75" s="1454"/>
      <c r="BD75" s="1454"/>
    </row>
    <row r="76" spans="2:56" ht="25.2" customHeight="1">
      <c r="B76" s="394" t="s">
        <v>312</v>
      </c>
      <c r="C76" s="1225" t="s">
        <v>1300</v>
      </c>
      <c r="D76" s="1216"/>
      <c r="E76" s="1209" t="s">
        <v>190</v>
      </c>
      <c r="F76" s="1209" t="s">
        <v>190</v>
      </c>
      <c r="G76" s="1209"/>
      <c r="H76" s="1210"/>
      <c r="I76" s="332"/>
      <c r="J76" s="333"/>
      <c r="K76" s="332"/>
      <c r="L76" s="332"/>
      <c r="M76" s="332"/>
      <c r="N76" s="332"/>
      <c r="O76" s="333"/>
      <c r="P76" s="333"/>
      <c r="Q76" s="332"/>
      <c r="R76" s="333"/>
      <c r="S76" s="332"/>
      <c r="T76" s="332"/>
      <c r="U76" s="332"/>
      <c r="V76" s="332"/>
      <c r="W76" s="332"/>
      <c r="X76" s="333"/>
      <c r="Y76" s="333"/>
      <c r="Z76" s="1220"/>
      <c r="AH76" s="91"/>
      <c r="AI76" s="91"/>
      <c r="AJ76" s="95"/>
      <c r="AK76" s="95"/>
      <c r="AL76" s="95"/>
      <c r="AM76" s="95"/>
      <c r="AN76" s="95"/>
      <c r="AO76" s="95"/>
      <c r="AP76" s="95"/>
      <c r="AQ76" s="95"/>
      <c r="AR76" s="95"/>
      <c r="AS76" s="95"/>
      <c r="AT76" s="95"/>
      <c r="AU76" s="95"/>
      <c r="AV76" s="95"/>
      <c r="AW76" s="95"/>
      <c r="AX76" s="95"/>
      <c r="AY76" s="95"/>
      <c r="AZ76" s="95"/>
      <c r="BA76" s="95"/>
      <c r="BB76" s="95"/>
      <c r="BC76" s="95"/>
      <c r="BD76" s="95"/>
    </row>
    <row r="77" spans="2:56" ht="25.2" customHeight="1">
      <c r="B77" s="394" t="s">
        <v>313</v>
      </c>
      <c r="C77" s="330" t="s">
        <v>173</v>
      </c>
      <c r="D77" s="331"/>
      <c r="E77" s="332" t="s">
        <v>190</v>
      </c>
      <c r="F77" s="332" t="s">
        <v>190</v>
      </c>
      <c r="G77" s="332"/>
      <c r="H77" s="333" t="s">
        <v>319</v>
      </c>
      <c r="I77" s="332"/>
      <c r="J77" s="333"/>
      <c r="K77" s="332"/>
      <c r="L77" s="332"/>
      <c r="M77" s="332"/>
      <c r="N77" s="332"/>
      <c r="O77" s="333"/>
      <c r="P77" s="333"/>
      <c r="Q77" s="332"/>
      <c r="R77" s="333"/>
      <c r="S77" s="332"/>
      <c r="T77" s="332"/>
      <c r="U77" s="332"/>
      <c r="V77" s="332"/>
      <c r="W77" s="332"/>
      <c r="X77" s="333"/>
      <c r="Y77" s="333"/>
      <c r="Z77" s="334" t="s">
        <v>1045</v>
      </c>
      <c r="AH77" s="91"/>
      <c r="AI77" s="91"/>
      <c r="AJ77" s="95"/>
      <c r="AK77" s="95"/>
      <c r="AL77" s="95"/>
      <c r="AM77" s="95"/>
      <c r="AN77" s="95"/>
      <c r="AO77" s="95"/>
      <c r="AP77" s="1454"/>
      <c r="AQ77" s="1454"/>
      <c r="AR77" s="1454"/>
      <c r="AS77" s="1454"/>
      <c r="AT77" s="1454"/>
      <c r="AU77" s="1454"/>
      <c r="AV77" s="1454"/>
      <c r="AW77" s="1454"/>
      <c r="AX77" s="95"/>
      <c r="AY77" s="95"/>
      <c r="AZ77" s="95"/>
      <c r="BA77" s="1454"/>
      <c r="BB77" s="1454"/>
      <c r="BC77" s="1454"/>
      <c r="BD77" s="1454"/>
    </row>
    <row r="78" spans="2:56" ht="25.2" customHeight="1">
      <c r="B78" s="394" t="s">
        <v>314</v>
      </c>
      <c r="C78" s="330" t="s">
        <v>174</v>
      </c>
      <c r="D78" s="331"/>
      <c r="E78" s="332" t="s">
        <v>190</v>
      </c>
      <c r="F78" s="332" t="s">
        <v>190</v>
      </c>
      <c r="G78" s="332"/>
      <c r="H78" s="333" t="s">
        <v>319</v>
      </c>
      <c r="I78" s="332"/>
      <c r="J78" s="333"/>
      <c r="K78" s="332"/>
      <c r="L78" s="332"/>
      <c r="M78" s="332"/>
      <c r="N78" s="332"/>
      <c r="O78" s="333"/>
      <c r="P78" s="333"/>
      <c r="Q78" s="332"/>
      <c r="R78" s="333"/>
      <c r="S78" s="332"/>
      <c r="T78" s="332"/>
      <c r="U78" s="332"/>
      <c r="V78" s="332"/>
      <c r="W78" s="332"/>
      <c r="X78" s="333"/>
      <c r="Y78" s="333"/>
      <c r="Z78" s="334" t="s">
        <v>1046</v>
      </c>
      <c r="AH78" s="91"/>
      <c r="AI78" s="91"/>
      <c r="AJ78" s="95"/>
      <c r="AK78" s="95"/>
      <c r="AL78" s="95"/>
      <c r="AM78" s="95"/>
      <c r="AN78" s="95"/>
      <c r="AO78" s="95"/>
      <c r="AP78" s="1454"/>
      <c r="AQ78" s="1454"/>
      <c r="AR78" s="1454"/>
      <c r="AS78" s="1454"/>
      <c r="AT78" s="1454"/>
      <c r="AU78" s="1454"/>
      <c r="AV78" s="1454"/>
      <c r="AW78" s="1454"/>
      <c r="AX78" s="95"/>
      <c r="AY78" s="95"/>
      <c r="AZ78" s="95"/>
      <c r="BA78" s="1454"/>
      <c r="BB78" s="1454"/>
      <c r="BC78" s="1454"/>
      <c r="BD78" s="1454"/>
    </row>
    <row r="79" spans="2:56" ht="25.2" customHeight="1">
      <c r="B79" s="394" t="s">
        <v>315</v>
      </c>
      <c r="C79" s="330" t="s">
        <v>175</v>
      </c>
      <c r="D79" s="332"/>
      <c r="E79" s="332" t="s">
        <v>190</v>
      </c>
      <c r="F79" s="332" t="s">
        <v>190</v>
      </c>
      <c r="G79" s="332"/>
      <c r="H79" s="333"/>
      <c r="I79" s="332"/>
      <c r="J79" s="333"/>
      <c r="K79" s="332"/>
      <c r="L79" s="332"/>
      <c r="M79" s="332"/>
      <c r="N79" s="332"/>
      <c r="O79" s="333"/>
      <c r="P79" s="333"/>
      <c r="Q79" s="332"/>
      <c r="R79" s="333"/>
      <c r="S79" s="332"/>
      <c r="T79" s="332"/>
      <c r="U79" s="332"/>
      <c r="V79" s="332"/>
      <c r="W79" s="332"/>
      <c r="X79" s="333"/>
      <c r="Y79" s="333"/>
      <c r="Z79" s="334"/>
      <c r="AH79" s="91"/>
      <c r="AI79" s="91"/>
      <c r="AJ79" s="95"/>
      <c r="AK79" s="95"/>
      <c r="AL79" s="95"/>
      <c r="AM79" s="95"/>
      <c r="AN79" s="95"/>
      <c r="AO79" s="95"/>
      <c r="AP79" s="1454"/>
      <c r="AQ79" s="1454"/>
      <c r="AR79" s="1454"/>
      <c r="AS79" s="1454"/>
      <c r="AT79" s="1454"/>
      <c r="AU79" s="1454"/>
      <c r="AV79" s="1454"/>
      <c r="AW79" s="1454"/>
      <c r="AX79" s="95"/>
      <c r="AY79" s="95"/>
      <c r="AZ79" s="95"/>
      <c r="BA79" s="1454"/>
      <c r="BB79" s="1454"/>
      <c r="BC79" s="1454"/>
      <c r="BD79" s="1454"/>
    </row>
    <row r="80" spans="2:56" ht="25.2" customHeight="1">
      <c r="B80" s="394" t="s">
        <v>316</v>
      </c>
      <c r="C80" s="330" t="s">
        <v>1028</v>
      </c>
      <c r="D80" s="331"/>
      <c r="E80" s="332" t="s">
        <v>190</v>
      </c>
      <c r="F80" s="332" t="s">
        <v>190</v>
      </c>
      <c r="G80" s="332"/>
      <c r="H80" s="333" t="s">
        <v>319</v>
      </c>
      <c r="I80" s="332"/>
      <c r="J80" s="333"/>
      <c r="K80" s="332"/>
      <c r="L80" s="332"/>
      <c r="M80" s="332"/>
      <c r="N80" s="332"/>
      <c r="O80" s="333"/>
      <c r="P80" s="333"/>
      <c r="Q80" s="332"/>
      <c r="R80" s="333"/>
      <c r="S80" s="332"/>
      <c r="T80" s="332"/>
      <c r="U80" s="332"/>
      <c r="V80" s="332"/>
      <c r="W80" s="332"/>
      <c r="X80" s="333"/>
      <c r="Y80" s="333"/>
      <c r="Z80" s="334" t="s">
        <v>1047</v>
      </c>
      <c r="AH80" s="91"/>
      <c r="AI80" s="91"/>
      <c r="AJ80" s="95"/>
      <c r="AK80" s="95"/>
      <c r="AL80" s="95"/>
      <c r="AM80" s="95"/>
      <c r="AN80" s="95"/>
      <c r="AO80" s="95"/>
      <c r="AP80" s="1454"/>
      <c r="AQ80" s="1454"/>
      <c r="AR80" s="1454"/>
      <c r="AS80" s="1454"/>
      <c r="AT80" s="1454"/>
      <c r="AU80" s="1454"/>
      <c r="AV80" s="1454"/>
      <c r="AW80" s="1454"/>
      <c r="AX80" s="95"/>
      <c r="AY80" s="95"/>
      <c r="AZ80" s="95"/>
      <c r="BA80" s="1454"/>
      <c r="BB80" s="1454"/>
      <c r="BC80" s="1454"/>
      <c r="BD80" s="1454"/>
    </row>
    <row r="81" spans="2:56" ht="25.2" customHeight="1">
      <c r="B81" s="394" t="s">
        <v>317</v>
      </c>
      <c r="C81" s="330" t="s">
        <v>763</v>
      </c>
      <c r="D81" s="331"/>
      <c r="E81" s="332" t="s">
        <v>190</v>
      </c>
      <c r="F81" s="332" t="s">
        <v>190</v>
      </c>
      <c r="G81" s="332"/>
      <c r="H81" s="333" t="s">
        <v>319</v>
      </c>
      <c r="I81" s="332"/>
      <c r="J81" s="333"/>
      <c r="K81" s="332"/>
      <c r="L81" s="332"/>
      <c r="M81" s="332"/>
      <c r="N81" s="332"/>
      <c r="O81" s="333"/>
      <c r="P81" s="333"/>
      <c r="Q81" s="332"/>
      <c r="R81" s="333"/>
      <c r="S81" s="332"/>
      <c r="T81" s="332"/>
      <c r="U81" s="332"/>
      <c r="V81" s="332"/>
      <c r="W81" s="332"/>
      <c r="X81" s="333"/>
      <c r="Y81" s="333"/>
      <c r="Z81" s="334" t="s">
        <v>1048</v>
      </c>
      <c r="AH81" s="91"/>
      <c r="AI81" s="91"/>
      <c r="AJ81" s="95"/>
      <c r="AK81" s="95"/>
      <c r="AL81" s="95"/>
      <c r="AM81" s="95"/>
      <c r="AN81" s="95"/>
      <c r="AO81" s="95"/>
      <c r="AP81" s="1454"/>
      <c r="AQ81" s="1454"/>
      <c r="AR81" s="1454"/>
      <c r="AS81" s="1454"/>
      <c r="AT81" s="1454"/>
      <c r="AU81" s="1454"/>
      <c r="AV81" s="1454"/>
      <c r="AW81" s="1454"/>
      <c r="AX81" s="95"/>
      <c r="AY81" s="95"/>
      <c r="AZ81" s="95"/>
      <c r="BA81" s="1454"/>
      <c r="BB81" s="1454"/>
      <c r="BC81" s="1454"/>
      <c r="BD81" s="1454"/>
    </row>
    <row r="82" spans="2:56" ht="25.2" customHeight="1">
      <c r="B82" s="394" t="s">
        <v>1025</v>
      </c>
      <c r="C82" s="330" t="s">
        <v>176</v>
      </c>
      <c r="D82" s="331"/>
      <c r="E82" s="332" t="s">
        <v>190</v>
      </c>
      <c r="F82" s="332" t="s">
        <v>190</v>
      </c>
      <c r="G82" s="332"/>
      <c r="H82" s="333" t="s">
        <v>319</v>
      </c>
      <c r="I82" s="332"/>
      <c r="J82" s="333"/>
      <c r="K82" s="332"/>
      <c r="L82" s="332"/>
      <c r="M82" s="332"/>
      <c r="N82" s="332"/>
      <c r="O82" s="333" t="s">
        <v>190</v>
      </c>
      <c r="P82" s="333" t="s">
        <v>190</v>
      </c>
      <c r="Q82" s="332"/>
      <c r="R82" s="333"/>
      <c r="S82" s="332"/>
      <c r="T82" s="332"/>
      <c r="U82" s="332"/>
      <c r="V82" s="332"/>
      <c r="W82" s="332"/>
      <c r="X82" s="333"/>
      <c r="Y82" s="333"/>
      <c r="Z82" s="334" t="s">
        <v>1049</v>
      </c>
      <c r="AH82" s="91"/>
      <c r="AI82" s="91"/>
      <c r="AJ82" s="95"/>
      <c r="AK82" s="95"/>
      <c r="AL82" s="95"/>
      <c r="AM82" s="95"/>
      <c r="AN82" s="95"/>
      <c r="AO82" s="95"/>
      <c r="AP82" s="1454"/>
      <c r="AQ82" s="1454"/>
      <c r="AR82" s="1454"/>
      <c r="AS82" s="1454"/>
      <c r="AT82" s="1454"/>
      <c r="AU82" s="1454"/>
      <c r="AV82" s="1454"/>
      <c r="AW82" s="1454"/>
      <c r="AX82" s="95"/>
      <c r="AY82" s="95"/>
      <c r="AZ82" s="95"/>
      <c r="BA82" s="1454"/>
      <c r="BB82" s="1454"/>
      <c r="BC82" s="1454"/>
      <c r="BD82" s="1454"/>
    </row>
    <row r="83" spans="2:56" ht="25.2" customHeight="1">
      <c r="B83" s="394" t="s">
        <v>1026</v>
      </c>
      <c r="C83" s="330" t="s">
        <v>764</v>
      </c>
      <c r="D83" s="331"/>
      <c r="E83" s="332" t="s">
        <v>190</v>
      </c>
      <c r="F83" s="332" t="s">
        <v>190</v>
      </c>
      <c r="G83" s="332"/>
      <c r="H83" s="333"/>
      <c r="I83" s="332"/>
      <c r="J83" s="333"/>
      <c r="K83" s="332"/>
      <c r="L83" s="332"/>
      <c r="M83" s="332"/>
      <c r="N83" s="332"/>
      <c r="O83" s="333"/>
      <c r="P83" s="333"/>
      <c r="Q83" s="332"/>
      <c r="R83" s="333"/>
      <c r="S83" s="332"/>
      <c r="T83" s="332"/>
      <c r="U83" s="332"/>
      <c r="V83" s="332"/>
      <c r="W83" s="332"/>
      <c r="X83" s="333"/>
      <c r="Y83" s="333"/>
      <c r="Z83" s="334"/>
      <c r="AH83" s="91"/>
      <c r="AI83" s="91"/>
      <c r="AJ83" s="95"/>
      <c r="AK83" s="95"/>
      <c r="AL83" s="95"/>
      <c r="AM83" s="95"/>
      <c r="AN83" s="95"/>
      <c r="AO83" s="95"/>
      <c r="AP83" s="95"/>
      <c r="AQ83" s="95"/>
      <c r="AR83" s="95"/>
      <c r="AS83" s="95"/>
      <c r="AT83" s="95"/>
      <c r="AU83" s="95"/>
      <c r="AV83" s="95"/>
      <c r="AW83" s="95"/>
      <c r="AX83" s="95"/>
      <c r="AY83" s="95"/>
      <c r="AZ83" s="95"/>
      <c r="BA83" s="95"/>
      <c r="BB83" s="95"/>
      <c r="BC83" s="95"/>
      <c r="BD83" s="95"/>
    </row>
    <row r="84" spans="2:56" ht="25.2" customHeight="1">
      <c r="B84" s="394" t="s">
        <v>1759</v>
      </c>
      <c r="C84" s="330" t="s">
        <v>765</v>
      </c>
      <c r="D84" s="331"/>
      <c r="E84" s="332" t="s">
        <v>190</v>
      </c>
      <c r="F84" s="332" t="s">
        <v>190</v>
      </c>
      <c r="G84" s="332"/>
      <c r="H84" s="333"/>
      <c r="I84" s="332"/>
      <c r="J84" s="333"/>
      <c r="K84" s="332"/>
      <c r="L84" s="332"/>
      <c r="M84" s="332"/>
      <c r="N84" s="332"/>
      <c r="O84" s="333"/>
      <c r="P84" s="333"/>
      <c r="Q84" s="332" t="s">
        <v>190</v>
      </c>
      <c r="R84" s="333"/>
      <c r="S84" s="332"/>
      <c r="T84" s="332"/>
      <c r="U84" s="332"/>
      <c r="V84" s="332"/>
      <c r="W84" s="332"/>
      <c r="X84" s="333"/>
      <c r="Y84" s="333"/>
      <c r="Z84" s="334"/>
      <c r="AH84" s="91"/>
      <c r="AI84" s="91"/>
      <c r="AJ84" s="95"/>
      <c r="AK84" s="95"/>
      <c r="AL84" s="95"/>
      <c r="AM84" s="95"/>
      <c r="AN84" s="95"/>
      <c r="AO84" s="95"/>
      <c r="AP84" s="1454"/>
      <c r="AQ84" s="1454"/>
      <c r="AR84" s="1454"/>
      <c r="AS84" s="1454"/>
      <c r="AT84" s="1454"/>
      <c r="AU84" s="1454"/>
      <c r="AV84" s="1454"/>
      <c r="AW84" s="1454"/>
      <c r="AX84" s="95"/>
      <c r="AY84" s="95"/>
      <c r="AZ84" s="95"/>
      <c r="BA84" s="1454"/>
      <c r="BB84" s="1454"/>
      <c r="BC84" s="1454"/>
      <c r="BD84" s="1454"/>
    </row>
    <row r="85" spans="2:56" ht="25.2" customHeight="1">
      <c r="B85" s="394" t="s">
        <v>1760</v>
      </c>
      <c r="C85" s="330" t="s">
        <v>113</v>
      </c>
      <c r="D85" s="331"/>
      <c r="E85" s="332" t="s">
        <v>190</v>
      </c>
      <c r="F85" s="332" t="s">
        <v>190</v>
      </c>
      <c r="G85" s="332"/>
      <c r="H85" s="333"/>
      <c r="I85" s="332"/>
      <c r="J85" s="333"/>
      <c r="K85" s="332"/>
      <c r="L85" s="332" t="s">
        <v>190</v>
      </c>
      <c r="M85" s="332"/>
      <c r="N85" s="332"/>
      <c r="O85" s="333"/>
      <c r="P85" s="333"/>
      <c r="Q85" s="332"/>
      <c r="R85" s="333"/>
      <c r="S85" s="332"/>
      <c r="T85" s="332"/>
      <c r="U85" s="332"/>
      <c r="V85" s="332"/>
      <c r="W85" s="332"/>
      <c r="X85" s="333"/>
      <c r="Y85" s="333"/>
      <c r="Z85" s="334" t="s">
        <v>1041</v>
      </c>
      <c r="AH85" s="91"/>
      <c r="AI85" s="91"/>
      <c r="AJ85" s="95"/>
      <c r="AK85" s="95"/>
      <c r="AL85" s="95"/>
      <c r="AM85" s="95"/>
      <c r="AN85" s="95"/>
      <c r="AO85" s="95"/>
      <c r="AP85" s="95"/>
      <c r="AQ85" s="95"/>
      <c r="AR85" s="95"/>
      <c r="AS85" s="95"/>
      <c r="AT85" s="95"/>
      <c r="AU85" s="95"/>
      <c r="AV85" s="95"/>
      <c r="AW85" s="95"/>
      <c r="AX85" s="95"/>
      <c r="AY85" s="95"/>
      <c r="AZ85" s="95"/>
      <c r="BA85" s="95"/>
      <c r="BB85" s="95"/>
      <c r="BC85" s="95"/>
      <c r="BD85" s="95"/>
    </row>
    <row r="86" spans="2:56" ht="25.2" customHeight="1">
      <c r="B86" s="336" t="s">
        <v>1761</v>
      </c>
      <c r="C86" s="554" t="s">
        <v>1006</v>
      </c>
      <c r="D86" s="549"/>
      <c r="E86" s="550" t="s">
        <v>190</v>
      </c>
      <c r="F86" s="550" t="s">
        <v>190</v>
      </c>
      <c r="G86" s="550"/>
      <c r="H86" s="555"/>
      <c r="I86" s="550"/>
      <c r="J86" s="555"/>
      <c r="K86" s="550"/>
      <c r="L86" s="550"/>
      <c r="M86" s="550"/>
      <c r="N86" s="550"/>
      <c r="O86" s="555"/>
      <c r="P86" s="555"/>
      <c r="Q86" s="550"/>
      <c r="R86" s="555"/>
      <c r="S86" s="550"/>
      <c r="T86" s="550"/>
      <c r="U86" s="550"/>
      <c r="V86" s="550"/>
      <c r="W86" s="550"/>
      <c r="X86" s="555"/>
      <c r="Y86" s="555"/>
      <c r="Z86" s="556"/>
      <c r="AH86" s="91"/>
      <c r="AI86" s="91"/>
      <c r="AJ86" s="95"/>
      <c r="AK86" s="95"/>
      <c r="AL86" s="95"/>
      <c r="AM86" s="95"/>
      <c r="AN86" s="95"/>
      <c r="AO86" s="95"/>
      <c r="AP86" s="1454"/>
      <c r="AQ86" s="1454"/>
      <c r="AR86" s="1454"/>
      <c r="AS86" s="1454"/>
      <c r="AT86" s="1454"/>
      <c r="AU86" s="1454"/>
      <c r="AV86" s="1454"/>
      <c r="AW86" s="1454"/>
      <c r="AX86" s="95"/>
      <c r="AY86" s="95"/>
      <c r="AZ86" s="95"/>
      <c r="BA86" s="1454"/>
      <c r="BB86" s="1454"/>
      <c r="BC86" s="1454"/>
      <c r="BD86" s="1454"/>
    </row>
    <row r="87" spans="2:56" ht="15" customHeight="1">
      <c r="Z87" s="100"/>
      <c r="AH87" s="91"/>
      <c r="AI87" s="91"/>
    </row>
    <row r="88" spans="2:56" ht="15" customHeight="1">
      <c r="Z88" s="100"/>
      <c r="AH88" s="91"/>
      <c r="AI88" s="91"/>
    </row>
    <row r="89" spans="2:56" ht="15" customHeight="1">
      <c r="Z89" s="100"/>
      <c r="AH89" s="91"/>
      <c r="AI89" s="91"/>
    </row>
    <row r="90" spans="2:56" s="90" customFormat="1" ht="16.2">
      <c r="B90" s="197" t="s">
        <v>456</v>
      </c>
      <c r="C90" s="86"/>
      <c r="D90" s="86"/>
      <c r="Z90" s="90" t="s">
        <v>177</v>
      </c>
    </row>
    <row r="91" spans="2:56" ht="25.2" customHeight="1">
      <c r="B91" s="323" t="s">
        <v>179</v>
      </c>
      <c r="C91" s="324" t="s">
        <v>90</v>
      </c>
      <c r="D91" s="325"/>
      <c r="E91" s="326" t="s">
        <v>137</v>
      </c>
      <c r="F91" s="326" t="s">
        <v>137</v>
      </c>
      <c r="G91" s="326"/>
      <c r="H91" s="327" t="s">
        <v>138</v>
      </c>
      <c r="I91" s="326"/>
      <c r="J91" s="327"/>
      <c r="K91" s="326"/>
      <c r="L91" s="326"/>
      <c r="M91" s="326"/>
      <c r="N91" s="326"/>
      <c r="O91" s="327"/>
      <c r="P91" s="327"/>
      <c r="Q91" s="326"/>
      <c r="R91" s="327"/>
      <c r="S91" s="326"/>
      <c r="T91" s="326"/>
      <c r="U91" s="326"/>
      <c r="V91" s="326"/>
      <c r="W91" s="326"/>
      <c r="X91" s="327"/>
      <c r="Y91" s="327"/>
      <c r="Z91" s="328" t="s">
        <v>1043</v>
      </c>
      <c r="AH91" s="91"/>
      <c r="AI91" s="91"/>
      <c r="AJ91" s="95"/>
      <c r="AK91" s="95"/>
      <c r="AL91" s="95"/>
      <c r="AM91" s="95"/>
      <c r="AN91" s="95"/>
      <c r="AO91" s="95"/>
      <c r="AP91" s="1454"/>
      <c r="AQ91" s="1454"/>
      <c r="AR91" s="1454"/>
      <c r="AS91" s="1454"/>
      <c r="AT91" s="1454"/>
      <c r="AU91" s="1454"/>
      <c r="AV91" s="1454"/>
      <c r="AW91" s="1454"/>
      <c r="AX91" s="95"/>
      <c r="AY91" s="95"/>
      <c r="AZ91" s="95"/>
      <c r="BA91" s="1454"/>
      <c r="BB91" s="1454"/>
      <c r="BC91" s="1454"/>
      <c r="BD91" s="1454"/>
    </row>
    <row r="92" spans="2:56" ht="25.2" customHeight="1">
      <c r="B92" s="329" t="s">
        <v>180</v>
      </c>
      <c r="C92" s="1207" t="s">
        <v>1372</v>
      </c>
      <c r="D92" s="331"/>
      <c r="E92" s="1395" t="s">
        <v>190</v>
      </c>
      <c r="F92" s="1395" t="s">
        <v>190</v>
      </c>
      <c r="G92" s="981"/>
      <c r="H92" s="333"/>
      <c r="I92" s="332"/>
      <c r="J92" s="333"/>
      <c r="K92" s="332"/>
      <c r="L92" s="332"/>
      <c r="M92" s="332"/>
      <c r="N92" s="332"/>
      <c r="O92" s="333"/>
      <c r="P92" s="333"/>
      <c r="Q92" s="332"/>
      <c r="R92" s="333"/>
      <c r="S92" s="332"/>
      <c r="T92" s="332"/>
      <c r="U92" s="332"/>
      <c r="V92" s="332"/>
      <c r="W92" s="332"/>
      <c r="X92" s="333"/>
      <c r="Y92" s="333"/>
      <c r="Z92" s="334"/>
      <c r="AJ92" s="91"/>
      <c r="AK92" s="91"/>
      <c r="AL92" s="91"/>
      <c r="AM92" s="91"/>
      <c r="AN92" s="91"/>
      <c r="AO92" s="91"/>
      <c r="AP92" s="91"/>
      <c r="AQ92" s="91"/>
      <c r="AR92" s="91"/>
      <c r="AS92" s="91"/>
      <c r="AT92" s="91"/>
      <c r="AU92" s="91"/>
      <c r="AV92" s="91"/>
      <c r="AW92" s="91"/>
      <c r="AX92" s="91"/>
      <c r="AY92" s="91"/>
      <c r="AZ92" s="91"/>
      <c r="BA92" s="91"/>
      <c r="BB92" s="91"/>
      <c r="BC92" s="91"/>
      <c r="BD92" s="91"/>
    </row>
    <row r="93" spans="2:56" ht="25.2" customHeight="1">
      <c r="B93" s="329" t="s">
        <v>181</v>
      </c>
      <c r="C93" s="1207" t="s">
        <v>1373</v>
      </c>
      <c r="D93" s="331"/>
      <c r="E93" s="1395" t="s">
        <v>190</v>
      </c>
      <c r="F93" s="1395" t="s">
        <v>190</v>
      </c>
      <c r="G93" s="981"/>
      <c r="H93" s="333"/>
      <c r="I93" s="332"/>
      <c r="J93" s="333"/>
      <c r="K93" s="332"/>
      <c r="L93" s="332"/>
      <c r="M93" s="332"/>
      <c r="N93" s="332"/>
      <c r="O93" s="333"/>
      <c r="P93" s="333"/>
      <c r="Q93" s="332"/>
      <c r="R93" s="333"/>
      <c r="S93" s="332"/>
      <c r="T93" s="332"/>
      <c r="U93" s="332"/>
      <c r="V93" s="332"/>
      <c r="W93" s="332"/>
      <c r="X93" s="333"/>
      <c r="Y93" s="333"/>
      <c r="Z93" s="334"/>
      <c r="AJ93" s="91"/>
      <c r="AK93" s="91"/>
      <c r="AL93" s="91"/>
      <c r="AM93" s="91"/>
      <c r="AN93" s="91"/>
      <c r="AO93" s="91"/>
      <c r="AP93" s="91"/>
      <c r="AQ93" s="91"/>
      <c r="AR93" s="91"/>
      <c r="AS93" s="91"/>
      <c r="AT93" s="91"/>
      <c r="AU93" s="91"/>
      <c r="AV93" s="91"/>
      <c r="AW93" s="91"/>
      <c r="AX93" s="91"/>
      <c r="AY93" s="91"/>
      <c r="AZ93" s="91"/>
      <c r="BA93" s="91"/>
      <c r="BB93" s="91"/>
      <c r="BC93" s="91"/>
      <c r="BD93" s="91"/>
    </row>
    <row r="94" spans="2:56" ht="25.2" customHeight="1">
      <c r="B94" s="329" t="s">
        <v>182</v>
      </c>
      <c r="C94" s="1207" t="s">
        <v>174</v>
      </c>
      <c r="D94" s="331"/>
      <c r="E94" s="332" t="s">
        <v>137</v>
      </c>
      <c r="F94" s="332" t="s">
        <v>137</v>
      </c>
      <c r="G94" s="332"/>
      <c r="H94" s="333" t="s">
        <v>138</v>
      </c>
      <c r="I94" s="332"/>
      <c r="J94" s="333"/>
      <c r="K94" s="332"/>
      <c r="L94" s="332"/>
      <c r="M94" s="332"/>
      <c r="N94" s="332"/>
      <c r="O94" s="333"/>
      <c r="P94" s="333"/>
      <c r="Q94" s="332"/>
      <c r="R94" s="333"/>
      <c r="S94" s="332"/>
      <c r="T94" s="332"/>
      <c r="U94" s="332"/>
      <c r="V94" s="332"/>
      <c r="W94" s="332"/>
      <c r="X94" s="333"/>
      <c r="Y94" s="333"/>
      <c r="Z94" s="334" t="s">
        <v>1046</v>
      </c>
      <c r="AJ94" s="95"/>
      <c r="AK94" s="95"/>
      <c r="AL94" s="95"/>
      <c r="AM94" s="95"/>
      <c r="AN94" s="95"/>
      <c r="AO94" s="95"/>
      <c r="AP94" s="1454"/>
      <c r="AQ94" s="1454"/>
      <c r="AR94" s="1454"/>
      <c r="AS94" s="1454"/>
      <c r="AT94" s="1454"/>
      <c r="AU94" s="1454"/>
      <c r="AV94" s="1454"/>
      <c r="AW94" s="1454"/>
      <c r="AX94" s="95"/>
      <c r="AY94" s="95"/>
      <c r="AZ94" s="95"/>
      <c r="BA94" s="1454"/>
      <c r="BB94" s="1454"/>
      <c r="BC94" s="1454"/>
      <c r="BD94" s="1454"/>
    </row>
    <row r="95" spans="2:56" ht="25.2" customHeight="1">
      <c r="B95" s="329" t="s">
        <v>183</v>
      </c>
      <c r="C95" s="1207" t="s">
        <v>175</v>
      </c>
      <c r="D95" s="332"/>
      <c r="E95" s="332" t="s">
        <v>190</v>
      </c>
      <c r="F95" s="332" t="s">
        <v>190</v>
      </c>
      <c r="G95" s="332"/>
      <c r="H95" s="333"/>
      <c r="I95" s="332"/>
      <c r="J95" s="333"/>
      <c r="K95" s="332"/>
      <c r="L95" s="332"/>
      <c r="M95" s="332"/>
      <c r="N95" s="332"/>
      <c r="O95" s="333"/>
      <c r="P95" s="333"/>
      <c r="Q95" s="332"/>
      <c r="R95" s="333"/>
      <c r="S95" s="332"/>
      <c r="T95" s="332"/>
      <c r="U95" s="332"/>
      <c r="V95" s="332"/>
      <c r="W95" s="332"/>
      <c r="X95" s="333"/>
      <c r="Y95" s="333"/>
      <c r="Z95" s="334"/>
      <c r="AH95" s="92"/>
      <c r="AI95" s="92"/>
      <c r="AJ95" s="95"/>
      <c r="AK95" s="95"/>
      <c r="AL95" s="95"/>
      <c r="AM95" s="95"/>
      <c r="AN95" s="95"/>
      <c r="AO95" s="95"/>
      <c r="AP95" s="1454"/>
      <c r="AQ95" s="1454"/>
      <c r="AR95" s="1454"/>
      <c r="AS95" s="1454"/>
      <c r="AT95" s="1454"/>
      <c r="AU95" s="1454"/>
      <c r="AV95" s="1454"/>
      <c r="AW95" s="1454"/>
      <c r="AX95" s="95"/>
      <c r="AY95" s="95"/>
      <c r="AZ95" s="95"/>
      <c r="BA95" s="1454"/>
      <c r="BB95" s="1454"/>
      <c r="BC95" s="1454"/>
      <c r="BD95" s="1454"/>
    </row>
    <row r="96" spans="2:56" ht="25.2" customHeight="1">
      <c r="B96" s="329" t="s">
        <v>184</v>
      </c>
      <c r="C96" s="1207" t="s">
        <v>1028</v>
      </c>
      <c r="D96" s="331"/>
      <c r="E96" s="332" t="s">
        <v>190</v>
      </c>
      <c r="F96" s="332" t="s">
        <v>190</v>
      </c>
      <c r="G96" s="332"/>
      <c r="H96" s="333" t="s">
        <v>319</v>
      </c>
      <c r="I96" s="332"/>
      <c r="J96" s="333"/>
      <c r="K96" s="332"/>
      <c r="L96" s="332"/>
      <c r="M96" s="332"/>
      <c r="N96" s="332"/>
      <c r="O96" s="333"/>
      <c r="P96" s="333"/>
      <c r="Q96" s="332"/>
      <c r="R96" s="333"/>
      <c r="S96" s="332"/>
      <c r="T96" s="332"/>
      <c r="U96" s="332"/>
      <c r="V96" s="332"/>
      <c r="W96" s="332"/>
      <c r="X96" s="333"/>
      <c r="Y96" s="333"/>
      <c r="Z96" s="334" t="s">
        <v>1047</v>
      </c>
      <c r="AH96" s="91"/>
      <c r="AI96" s="91"/>
      <c r="AJ96" s="95"/>
      <c r="AK96" s="95"/>
      <c r="AL96" s="95"/>
      <c r="AM96" s="95"/>
      <c r="AN96" s="95"/>
      <c r="AO96" s="95"/>
      <c r="AP96" s="1454"/>
      <c r="AQ96" s="1454"/>
      <c r="AR96" s="1454"/>
      <c r="AS96" s="1454"/>
      <c r="AT96" s="1454"/>
      <c r="AU96" s="1454"/>
      <c r="AV96" s="1454"/>
      <c r="AW96" s="1454"/>
      <c r="AX96" s="95"/>
      <c r="AY96" s="95"/>
      <c r="AZ96" s="95"/>
      <c r="BA96" s="1454"/>
      <c r="BB96" s="1454"/>
      <c r="BC96" s="1454"/>
      <c r="BD96" s="1454"/>
    </row>
    <row r="97" spans="2:56" ht="25.2" customHeight="1">
      <c r="B97" s="329" t="s">
        <v>185</v>
      </c>
      <c r="C97" s="1207" t="s">
        <v>763</v>
      </c>
      <c r="D97" s="331"/>
      <c r="E97" s="332" t="s">
        <v>190</v>
      </c>
      <c r="F97" s="332" t="s">
        <v>190</v>
      </c>
      <c r="G97" s="332"/>
      <c r="H97" s="333" t="s">
        <v>319</v>
      </c>
      <c r="I97" s="332"/>
      <c r="J97" s="333"/>
      <c r="K97" s="332"/>
      <c r="L97" s="332"/>
      <c r="M97" s="332"/>
      <c r="N97" s="332"/>
      <c r="O97" s="333"/>
      <c r="P97" s="333"/>
      <c r="Q97" s="332"/>
      <c r="R97" s="333"/>
      <c r="S97" s="332"/>
      <c r="T97" s="332"/>
      <c r="U97" s="332"/>
      <c r="V97" s="332"/>
      <c r="W97" s="332"/>
      <c r="X97" s="333"/>
      <c r="Y97" s="333"/>
      <c r="Z97" s="334" t="s">
        <v>1050</v>
      </c>
      <c r="AH97" s="91"/>
      <c r="AI97" s="91"/>
      <c r="AJ97" s="95"/>
      <c r="AK97" s="95"/>
      <c r="AL97" s="95"/>
      <c r="AM97" s="95"/>
      <c r="AN97" s="95"/>
      <c r="AO97" s="95"/>
      <c r="AP97" s="1454"/>
      <c r="AQ97" s="1454"/>
      <c r="AR97" s="1454"/>
      <c r="AS97" s="1454"/>
      <c r="AT97" s="1454"/>
      <c r="AU97" s="1454"/>
      <c r="AV97" s="1454"/>
      <c r="AW97" s="1454"/>
      <c r="AX97" s="95"/>
      <c r="AY97" s="95"/>
      <c r="AZ97" s="95"/>
      <c r="BA97" s="1454"/>
      <c r="BB97" s="1454"/>
      <c r="BC97" s="1454"/>
      <c r="BD97" s="1454"/>
    </row>
    <row r="98" spans="2:56" ht="25.2" customHeight="1">
      <c r="B98" s="329" t="s">
        <v>186</v>
      </c>
      <c r="C98" s="1207" t="s">
        <v>1762</v>
      </c>
      <c r="D98" s="331"/>
      <c r="E98" s="332" t="s">
        <v>190</v>
      </c>
      <c r="F98" s="332" t="s">
        <v>190</v>
      </c>
      <c r="G98" s="332"/>
      <c r="H98" s="333"/>
      <c r="I98" s="332"/>
      <c r="J98" s="333"/>
      <c r="K98" s="332"/>
      <c r="L98" s="332"/>
      <c r="M98" s="332"/>
      <c r="N98" s="332"/>
      <c r="O98" s="333"/>
      <c r="P98" s="333"/>
      <c r="Q98" s="332"/>
      <c r="R98" s="333"/>
      <c r="S98" s="332"/>
      <c r="T98" s="332"/>
      <c r="U98" s="332"/>
      <c r="V98" s="332"/>
      <c r="W98" s="332"/>
      <c r="X98" s="333"/>
      <c r="Y98" s="333"/>
      <c r="Z98" s="334"/>
      <c r="AH98" s="91"/>
      <c r="AI98" s="91"/>
      <c r="AJ98" s="95"/>
      <c r="AK98" s="95"/>
      <c r="AL98" s="95"/>
      <c r="AM98" s="95"/>
      <c r="AN98" s="95"/>
      <c r="AO98" s="95"/>
      <c r="AP98" s="1454"/>
      <c r="AQ98" s="1454"/>
      <c r="AR98" s="1454"/>
      <c r="AS98" s="1454"/>
      <c r="AT98" s="1454"/>
      <c r="AU98" s="1454"/>
      <c r="AV98" s="1454"/>
      <c r="AW98" s="1454"/>
      <c r="AX98" s="95"/>
      <c r="AY98" s="95"/>
      <c r="AZ98" s="95"/>
      <c r="BA98" s="1454"/>
      <c r="BB98" s="1454"/>
      <c r="BC98" s="1454"/>
      <c r="BD98" s="1454"/>
    </row>
    <row r="99" spans="2:56" ht="25.2" customHeight="1">
      <c r="B99" s="329" t="s">
        <v>187</v>
      </c>
      <c r="C99" s="395" t="s">
        <v>764</v>
      </c>
      <c r="D99" s="396"/>
      <c r="E99" s="397" t="s">
        <v>190</v>
      </c>
      <c r="F99" s="397" t="s">
        <v>190</v>
      </c>
      <c r="G99" s="397"/>
      <c r="H99" s="398"/>
      <c r="I99" s="397"/>
      <c r="J99" s="398"/>
      <c r="K99" s="397"/>
      <c r="L99" s="397"/>
      <c r="M99" s="397"/>
      <c r="N99" s="397"/>
      <c r="O99" s="398"/>
      <c r="P99" s="398"/>
      <c r="Q99" s="397"/>
      <c r="R99" s="398"/>
      <c r="S99" s="397"/>
      <c r="T99" s="397"/>
      <c r="U99" s="397"/>
      <c r="V99" s="397"/>
      <c r="W99" s="397"/>
      <c r="X99" s="398"/>
      <c r="Y99" s="398"/>
      <c r="Z99" s="400"/>
      <c r="AH99" s="91"/>
      <c r="AI99" s="91"/>
      <c r="AJ99" s="95"/>
      <c r="AK99" s="95"/>
      <c r="AL99" s="95"/>
      <c r="AM99" s="95"/>
      <c r="AN99" s="95"/>
      <c r="AO99" s="95"/>
      <c r="AP99" s="95"/>
      <c r="AQ99" s="95"/>
      <c r="AR99" s="95"/>
      <c r="AS99" s="95"/>
      <c r="AT99" s="95"/>
      <c r="AU99" s="95"/>
      <c r="AV99" s="95"/>
      <c r="AW99" s="95"/>
      <c r="AX99" s="95"/>
      <c r="AY99" s="95"/>
      <c r="AZ99" s="95"/>
      <c r="BA99" s="95"/>
      <c r="BB99" s="95"/>
      <c r="BC99" s="95"/>
      <c r="BD99" s="95"/>
    </row>
    <row r="100" spans="2:56" ht="25.2" customHeight="1">
      <c r="B100" s="329" t="s">
        <v>188</v>
      </c>
      <c r="C100" s="395" t="s">
        <v>113</v>
      </c>
      <c r="D100" s="331"/>
      <c r="E100" s="332" t="s">
        <v>190</v>
      </c>
      <c r="F100" s="332" t="s">
        <v>190</v>
      </c>
      <c r="G100" s="332"/>
      <c r="H100" s="333"/>
      <c r="I100" s="332"/>
      <c r="J100" s="333"/>
      <c r="K100" s="332"/>
      <c r="L100" s="332" t="s">
        <v>190</v>
      </c>
      <c r="M100" s="332"/>
      <c r="N100" s="332"/>
      <c r="O100" s="333"/>
      <c r="P100" s="333"/>
      <c r="Q100" s="333"/>
      <c r="R100" s="333"/>
      <c r="S100" s="332"/>
      <c r="T100" s="332"/>
      <c r="U100" s="332"/>
      <c r="V100" s="332"/>
      <c r="W100" s="332"/>
      <c r="X100" s="333"/>
      <c r="Y100" s="333"/>
      <c r="Z100" s="334" t="s">
        <v>1041</v>
      </c>
      <c r="AH100" s="91"/>
      <c r="AI100" s="91"/>
      <c r="AJ100" s="95"/>
      <c r="AK100" s="95"/>
      <c r="AL100" s="95"/>
      <c r="AM100" s="95"/>
      <c r="AN100" s="95"/>
      <c r="AO100" s="95"/>
      <c r="AP100" s="1454"/>
      <c r="AQ100" s="1454"/>
      <c r="AR100" s="1454"/>
      <c r="AS100" s="1454"/>
      <c r="AT100" s="1454"/>
      <c r="AU100" s="1454"/>
      <c r="AV100" s="1454"/>
      <c r="AW100" s="1454"/>
      <c r="AX100" s="95"/>
      <c r="AY100" s="95"/>
      <c r="AZ100" s="95"/>
      <c r="BA100" s="1454"/>
      <c r="BB100" s="1454"/>
      <c r="BC100" s="1454"/>
      <c r="BD100" s="1454"/>
    </row>
    <row r="101" spans="2:56" ht="25.2" customHeight="1">
      <c r="B101" s="336" t="s">
        <v>1027</v>
      </c>
      <c r="C101" s="337" t="s">
        <v>1006</v>
      </c>
      <c r="D101" s="549"/>
      <c r="E101" s="550" t="s">
        <v>190</v>
      </c>
      <c r="F101" s="550" t="s">
        <v>190</v>
      </c>
      <c r="G101" s="550"/>
      <c r="H101" s="555"/>
      <c r="I101" s="550"/>
      <c r="J101" s="555"/>
      <c r="K101" s="550"/>
      <c r="L101" s="550"/>
      <c r="M101" s="550"/>
      <c r="N101" s="550"/>
      <c r="O101" s="555"/>
      <c r="P101" s="555"/>
      <c r="Q101" s="550"/>
      <c r="R101" s="555"/>
      <c r="S101" s="550"/>
      <c r="T101" s="550"/>
      <c r="U101" s="550"/>
      <c r="V101" s="550"/>
      <c r="W101" s="550"/>
      <c r="X101" s="555"/>
      <c r="Y101" s="555"/>
      <c r="Z101" s="556"/>
      <c r="AH101" s="91"/>
      <c r="AI101" s="91"/>
      <c r="AJ101" s="95"/>
      <c r="AK101" s="95"/>
      <c r="AL101" s="95"/>
      <c r="AM101" s="95"/>
      <c r="AN101" s="95"/>
      <c r="AO101" s="95"/>
      <c r="AP101" s="1454"/>
      <c r="AQ101" s="1454"/>
      <c r="AR101" s="1454"/>
      <c r="AS101" s="1454"/>
      <c r="AT101" s="1454"/>
      <c r="AU101" s="1454"/>
      <c r="AV101" s="1454"/>
      <c r="AW101" s="1454"/>
      <c r="AX101" s="95"/>
      <c r="AY101" s="95"/>
      <c r="AZ101" s="95"/>
      <c r="BA101" s="1454"/>
      <c r="BB101" s="1454"/>
      <c r="BC101" s="1454"/>
      <c r="BD101" s="1454"/>
    </row>
    <row r="102" spans="2:56" ht="15" customHeight="1">
      <c r="B102" s="597"/>
      <c r="E102" s="96"/>
      <c r="F102" s="96"/>
      <c r="G102" s="96"/>
      <c r="H102" s="96"/>
      <c r="I102" s="96"/>
      <c r="J102" s="96"/>
      <c r="K102" s="96"/>
      <c r="L102" s="96"/>
      <c r="M102" s="96"/>
      <c r="N102" s="96"/>
      <c r="O102" s="96"/>
      <c r="P102" s="96"/>
      <c r="Q102" s="96"/>
      <c r="R102" s="96"/>
      <c r="S102" s="96"/>
      <c r="T102" s="96"/>
      <c r="U102" s="96"/>
      <c r="V102" s="96"/>
      <c r="W102" s="96"/>
      <c r="X102" s="96"/>
      <c r="Y102" s="96"/>
      <c r="Z102" s="100"/>
      <c r="AH102" s="91"/>
      <c r="AI102" s="91"/>
      <c r="AJ102" s="95"/>
      <c r="AK102" s="95"/>
      <c r="AL102" s="95"/>
      <c r="AM102" s="95"/>
      <c r="AN102" s="95"/>
      <c r="AO102" s="95"/>
      <c r="AP102" s="95"/>
      <c r="AQ102" s="95"/>
      <c r="AR102" s="95"/>
      <c r="AS102" s="95"/>
      <c r="AT102" s="95"/>
      <c r="AU102" s="95"/>
      <c r="AV102" s="95"/>
      <c r="AW102" s="95"/>
      <c r="AX102" s="95"/>
      <c r="AY102" s="95"/>
      <c r="AZ102" s="95"/>
      <c r="BA102" s="95"/>
      <c r="BB102" s="95"/>
      <c r="BC102" s="95"/>
      <c r="BD102" s="95"/>
    </row>
    <row r="103" spans="2:56" ht="15" customHeight="1">
      <c r="B103" s="597"/>
      <c r="E103" s="96"/>
      <c r="F103" s="96"/>
      <c r="G103" s="96"/>
      <c r="H103" s="96"/>
      <c r="I103" s="96"/>
      <c r="J103" s="96"/>
      <c r="K103" s="96"/>
      <c r="L103" s="96"/>
      <c r="M103" s="96"/>
      <c r="N103" s="96"/>
      <c r="O103" s="96"/>
      <c r="P103" s="96"/>
      <c r="Q103" s="96"/>
      <c r="R103" s="96"/>
      <c r="S103" s="96"/>
      <c r="T103" s="96"/>
      <c r="U103" s="96"/>
      <c r="V103" s="96"/>
      <c r="W103" s="96"/>
      <c r="X103" s="96"/>
      <c r="Y103" s="96"/>
      <c r="Z103" s="100"/>
      <c r="AH103" s="91"/>
      <c r="AI103" s="91"/>
      <c r="AJ103" s="95"/>
      <c r="AK103" s="95"/>
      <c r="AL103" s="95"/>
      <c r="AM103" s="95"/>
      <c r="AN103" s="95"/>
      <c r="AO103" s="95"/>
      <c r="AP103" s="95"/>
      <c r="AQ103" s="95"/>
      <c r="AR103" s="95"/>
      <c r="AS103" s="95"/>
      <c r="AT103" s="95"/>
      <c r="AU103" s="95"/>
      <c r="AV103" s="95"/>
      <c r="AW103" s="95"/>
      <c r="AX103" s="95"/>
      <c r="AY103" s="95"/>
      <c r="AZ103" s="95"/>
      <c r="BA103" s="95"/>
      <c r="BB103" s="95"/>
      <c r="BC103" s="95"/>
      <c r="BD103" s="95"/>
    </row>
    <row r="104" spans="2:56" s="90" customFormat="1" ht="16.2">
      <c r="B104" s="197" t="s">
        <v>459</v>
      </c>
      <c r="D104" s="90" t="s">
        <v>322</v>
      </c>
      <c r="AH104" s="91"/>
      <c r="AI104" s="91"/>
    </row>
    <row r="105" spans="2:56" ht="25.2" customHeight="1">
      <c r="B105" s="323" t="s">
        <v>328</v>
      </c>
      <c r="C105" s="324" t="s">
        <v>108</v>
      </c>
      <c r="D105" s="325" t="s">
        <v>164</v>
      </c>
      <c r="E105" s="326" t="s">
        <v>137</v>
      </c>
      <c r="F105" s="326" t="s">
        <v>137</v>
      </c>
      <c r="G105" s="326"/>
      <c r="H105" s="327" t="s">
        <v>138</v>
      </c>
      <c r="I105" s="326"/>
      <c r="J105" s="327"/>
      <c r="K105" s="326"/>
      <c r="L105" s="326"/>
      <c r="M105" s="326"/>
      <c r="N105" s="326"/>
      <c r="O105" s="327"/>
      <c r="P105" s="327"/>
      <c r="Q105" s="326"/>
      <c r="R105" s="327"/>
      <c r="S105" s="326"/>
      <c r="T105" s="326"/>
      <c r="U105" s="326"/>
      <c r="V105" s="326"/>
      <c r="W105" s="326"/>
      <c r="X105" s="327"/>
      <c r="Y105" s="327"/>
      <c r="Z105" s="328" t="s">
        <v>1038</v>
      </c>
      <c r="AH105" s="91"/>
      <c r="AI105" s="91"/>
      <c r="AJ105" s="95"/>
      <c r="AK105" s="95"/>
      <c r="AL105" s="95"/>
      <c r="AM105" s="95"/>
      <c r="AN105" s="95"/>
      <c r="AO105" s="95"/>
      <c r="AP105" s="1454"/>
      <c r="AQ105" s="1454"/>
      <c r="AR105" s="1454"/>
      <c r="AS105" s="1454"/>
      <c r="AT105" s="1454"/>
      <c r="AU105" s="1454"/>
      <c r="AV105" s="1454"/>
      <c r="AW105" s="1454"/>
      <c r="AX105" s="95"/>
      <c r="AY105" s="95"/>
      <c r="AZ105" s="95"/>
      <c r="BA105" s="1454"/>
      <c r="BB105" s="1454"/>
      <c r="BC105" s="1454"/>
      <c r="BD105" s="1454"/>
    </row>
    <row r="106" spans="2:56" ht="25.2" customHeight="1">
      <c r="B106" s="329" t="s">
        <v>329</v>
      </c>
      <c r="C106" s="1207" t="s">
        <v>90</v>
      </c>
      <c r="D106" s="1216" t="s">
        <v>164</v>
      </c>
      <c r="E106" s="1209" t="s">
        <v>137</v>
      </c>
      <c r="F106" s="1209" t="s">
        <v>137</v>
      </c>
      <c r="G106" s="1209"/>
      <c r="H106" s="1210" t="s">
        <v>138</v>
      </c>
      <c r="I106" s="332"/>
      <c r="J106" s="333"/>
      <c r="K106" s="332"/>
      <c r="L106" s="332"/>
      <c r="M106" s="332"/>
      <c r="N106" s="332"/>
      <c r="O106" s="333"/>
      <c r="P106" s="333"/>
      <c r="Q106" s="332"/>
      <c r="R106" s="333"/>
      <c r="S106" s="332"/>
      <c r="T106" s="332"/>
      <c r="U106" s="332"/>
      <c r="V106" s="332"/>
      <c r="W106" s="332"/>
      <c r="X106" s="333"/>
      <c r="Y106" s="333"/>
      <c r="Z106" s="334" t="s">
        <v>1039</v>
      </c>
      <c r="AH106" s="91"/>
      <c r="AI106" s="91"/>
      <c r="AJ106" s="95"/>
      <c r="AK106" s="95"/>
      <c r="AL106" s="95"/>
      <c r="AM106" s="95"/>
      <c r="AN106" s="95"/>
      <c r="AO106" s="95"/>
      <c r="AP106" s="1454"/>
      <c r="AQ106" s="1454"/>
      <c r="AR106" s="1454"/>
      <c r="AS106" s="1454"/>
      <c r="AT106" s="1454"/>
      <c r="AU106" s="1454"/>
      <c r="AV106" s="1454"/>
      <c r="AW106" s="1454"/>
      <c r="AX106" s="95"/>
      <c r="AY106" s="95"/>
      <c r="AZ106" s="95"/>
      <c r="BA106" s="1454"/>
      <c r="BB106" s="1454"/>
      <c r="BC106" s="1454"/>
      <c r="BD106" s="1454"/>
    </row>
    <row r="107" spans="2:56" ht="25.2" customHeight="1">
      <c r="B107" s="329" t="s">
        <v>330</v>
      </c>
      <c r="C107" s="1207" t="s">
        <v>91</v>
      </c>
      <c r="D107" s="1216" t="s">
        <v>164</v>
      </c>
      <c r="E107" s="1209" t="s">
        <v>190</v>
      </c>
      <c r="F107" s="1209" t="s">
        <v>386</v>
      </c>
      <c r="G107" s="1209" t="s">
        <v>190</v>
      </c>
      <c r="H107" s="1210" t="s">
        <v>191</v>
      </c>
      <c r="I107" s="332"/>
      <c r="J107" s="333"/>
      <c r="K107" s="332"/>
      <c r="L107" s="332"/>
      <c r="M107" s="332"/>
      <c r="N107" s="332"/>
      <c r="O107" s="333"/>
      <c r="P107" s="333"/>
      <c r="Q107" s="332"/>
      <c r="R107" s="333"/>
      <c r="S107" s="332"/>
      <c r="T107" s="332"/>
      <c r="U107" s="332"/>
      <c r="V107" s="332"/>
      <c r="W107" s="332"/>
      <c r="X107" s="333"/>
      <c r="Y107" s="333"/>
      <c r="Z107" s="334" t="s">
        <v>1922</v>
      </c>
      <c r="AH107" s="91"/>
      <c r="AI107" s="91"/>
      <c r="AJ107" s="95"/>
      <c r="AK107" s="95"/>
      <c r="AL107" s="95"/>
      <c r="AM107" s="95"/>
      <c r="AN107" s="95"/>
      <c r="AO107" s="95"/>
      <c r="AP107" s="1454"/>
      <c r="AQ107" s="1454"/>
      <c r="AR107" s="1454"/>
      <c r="AS107" s="1454"/>
      <c r="AT107" s="1454"/>
      <c r="AU107" s="1454"/>
      <c r="AV107" s="1454"/>
      <c r="AW107" s="1454"/>
      <c r="AX107" s="95"/>
      <c r="AY107" s="95"/>
      <c r="AZ107" s="95"/>
      <c r="BA107" s="1454"/>
      <c r="BB107" s="1454"/>
      <c r="BC107" s="1454"/>
      <c r="BD107" s="1454"/>
    </row>
    <row r="108" spans="2:56" s="1377" customFormat="1" ht="25.2" customHeight="1">
      <c r="B108" s="329" t="s">
        <v>331</v>
      </c>
      <c r="C108" s="1380" t="s">
        <v>110</v>
      </c>
      <c r="D108" s="1381" t="s">
        <v>164</v>
      </c>
      <c r="E108" s="1382" t="s">
        <v>190</v>
      </c>
      <c r="F108" s="1382" t="s">
        <v>190</v>
      </c>
      <c r="G108" s="1382"/>
      <c r="H108" s="1383"/>
      <c r="I108" s="1384"/>
      <c r="J108" s="1385"/>
      <c r="K108" s="1384"/>
      <c r="L108" s="1384"/>
      <c r="M108" s="1384"/>
      <c r="N108" s="1384"/>
      <c r="O108" s="1385"/>
      <c r="P108" s="1385"/>
      <c r="Q108" s="1384"/>
      <c r="R108" s="1385"/>
      <c r="S108" s="1384"/>
      <c r="T108" s="1384"/>
      <c r="U108" s="1384"/>
      <c r="V108" s="1384"/>
      <c r="W108" s="1384"/>
      <c r="X108" s="1385"/>
      <c r="Y108" s="1385"/>
      <c r="Z108" s="1386"/>
      <c r="AJ108" s="1376"/>
      <c r="AK108" s="1376"/>
      <c r="AL108" s="1376"/>
      <c r="AM108" s="1376"/>
      <c r="AN108" s="1376"/>
      <c r="AO108" s="1376"/>
      <c r="AP108" s="1376"/>
      <c r="AQ108" s="1376"/>
      <c r="AR108" s="1376"/>
      <c r="AS108" s="1376"/>
      <c r="AT108" s="1376"/>
      <c r="AU108" s="1376"/>
      <c r="AV108" s="1376"/>
      <c r="AW108" s="1376"/>
      <c r="AX108" s="1376"/>
      <c r="AY108" s="1376"/>
      <c r="AZ108" s="1376"/>
      <c r="BA108" s="1376"/>
      <c r="BB108" s="1376"/>
      <c r="BC108" s="1455"/>
      <c r="BD108" s="1455"/>
    </row>
    <row r="109" spans="2:56" ht="25.2" customHeight="1">
      <c r="B109" s="329" t="s">
        <v>332</v>
      </c>
      <c r="C109" s="1207" t="s">
        <v>1372</v>
      </c>
      <c r="D109" s="1216" t="s">
        <v>164</v>
      </c>
      <c r="E109" s="1209" t="s">
        <v>190</v>
      </c>
      <c r="F109" s="1209" t="s">
        <v>190</v>
      </c>
      <c r="G109" s="1209"/>
      <c r="H109" s="1210"/>
      <c r="I109" s="332"/>
      <c r="J109" s="333"/>
      <c r="K109" s="332"/>
      <c r="L109" s="332"/>
      <c r="M109" s="332"/>
      <c r="N109" s="332"/>
      <c r="O109" s="333"/>
      <c r="P109" s="333"/>
      <c r="Q109" s="332"/>
      <c r="R109" s="333"/>
      <c r="S109" s="332"/>
      <c r="T109" s="332"/>
      <c r="U109" s="332"/>
      <c r="V109" s="332"/>
      <c r="W109" s="332"/>
      <c r="X109" s="333"/>
      <c r="Y109" s="333"/>
      <c r="Z109" s="334"/>
      <c r="AJ109" s="91"/>
      <c r="AK109" s="91"/>
      <c r="AL109" s="91"/>
      <c r="AM109" s="91"/>
      <c r="AN109" s="91"/>
      <c r="AO109" s="91"/>
      <c r="AP109" s="91"/>
      <c r="AQ109" s="91"/>
      <c r="AR109" s="91"/>
      <c r="AS109" s="91"/>
      <c r="AT109" s="91"/>
      <c r="AU109" s="91"/>
      <c r="AV109" s="91"/>
      <c r="AW109" s="91"/>
      <c r="AX109" s="91"/>
      <c r="AY109" s="91"/>
      <c r="AZ109" s="91"/>
      <c r="BA109" s="91"/>
      <c r="BB109" s="91"/>
      <c r="BC109" s="91"/>
      <c r="BD109" s="91"/>
    </row>
    <row r="110" spans="2:56" ht="25.2" customHeight="1">
      <c r="B110" s="329" t="s">
        <v>333</v>
      </c>
      <c r="C110" s="1207" t="s">
        <v>1373</v>
      </c>
      <c r="D110" s="1216" t="s">
        <v>164</v>
      </c>
      <c r="E110" s="1209" t="s">
        <v>190</v>
      </c>
      <c r="F110" s="1209" t="s">
        <v>190</v>
      </c>
      <c r="G110" s="1209"/>
      <c r="H110" s="1210"/>
      <c r="I110" s="332"/>
      <c r="J110" s="333"/>
      <c r="K110" s="332"/>
      <c r="L110" s="332"/>
      <c r="M110" s="332"/>
      <c r="N110" s="332"/>
      <c r="O110" s="333"/>
      <c r="P110" s="333"/>
      <c r="Q110" s="332"/>
      <c r="R110" s="333"/>
      <c r="S110" s="332"/>
      <c r="T110" s="332"/>
      <c r="U110" s="332"/>
      <c r="V110" s="332"/>
      <c r="W110" s="332"/>
      <c r="X110" s="333"/>
      <c r="Y110" s="333"/>
      <c r="Z110" s="334"/>
      <c r="AJ110" s="91"/>
      <c r="AK110" s="91"/>
      <c r="AL110" s="91"/>
      <c r="AM110" s="91"/>
      <c r="AN110" s="91"/>
      <c r="AO110" s="91"/>
      <c r="AP110" s="91"/>
      <c r="AQ110" s="91"/>
      <c r="AR110" s="91"/>
      <c r="AS110" s="91"/>
      <c r="AT110" s="91"/>
      <c r="AU110" s="91"/>
      <c r="AV110" s="91"/>
      <c r="AW110" s="91"/>
      <c r="AX110" s="91"/>
      <c r="AY110" s="91"/>
      <c r="AZ110" s="91"/>
      <c r="BA110" s="91"/>
      <c r="BB110" s="91"/>
      <c r="BC110" s="91"/>
      <c r="BD110" s="91"/>
    </row>
    <row r="111" spans="2:56" ht="25.2" customHeight="1">
      <c r="B111" s="329" t="s">
        <v>334</v>
      </c>
      <c r="C111" s="1207" t="s">
        <v>109</v>
      </c>
      <c r="D111" s="1216" t="s">
        <v>164</v>
      </c>
      <c r="E111" s="1209" t="s">
        <v>190</v>
      </c>
      <c r="F111" s="1209" t="s">
        <v>190</v>
      </c>
      <c r="G111" s="1209"/>
      <c r="H111" s="1210"/>
      <c r="I111" s="332"/>
      <c r="J111" s="333"/>
      <c r="K111" s="332"/>
      <c r="L111" s="332"/>
      <c r="M111" s="332"/>
      <c r="N111" s="332"/>
      <c r="O111" s="333"/>
      <c r="P111" s="333"/>
      <c r="Q111" s="332"/>
      <c r="R111" s="333"/>
      <c r="S111" s="332"/>
      <c r="T111" s="332"/>
      <c r="U111" s="332"/>
      <c r="V111" s="332"/>
      <c r="W111" s="332"/>
      <c r="X111" s="333"/>
      <c r="Y111" s="333"/>
      <c r="Z111" s="334" t="s">
        <v>2241</v>
      </c>
      <c r="AA111" s="91"/>
      <c r="AB111" s="91"/>
      <c r="AC111" s="91"/>
      <c r="AD111" s="91"/>
      <c r="AE111" s="91"/>
      <c r="AF111" s="91"/>
      <c r="AG111" s="91"/>
      <c r="AH111" s="91"/>
      <c r="AI111" s="91"/>
      <c r="AJ111" s="95"/>
      <c r="AK111" s="95"/>
      <c r="AL111" s="95"/>
      <c r="AM111" s="95"/>
      <c r="AN111" s="95"/>
      <c r="AO111" s="95"/>
      <c r="AP111" s="1454"/>
      <c r="AQ111" s="1454"/>
      <c r="AR111" s="1454"/>
      <c r="AS111" s="1454"/>
      <c r="AT111" s="1454"/>
      <c r="AU111" s="1454"/>
      <c r="AV111" s="1454"/>
      <c r="AW111" s="1454"/>
      <c r="AX111" s="95"/>
      <c r="AY111" s="95"/>
      <c r="AZ111" s="95"/>
      <c r="BA111" s="1454"/>
      <c r="BB111" s="1454"/>
      <c r="BC111" s="1454"/>
      <c r="BD111" s="1454"/>
    </row>
    <row r="112" spans="2:56" ht="25.2" customHeight="1">
      <c r="B112" s="329" t="s">
        <v>335</v>
      </c>
      <c r="C112" s="387" t="s">
        <v>742</v>
      </c>
      <c r="D112" s="331" t="s">
        <v>327</v>
      </c>
      <c r="E112" s="1209" t="s">
        <v>190</v>
      </c>
      <c r="F112" s="1209" t="s">
        <v>190</v>
      </c>
      <c r="G112" s="1209"/>
      <c r="H112" s="1210" t="s">
        <v>191</v>
      </c>
      <c r="I112" s="332"/>
      <c r="J112" s="333"/>
      <c r="K112" s="332"/>
      <c r="L112" s="332"/>
      <c r="M112" s="332"/>
      <c r="N112" s="332"/>
      <c r="O112" s="333"/>
      <c r="P112" s="333"/>
      <c r="Q112" s="332"/>
      <c r="R112" s="333"/>
      <c r="S112" s="332"/>
      <c r="T112" s="332"/>
      <c r="U112" s="332"/>
      <c r="V112" s="332"/>
      <c r="W112" s="332"/>
      <c r="X112" s="333"/>
      <c r="Y112" s="333"/>
      <c r="Z112" s="334" t="s">
        <v>737</v>
      </c>
      <c r="AJ112" s="91"/>
      <c r="AK112" s="91"/>
      <c r="AL112" s="91"/>
      <c r="AM112" s="91"/>
      <c r="AN112" s="91"/>
      <c r="AO112" s="91"/>
      <c r="AP112" s="91"/>
      <c r="AQ112" s="91"/>
      <c r="AR112" s="91"/>
      <c r="AS112" s="91"/>
      <c r="AT112" s="91"/>
      <c r="AU112" s="91"/>
      <c r="AV112" s="91"/>
      <c r="AW112" s="91"/>
      <c r="AX112" s="91"/>
      <c r="AY112" s="91"/>
      <c r="AZ112" s="91"/>
      <c r="BA112" s="91"/>
      <c r="BB112" s="91"/>
      <c r="BC112" s="91"/>
      <c r="BD112" s="91"/>
    </row>
    <row r="113" spans="2:56" ht="25.2" customHeight="1">
      <c r="B113" s="329" t="s">
        <v>336</v>
      </c>
      <c r="C113" s="387" t="s">
        <v>743</v>
      </c>
      <c r="D113" s="331" t="s">
        <v>327</v>
      </c>
      <c r="E113" s="1209" t="s">
        <v>190</v>
      </c>
      <c r="F113" s="1209" t="s">
        <v>190</v>
      </c>
      <c r="G113" s="1209"/>
      <c r="H113" s="1210" t="s">
        <v>191</v>
      </c>
      <c r="I113" s="332"/>
      <c r="J113" s="333"/>
      <c r="K113" s="332"/>
      <c r="L113" s="332"/>
      <c r="M113" s="332"/>
      <c r="N113" s="332"/>
      <c r="O113" s="333"/>
      <c r="P113" s="333"/>
      <c r="Q113" s="332"/>
      <c r="R113" s="333"/>
      <c r="S113" s="332"/>
      <c r="T113" s="332"/>
      <c r="U113" s="332"/>
      <c r="V113" s="332"/>
      <c r="W113" s="332"/>
      <c r="X113" s="333"/>
      <c r="Y113" s="333"/>
      <c r="Z113" s="334" t="s">
        <v>737</v>
      </c>
      <c r="AJ113" s="91"/>
      <c r="AK113" s="91"/>
      <c r="AL113" s="91"/>
      <c r="AM113" s="91"/>
      <c r="AN113" s="91"/>
      <c r="AO113" s="91"/>
      <c r="AP113" s="91"/>
      <c r="AQ113" s="91"/>
      <c r="AR113" s="91"/>
      <c r="AS113" s="91"/>
      <c r="AT113" s="91"/>
      <c r="AU113" s="91"/>
      <c r="AV113" s="91"/>
      <c r="AW113" s="91"/>
      <c r="AX113" s="91"/>
      <c r="AY113" s="91"/>
      <c r="AZ113" s="91"/>
      <c r="BA113" s="91"/>
      <c r="BB113" s="91"/>
      <c r="BC113" s="91"/>
      <c r="BD113" s="91"/>
    </row>
    <row r="114" spans="2:56" ht="25.2" customHeight="1">
      <c r="B114" s="329" t="s">
        <v>337</v>
      </c>
      <c r="C114" s="387" t="s">
        <v>745</v>
      </c>
      <c r="D114" s="331" t="s">
        <v>327</v>
      </c>
      <c r="E114" s="1209" t="s">
        <v>190</v>
      </c>
      <c r="F114" s="1209" t="s">
        <v>190</v>
      </c>
      <c r="G114" s="1209"/>
      <c r="H114" s="1210"/>
      <c r="I114" s="332"/>
      <c r="J114" s="333"/>
      <c r="K114" s="332"/>
      <c r="L114" s="332"/>
      <c r="M114" s="332"/>
      <c r="N114" s="332"/>
      <c r="O114" s="333"/>
      <c r="P114" s="333"/>
      <c r="Q114" s="332"/>
      <c r="R114" s="333"/>
      <c r="S114" s="332"/>
      <c r="T114" s="332"/>
      <c r="U114" s="332"/>
      <c r="V114" s="332"/>
      <c r="W114" s="332"/>
      <c r="X114" s="333"/>
      <c r="Y114" s="333"/>
      <c r="Z114" s="334" t="s">
        <v>737</v>
      </c>
      <c r="AJ114" s="91"/>
      <c r="AK114" s="91"/>
      <c r="AL114" s="91"/>
      <c r="AM114" s="91"/>
      <c r="AN114" s="91"/>
      <c r="AO114" s="91"/>
      <c r="AP114" s="91"/>
      <c r="AQ114" s="91"/>
      <c r="AR114" s="91"/>
      <c r="AS114" s="91"/>
      <c r="AT114" s="91"/>
      <c r="AU114" s="91"/>
      <c r="AV114" s="91"/>
      <c r="AW114" s="91"/>
      <c r="AX114" s="91"/>
      <c r="AY114" s="91"/>
      <c r="AZ114" s="91"/>
      <c r="BA114" s="91"/>
      <c r="BB114" s="91"/>
      <c r="BC114" s="91"/>
      <c r="BD114" s="91"/>
    </row>
    <row r="115" spans="2:56" ht="25.2" customHeight="1">
      <c r="B115" s="329" t="s">
        <v>338</v>
      </c>
      <c r="C115" s="330" t="s">
        <v>141</v>
      </c>
      <c r="D115" s="331" t="s">
        <v>164</v>
      </c>
      <c r="E115" s="1209" t="s">
        <v>190</v>
      </c>
      <c r="F115" s="1209" t="s">
        <v>190</v>
      </c>
      <c r="G115" s="1209" t="s">
        <v>190</v>
      </c>
      <c r="H115" s="1210" t="s">
        <v>191</v>
      </c>
      <c r="I115" s="332"/>
      <c r="J115" s="333"/>
      <c r="K115" s="332"/>
      <c r="L115" s="332"/>
      <c r="M115" s="332"/>
      <c r="N115" s="332"/>
      <c r="O115" s="333"/>
      <c r="P115" s="333"/>
      <c r="Q115" s="332"/>
      <c r="R115" s="333"/>
      <c r="S115" s="332"/>
      <c r="T115" s="332"/>
      <c r="U115" s="332"/>
      <c r="V115" s="332"/>
      <c r="W115" s="332"/>
      <c r="X115" s="333"/>
      <c r="Y115" s="333"/>
      <c r="Z115" s="334" t="s">
        <v>1923</v>
      </c>
      <c r="AA115" s="1454"/>
      <c r="AB115" s="1454"/>
      <c r="AC115" s="1454"/>
      <c r="AD115" s="1454"/>
      <c r="AE115" s="1454"/>
      <c r="AF115" s="1454"/>
      <c r="AG115" s="1454"/>
      <c r="AH115" s="1454"/>
      <c r="AI115" s="95"/>
      <c r="AJ115" s="95"/>
      <c r="AK115" s="95"/>
      <c r="AL115" s="95"/>
      <c r="AM115" s="95"/>
      <c r="AN115" s="95"/>
      <c r="AO115" s="95"/>
      <c r="AP115" s="1454"/>
      <c r="AQ115" s="1454"/>
      <c r="AR115" s="1454"/>
      <c r="AS115" s="1454"/>
      <c r="AT115" s="1454"/>
      <c r="AU115" s="1454"/>
      <c r="AV115" s="1454"/>
      <c r="AW115" s="1454"/>
      <c r="AX115" s="95"/>
      <c r="AY115" s="95"/>
      <c r="AZ115" s="95"/>
      <c r="BA115" s="1454"/>
      <c r="BB115" s="1454"/>
      <c r="BC115" s="1454"/>
      <c r="BD115" s="1454"/>
    </row>
    <row r="116" spans="2:56" ht="25.2" customHeight="1">
      <c r="B116" s="329" t="s">
        <v>339</v>
      </c>
      <c r="C116" s="330" t="s">
        <v>175</v>
      </c>
      <c r="D116" s="331" t="s">
        <v>164</v>
      </c>
      <c r="E116" s="1209" t="s">
        <v>190</v>
      </c>
      <c r="F116" s="1209" t="s">
        <v>190</v>
      </c>
      <c r="G116" s="1209"/>
      <c r="H116" s="1228"/>
      <c r="I116" s="343"/>
      <c r="J116" s="342"/>
      <c r="K116" s="343"/>
      <c r="L116" s="343"/>
      <c r="M116" s="343"/>
      <c r="N116" s="343"/>
      <c r="O116" s="342"/>
      <c r="P116" s="342"/>
      <c r="Q116" s="343"/>
      <c r="R116" s="342"/>
      <c r="S116" s="343"/>
      <c r="T116" s="343"/>
      <c r="U116" s="343"/>
      <c r="V116" s="343"/>
      <c r="W116" s="343"/>
      <c r="X116" s="342"/>
      <c r="Y116" s="342"/>
      <c r="Z116" s="334"/>
      <c r="AA116" s="1454"/>
      <c r="AB116" s="1454"/>
      <c r="AC116" s="1454"/>
      <c r="AD116" s="1454"/>
      <c r="AE116" s="1454"/>
      <c r="AF116" s="1454"/>
      <c r="AG116" s="1454"/>
      <c r="AH116" s="1454"/>
      <c r="AI116" s="95"/>
      <c r="AJ116" s="95"/>
      <c r="AK116" s="95"/>
      <c r="AL116" s="95"/>
      <c r="AM116" s="95"/>
      <c r="AN116" s="95"/>
      <c r="AO116" s="95"/>
      <c r="AP116" s="1454"/>
      <c r="AQ116" s="1454"/>
      <c r="AR116" s="1454"/>
      <c r="AS116" s="1454"/>
      <c r="AT116" s="1454"/>
      <c r="AU116" s="1454"/>
      <c r="AV116" s="1454"/>
      <c r="AW116" s="1454"/>
      <c r="AX116" s="95"/>
      <c r="AY116" s="95"/>
      <c r="AZ116" s="95"/>
      <c r="BA116" s="1454"/>
      <c r="BB116" s="1454"/>
      <c r="BC116" s="1454"/>
      <c r="BD116" s="1454"/>
    </row>
    <row r="117" spans="2:56" ht="25.2" customHeight="1">
      <c r="B117" s="329" t="s">
        <v>340</v>
      </c>
      <c r="C117" s="330" t="s">
        <v>143</v>
      </c>
      <c r="D117" s="331" t="s">
        <v>189</v>
      </c>
      <c r="E117" s="332" t="s">
        <v>190</v>
      </c>
      <c r="F117" s="332" t="s">
        <v>190</v>
      </c>
      <c r="G117" s="332"/>
      <c r="H117" s="342"/>
      <c r="I117" s="343"/>
      <c r="J117" s="342"/>
      <c r="K117" s="343"/>
      <c r="L117" s="343"/>
      <c r="M117" s="343"/>
      <c r="N117" s="343"/>
      <c r="O117" s="342"/>
      <c r="P117" s="342"/>
      <c r="Q117" s="343"/>
      <c r="R117" s="342"/>
      <c r="S117" s="332" t="s">
        <v>190</v>
      </c>
      <c r="T117" s="332" t="s">
        <v>190</v>
      </c>
      <c r="U117" s="343"/>
      <c r="V117" s="343"/>
      <c r="W117" s="343"/>
      <c r="X117" s="342"/>
      <c r="Y117" s="342"/>
      <c r="Z117" s="334" t="s">
        <v>385</v>
      </c>
      <c r="AA117" s="1454"/>
      <c r="AB117" s="1454"/>
      <c r="AC117" s="1454"/>
      <c r="AD117" s="1454"/>
      <c r="AE117" s="1454"/>
      <c r="AF117" s="1454"/>
      <c r="AG117" s="1454"/>
      <c r="AH117" s="1454"/>
      <c r="AI117" s="95"/>
      <c r="AJ117" s="95"/>
      <c r="AK117" s="95"/>
      <c r="AL117" s="95"/>
      <c r="AM117" s="95"/>
      <c r="AN117" s="95"/>
      <c r="AO117" s="95"/>
      <c r="AP117" s="1454"/>
      <c r="AQ117" s="1454"/>
      <c r="AR117" s="1454"/>
      <c r="AS117" s="1454"/>
      <c r="AT117" s="1454"/>
      <c r="AU117" s="1454"/>
      <c r="AV117" s="1454"/>
      <c r="AW117" s="1454"/>
      <c r="AX117" s="95"/>
      <c r="AY117" s="95"/>
      <c r="AZ117" s="95"/>
      <c r="BA117" s="1454"/>
      <c r="BB117" s="1454"/>
      <c r="BC117" s="1454"/>
      <c r="BD117" s="1454"/>
    </row>
    <row r="118" spans="2:56" ht="25.2" customHeight="1">
      <c r="B118" s="329" t="s">
        <v>341</v>
      </c>
      <c r="C118" s="330" t="s">
        <v>116</v>
      </c>
      <c r="D118" s="331" t="s">
        <v>164</v>
      </c>
      <c r="E118" s="332" t="s">
        <v>190</v>
      </c>
      <c r="F118" s="332" t="s">
        <v>190</v>
      </c>
      <c r="G118" s="332"/>
      <c r="H118" s="342"/>
      <c r="I118" s="343"/>
      <c r="J118" s="342"/>
      <c r="K118" s="343"/>
      <c r="L118" s="343"/>
      <c r="M118" s="343"/>
      <c r="N118" s="343"/>
      <c r="O118" s="342"/>
      <c r="P118" s="342"/>
      <c r="Q118" s="343"/>
      <c r="R118" s="342"/>
      <c r="S118" s="343"/>
      <c r="T118" s="343"/>
      <c r="U118" s="343"/>
      <c r="V118" s="343"/>
      <c r="W118" s="343"/>
      <c r="X118" s="342"/>
      <c r="Y118" s="342"/>
      <c r="Z118" s="885" t="s">
        <v>2206</v>
      </c>
      <c r="AA118" s="1454"/>
      <c r="AB118" s="1454"/>
      <c r="AC118" s="1454"/>
      <c r="AD118" s="1454"/>
      <c r="AE118" s="1454"/>
      <c r="AF118" s="1454"/>
      <c r="AG118" s="1454"/>
      <c r="AH118" s="1454"/>
      <c r="AI118" s="95"/>
      <c r="AJ118" s="95"/>
      <c r="AK118" s="95"/>
      <c r="AL118" s="95"/>
      <c r="AM118" s="95"/>
      <c r="AN118" s="95"/>
      <c r="AO118" s="95"/>
      <c r="AP118" s="1454"/>
      <c r="AQ118" s="1454"/>
      <c r="AR118" s="1454"/>
      <c r="AS118" s="1454"/>
      <c r="AT118" s="1454"/>
      <c r="AU118" s="1454"/>
      <c r="AV118" s="1454"/>
      <c r="AW118" s="1454"/>
      <c r="AX118" s="95"/>
      <c r="AY118" s="95"/>
      <c r="AZ118" s="95"/>
      <c r="BA118" s="1454"/>
      <c r="BB118" s="1454"/>
      <c r="BC118" s="1454"/>
      <c r="BD118" s="1454"/>
    </row>
    <row r="119" spans="2:56" ht="25.2" customHeight="1">
      <c r="B119" s="329" t="s">
        <v>342</v>
      </c>
      <c r="C119" s="387" t="s">
        <v>1056</v>
      </c>
      <c r="D119" s="331" t="s">
        <v>327</v>
      </c>
      <c r="E119" s="332" t="s">
        <v>190</v>
      </c>
      <c r="F119" s="332" t="s">
        <v>190</v>
      </c>
      <c r="G119" s="332"/>
      <c r="H119" s="333"/>
      <c r="I119" s="332"/>
      <c r="J119" s="333"/>
      <c r="K119" s="332"/>
      <c r="L119" s="332"/>
      <c r="M119" s="332"/>
      <c r="N119" s="332"/>
      <c r="O119" s="333"/>
      <c r="P119" s="333"/>
      <c r="Q119" s="332"/>
      <c r="R119" s="333"/>
      <c r="S119" s="332"/>
      <c r="T119" s="332"/>
      <c r="U119" s="332"/>
      <c r="V119" s="332"/>
      <c r="W119" s="332"/>
      <c r="X119" s="333"/>
      <c r="Y119" s="333"/>
      <c r="Z119" s="334" t="s">
        <v>737</v>
      </c>
      <c r="AJ119" s="91"/>
      <c r="AK119" s="91"/>
      <c r="AL119" s="91"/>
      <c r="AM119" s="91"/>
      <c r="AN119" s="91"/>
      <c r="AO119" s="91"/>
      <c r="AP119" s="91"/>
      <c r="AQ119" s="91"/>
      <c r="AR119" s="91"/>
      <c r="AS119" s="91"/>
      <c r="AT119" s="91"/>
      <c r="AU119" s="91"/>
      <c r="AV119" s="91"/>
      <c r="AW119" s="91"/>
      <c r="AX119" s="91"/>
      <c r="AY119" s="91"/>
      <c r="AZ119" s="91"/>
      <c r="BA119" s="91"/>
      <c r="BB119" s="91"/>
      <c r="BC119" s="1455"/>
      <c r="BD119" s="1455"/>
    </row>
    <row r="120" spans="2:56" ht="25.2" customHeight="1">
      <c r="B120" s="329" t="s">
        <v>746</v>
      </c>
      <c r="C120" s="387" t="s">
        <v>1053</v>
      </c>
      <c r="D120" s="331" t="s">
        <v>327</v>
      </c>
      <c r="E120" s="332" t="s">
        <v>190</v>
      </c>
      <c r="F120" s="332" t="s">
        <v>190</v>
      </c>
      <c r="G120" s="332"/>
      <c r="H120" s="333"/>
      <c r="I120" s="332"/>
      <c r="J120" s="333"/>
      <c r="K120" s="332"/>
      <c r="L120" s="332"/>
      <c r="M120" s="332"/>
      <c r="N120" s="332"/>
      <c r="O120" s="333"/>
      <c r="P120" s="333"/>
      <c r="Q120" s="332"/>
      <c r="R120" s="333"/>
      <c r="S120" s="332"/>
      <c r="T120" s="332"/>
      <c r="U120" s="332"/>
      <c r="V120" s="332"/>
      <c r="W120" s="332"/>
      <c r="X120" s="333"/>
      <c r="Y120" s="333"/>
      <c r="Z120" s="334" t="s">
        <v>737</v>
      </c>
      <c r="AJ120" s="91"/>
      <c r="AK120" s="91"/>
      <c r="AL120" s="91"/>
      <c r="AM120" s="91"/>
      <c r="AN120" s="91"/>
      <c r="AO120" s="91"/>
      <c r="AP120" s="91"/>
      <c r="AQ120" s="91"/>
      <c r="AR120" s="91"/>
      <c r="AS120" s="91"/>
      <c r="AT120" s="91"/>
      <c r="AU120" s="91"/>
      <c r="AV120" s="91"/>
      <c r="AW120" s="91"/>
      <c r="AX120" s="91"/>
      <c r="AY120" s="91"/>
      <c r="AZ120" s="91"/>
      <c r="BA120" s="91"/>
      <c r="BB120" s="91"/>
      <c r="BC120" s="91"/>
      <c r="BD120" s="91"/>
    </row>
    <row r="121" spans="2:56" ht="25.2" customHeight="1">
      <c r="B121" s="329" t="s">
        <v>747</v>
      </c>
      <c r="C121" s="330" t="s">
        <v>147</v>
      </c>
      <c r="D121" s="331" t="s">
        <v>327</v>
      </c>
      <c r="E121" s="332" t="s">
        <v>190</v>
      </c>
      <c r="F121" s="332" t="s">
        <v>190</v>
      </c>
      <c r="G121" s="332"/>
      <c r="H121" s="342"/>
      <c r="I121" s="343"/>
      <c r="J121" s="342"/>
      <c r="K121" s="343"/>
      <c r="L121" s="343"/>
      <c r="M121" s="343"/>
      <c r="N121" s="343"/>
      <c r="O121" s="342"/>
      <c r="P121" s="342"/>
      <c r="Q121" s="343"/>
      <c r="R121" s="342"/>
      <c r="S121" s="343"/>
      <c r="T121" s="343"/>
      <c r="U121" s="332"/>
      <c r="V121" s="343"/>
      <c r="W121" s="343"/>
      <c r="X121" s="342"/>
      <c r="Y121" s="342"/>
      <c r="Z121" s="334"/>
      <c r="AA121" s="1454"/>
      <c r="AB121" s="1454"/>
      <c r="AC121" s="1454"/>
      <c r="AD121" s="1454"/>
      <c r="AE121" s="1454"/>
      <c r="AF121" s="1454"/>
      <c r="AG121" s="1454"/>
      <c r="AH121" s="1454"/>
      <c r="AI121" s="95"/>
      <c r="AJ121" s="95"/>
      <c r="AK121" s="95"/>
      <c r="AL121" s="95"/>
      <c r="AM121" s="95"/>
      <c r="AN121" s="95"/>
      <c r="AO121" s="95"/>
      <c r="AP121" s="1454"/>
      <c r="AQ121" s="1454"/>
      <c r="AR121" s="1454"/>
      <c r="AS121" s="1454"/>
      <c r="AT121" s="1454"/>
      <c r="AU121" s="1454"/>
      <c r="AV121" s="1454"/>
      <c r="AW121" s="1454"/>
      <c r="AX121" s="95"/>
      <c r="AY121" s="95"/>
      <c r="AZ121" s="95"/>
      <c r="BA121" s="1454"/>
      <c r="BB121" s="1454"/>
      <c r="BC121" s="1454"/>
      <c r="BD121" s="1454"/>
    </row>
    <row r="122" spans="2:56" ht="25.2" customHeight="1">
      <c r="B122" s="329" t="s">
        <v>748</v>
      </c>
      <c r="C122" s="1207" t="s">
        <v>148</v>
      </c>
      <c r="D122" s="1216" t="s">
        <v>327</v>
      </c>
      <c r="E122" s="1209" t="s">
        <v>190</v>
      </c>
      <c r="F122" s="1209" t="s">
        <v>190</v>
      </c>
      <c r="G122" s="1209"/>
      <c r="H122" s="1210"/>
      <c r="I122" s="1209"/>
      <c r="J122" s="1210"/>
      <c r="K122" s="1209"/>
      <c r="L122" s="1209"/>
      <c r="M122" s="332"/>
      <c r="N122" s="332"/>
      <c r="O122" s="333"/>
      <c r="P122" s="333"/>
      <c r="Q122" s="332"/>
      <c r="R122" s="333"/>
      <c r="S122" s="332"/>
      <c r="T122" s="332"/>
      <c r="U122" s="332" t="s">
        <v>190</v>
      </c>
      <c r="V122" s="332"/>
      <c r="W122" s="332"/>
      <c r="X122" s="333"/>
      <c r="Y122" s="333"/>
      <c r="Z122" s="334"/>
      <c r="AA122" s="1454"/>
      <c r="AB122" s="1454"/>
      <c r="AC122" s="1454"/>
      <c r="AD122" s="1454"/>
      <c r="AE122" s="1454"/>
      <c r="AF122" s="1454"/>
      <c r="AG122" s="1454"/>
      <c r="AH122" s="1454"/>
      <c r="AI122" s="95"/>
      <c r="AJ122" s="95"/>
      <c r="AK122" s="95"/>
      <c r="AL122" s="95"/>
      <c r="AM122" s="95"/>
      <c r="AN122" s="95"/>
      <c r="AO122" s="95"/>
      <c r="AP122" s="1454"/>
      <c r="AQ122" s="1454"/>
      <c r="AR122" s="1454"/>
      <c r="AS122" s="1454"/>
      <c r="AT122" s="1454"/>
      <c r="AU122" s="1454"/>
      <c r="AV122" s="1454"/>
      <c r="AW122" s="1454"/>
      <c r="AX122" s="95"/>
      <c r="AY122" s="95"/>
      <c r="AZ122" s="95"/>
      <c r="BA122" s="1454"/>
      <c r="BB122" s="1454"/>
      <c r="BC122" s="1454"/>
      <c r="BD122" s="1454"/>
    </row>
    <row r="123" spans="2:56" ht="25.2" customHeight="1">
      <c r="B123" s="329" t="s">
        <v>1763</v>
      </c>
      <c r="C123" s="1207" t="s">
        <v>1739</v>
      </c>
      <c r="D123" s="1216" t="s">
        <v>164</v>
      </c>
      <c r="E123" s="1209" t="s">
        <v>190</v>
      </c>
      <c r="F123" s="1209" t="s">
        <v>190</v>
      </c>
      <c r="G123" s="1209"/>
      <c r="H123" s="1228"/>
      <c r="I123" s="1209" t="s">
        <v>190</v>
      </c>
      <c r="J123" s="1228"/>
      <c r="K123" s="1229"/>
      <c r="L123" s="1229"/>
      <c r="M123" s="343"/>
      <c r="N123" s="343"/>
      <c r="O123" s="342"/>
      <c r="P123" s="342"/>
      <c r="Q123" s="343"/>
      <c r="R123" s="342"/>
      <c r="S123" s="343"/>
      <c r="T123" s="343"/>
      <c r="U123" s="343"/>
      <c r="V123" s="343"/>
      <c r="W123" s="343"/>
      <c r="X123" s="342"/>
      <c r="Y123" s="342"/>
      <c r="Z123" s="885" t="s">
        <v>2208</v>
      </c>
      <c r="AA123" s="95"/>
      <c r="AB123" s="95"/>
      <c r="AC123" s="95"/>
      <c r="AD123" s="95"/>
      <c r="AE123" s="95"/>
      <c r="AF123" s="95"/>
      <c r="AG123" s="95"/>
      <c r="AH123" s="95"/>
      <c r="AI123" s="95"/>
      <c r="AJ123" s="95"/>
      <c r="AK123" s="95"/>
      <c r="AL123" s="95"/>
      <c r="AM123" s="95"/>
      <c r="AN123" s="95"/>
      <c r="AO123" s="95"/>
      <c r="AP123" s="95"/>
      <c r="AQ123" s="95"/>
      <c r="AR123" s="95"/>
      <c r="AS123" s="95"/>
      <c r="AT123" s="95"/>
      <c r="AU123" s="95"/>
      <c r="AV123" s="95"/>
      <c r="AW123" s="95"/>
      <c r="AX123" s="95"/>
      <c r="AY123" s="95"/>
      <c r="AZ123" s="95"/>
      <c r="BA123" s="95"/>
      <c r="BB123" s="95"/>
      <c r="BC123" s="95"/>
      <c r="BD123" s="95"/>
    </row>
    <row r="124" spans="2:56" ht="25.2" customHeight="1">
      <c r="B124" s="329" t="s">
        <v>1764</v>
      </c>
      <c r="C124" s="1207" t="s">
        <v>111</v>
      </c>
      <c r="D124" s="1216" t="s">
        <v>164</v>
      </c>
      <c r="E124" s="1209" t="s">
        <v>190</v>
      </c>
      <c r="F124" s="1209" t="s">
        <v>190</v>
      </c>
      <c r="G124" s="1209"/>
      <c r="H124" s="1210"/>
      <c r="I124" s="1209"/>
      <c r="J124" s="1210"/>
      <c r="K124" s="1209"/>
      <c r="L124" s="1209"/>
      <c r="M124" s="332"/>
      <c r="N124" s="332"/>
      <c r="O124" s="333"/>
      <c r="P124" s="333"/>
      <c r="Q124" s="332"/>
      <c r="R124" s="333"/>
      <c r="S124" s="332"/>
      <c r="T124" s="332"/>
      <c r="U124" s="332"/>
      <c r="V124" s="332"/>
      <c r="W124" s="332"/>
      <c r="X124" s="333"/>
      <c r="Y124" s="333"/>
      <c r="Z124" s="334" t="s">
        <v>1041</v>
      </c>
      <c r="AA124" s="1454"/>
      <c r="AB124" s="1454"/>
      <c r="AC124" s="1454"/>
      <c r="AD124" s="1454"/>
      <c r="AE124" s="1454"/>
      <c r="AF124" s="1454"/>
      <c r="AG124" s="1454"/>
      <c r="AH124" s="1454"/>
      <c r="AI124" s="95"/>
      <c r="AJ124" s="95"/>
      <c r="AK124" s="95"/>
      <c r="AL124" s="95"/>
      <c r="AM124" s="95"/>
      <c r="AN124" s="95"/>
      <c r="AO124" s="95"/>
      <c r="AP124" s="1454"/>
      <c r="AQ124" s="1454"/>
      <c r="AR124" s="1454"/>
      <c r="AS124" s="1454"/>
      <c r="AT124" s="1454"/>
      <c r="AU124" s="1454"/>
      <c r="AV124" s="1454"/>
      <c r="AW124" s="1454"/>
      <c r="AX124" s="95"/>
      <c r="AY124" s="95"/>
      <c r="AZ124" s="95"/>
      <c r="BA124" s="1454"/>
      <c r="BB124" s="1454"/>
      <c r="BC124" s="1454"/>
      <c r="BD124" s="1454"/>
    </row>
    <row r="125" spans="2:56" ht="25.2" customHeight="1">
      <c r="B125" s="329" t="s">
        <v>1765</v>
      </c>
      <c r="C125" s="1207" t="s">
        <v>146</v>
      </c>
      <c r="D125" s="1216" t="s">
        <v>164</v>
      </c>
      <c r="E125" s="1209" t="s">
        <v>190</v>
      </c>
      <c r="F125" s="1209" t="s">
        <v>190</v>
      </c>
      <c r="G125" s="1209"/>
      <c r="H125" s="1210"/>
      <c r="I125" s="1209"/>
      <c r="J125" s="1210" t="s">
        <v>190</v>
      </c>
      <c r="K125" s="1209"/>
      <c r="L125" s="1209"/>
      <c r="M125" s="332"/>
      <c r="N125" s="332"/>
      <c r="O125" s="333"/>
      <c r="P125" s="333"/>
      <c r="Q125" s="332"/>
      <c r="R125" s="333"/>
      <c r="S125" s="332"/>
      <c r="T125" s="332"/>
      <c r="U125" s="332"/>
      <c r="V125" s="332"/>
      <c r="W125" s="332"/>
      <c r="X125" s="333"/>
      <c r="Y125" s="333"/>
      <c r="Z125" s="334" t="s">
        <v>1024</v>
      </c>
      <c r="AA125" s="1454"/>
      <c r="AB125" s="1454"/>
      <c r="AC125" s="1454"/>
      <c r="AD125" s="1454"/>
      <c r="AE125" s="1454"/>
      <c r="AF125" s="1454"/>
      <c r="AG125" s="1454"/>
      <c r="AH125" s="1454"/>
      <c r="AI125" s="95"/>
      <c r="AJ125" s="95"/>
      <c r="AK125" s="95"/>
      <c r="AL125" s="95"/>
      <c r="AM125" s="95"/>
      <c r="AN125" s="95"/>
      <c r="AO125" s="95"/>
      <c r="AP125" s="1454"/>
      <c r="AQ125" s="1454"/>
      <c r="AR125" s="1454"/>
      <c r="AS125" s="1454"/>
      <c r="AT125" s="1454"/>
      <c r="AU125" s="1454"/>
      <c r="AV125" s="1454"/>
      <c r="AW125" s="1454"/>
      <c r="AX125" s="95"/>
      <c r="AY125" s="95"/>
      <c r="AZ125" s="95"/>
      <c r="BA125" s="1454"/>
      <c r="BB125" s="1454"/>
      <c r="BC125" s="1454"/>
      <c r="BD125" s="1454"/>
    </row>
    <row r="126" spans="2:56" ht="106.95" customHeight="1">
      <c r="B126" s="1496" t="s">
        <v>1766</v>
      </c>
      <c r="C126" s="1493" t="s">
        <v>1749</v>
      </c>
      <c r="D126" s="1493" t="s">
        <v>164</v>
      </c>
      <c r="E126" s="1487" t="s">
        <v>190</v>
      </c>
      <c r="F126" s="1487" t="s">
        <v>190</v>
      </c>
      <c r="G126" s="1487"/>
      <c r="H126" s="1487"/>
      <c r="I126" s="1487"/>
      <c r="J126" s="1487"/>
      <c r="K126" s="1487"/>
      <c r="L126" s="1487"/>
      <c r="M126" s="1487"/>
      <c r="N126" s="1487"/>
      <c r="O126" s="1487"/>
      <c r="P126" s="1487"/>
      <c r="Q126" s="1487"/>
      <c r="R126" s="1481" t="s">
        <v>190</v>
      </c>
      <c r="S126" s="1487"/>
      <c r="T126" s="1487"/>
      <c r="U126" s="1487"/>
      <c r="V126" s="1487"/>
      <c r="W126" s="1487"/>
      <c r="X126" s="1487"/>
      <c r="Y126" s="1487"/>
      <c r="Z126" s="1390" t="s">
        <v>2240</v>
      </c>
      <c r="AJ126" s="91"/>
      <c r="AK126" s="91"/>
      <c r="AL126" s="91"/>
      <c r="AM126" s="91"/>
      <c r="AN126" s="91"/>
      <c r="AO126" s="91"/>
      <c r="AP126" s="91"/>
      <c r="AQ126" s="91"/>
      <c r="AR126" s="91"/>
      <c r="AS126" s="91"/>
      <c r="AT126" s="91"/>
      <c r="AU126" s="91"/>
      <c r="AV126" s="91"/>
      <c r="AW126" s="91"/>
      <c r="AX126" s="91"/>
      <c r="AY126" s="91"/>
      <c r="AZ126" s="91"/>
      <c r="BA126" s="91"/>
      <c r="BB126" s="91"/>
      <c r="BC126" s="91"/>
      <c r="BD126" s="91"/>
    </row>
    <row r="127" spans="2:56" ht="18" customHeight="1">
      <c r="B127" s="1497"/>
      <c r="C127" s="1494"/>
      <c r="D127" s="1494"/>
      <c r="E127" s="1488"/>
      <c r="F127" s="1488"/>
      <c r="G127" s="1488"/>
      <c r="H127" s="1488"/>
      <c r="I127" s="1488"/>
      <c r="J127" s="1488"/>
      <c r="K127" s="1488"/>
      <c r="L127" s="1488"/>
      <c r="M127" s="1488"/>
      <c r="N127" s="1488"/>
      <c r="O127" s="1488"/>
      <c r="P127" s="1488"/>
      <c r="Q127" s="1488"/>
      <c r="R127" s="1482"/>
      <c r="S127" s="1488"/>
      <c r="T127" s="1488"/>
      <c r="U127" s="1488"/>
      <c r="V127" s="1488"/>
      <c r="W127" s="1488"/>
      <c r="X127" s="1488"/>
      <c r="Y127" s="1488"/>
      <c r="Z127" s="1392" t="s">
        <v>2220</v>
      </c>
      <c r="AJ127" s="91"/>
      <c r="AK127" s="91"/>
      <c r="AL127" s="91"/>
      <c r="AM127" s="91"/>
      <c r="AN127" s="91"/>
      <c r="AO127" s="91"/>
      <c r="AP127" s="91"/>
      <c r="AQ127" s="91"/>
      <c r="AR127" s="91"/>
      <c r="AS127" s="91"/>
      <c r="AT127" s="91"/>
      <c r="AU127" s="91"/>
      <c r="AV127" s="91"/>
      <c r="AW127" s="91"/>
      <c r="AX127" s="91"/>
      <c r="AY127" s="91"/>
      <c r="AZ127" s="91"/>
      <c r="BA127" s="91"/>
      <c r="BB127" s="91"/>
      <c r="BC127" s="91"/>
      <c r="BD127" s="91"/>
    </row>
    <row r="128" spans="2:56" ht="18" customHeight="1">
      <c r="B128" s="1497"/>
      <c r="C128" s="1494"/>
      <c r="D128" s="1494"/>
      <c r="E128" s="1488"/>
      <c r="F128" s="1488"/>
      <c r="G128" s="1488"/>
      <c r="H128" s="1488"/>
      <c r="I128" s="1488"/>
      <c r="J128" s="1488"/>
      <c r="K128" s="1488"/>
      <c r="L128" s="1488"/>
      <c r="M128" s="1488"/>
      <c r="N128" s="1488"/>
      <c r="O128" s="1488"/>
      <c r="P128" s="1488"/>
      <c r="Q128" s="1488"/>
      <c r="R128" s="1482"/>
      <c r="S128" s="1488"/>
      <c r="T128" s="1488"/>
      <c r="U128" s="1488"/>
      <c r="V128" s="1488"/>
      <c r="W128" s="1488"/>
      <c r="X128" s="1488"/>
      <c r="Y128" s="1488"/>
      <c r="Z128" s="1393" t="s">
        <v>2221</v>
      </c>
      <c r="AJ128" s="91"/>
      <c r="AK128" s="91"/>
      <c r="AL128" s="91"/>
      <c r="AM128" s="91"/>
      <c r="AN128" s="91"/>
      <c r="AO128" s="91"/>
      <c r="AP128" s="91"/>
      <c r="AQ128" s="91"/>
      <c r="AR128" s="91"/>
      <c r="AS128" s="91"/>
      <c r="AT128" s="91"/>
      <c r="AU128" s="91"/>
      <c r="AV128" s="91"/>
      <c r="AW128" s="91"/>
      <c r="AX128" s="91"/>
      <c r="AY128" s="91"/>
      <c r="AZ128" s="91"/>
      <c r="BA128" s="91"/>
      <c r="BB128" s="91"/>
      <c r="BC128" s="91"/>
      <c r="BD128" s="91"/>
    </row>
    <row r="129" spans="2:56" ht="18" customHeight="1">
      <c r="B129" s="1498"/>
      <c r="C129" s="1495"/>
      <c r="D129" s="1495"/>
      <c r="E129" s="1489"/>
      <c r="F129" s="1489"/>
      <c r="G129" s="1489"/>
      <c r="H129" s="1489"/>
      <c r="I129" s="1489"/>
      <c r="J129" s="1489"/>
      <c r="K129" s="1489"/>
      <c r="L129" s="1489"/>
      <c r="M129" s="1489"/>
      <c r="N129" s="1489"/>
      <c r="O129" s="1489"/>
      <c r="P129" s="1489"/>
      <c r="Q129" s="1489"/>
      <c r="R129" s="1483"/>
      <c r="S129" s="1489"/>
      <c r="T129" s="1489"/>
      <c r="U129" s="1489"/>
      <c r="V129" s="1489"/>
      <c r="W129" s="1489"/>
      <c r="X129" s="1489"/>
      <c r="Y129" s="1489"/>
      <c r="Z129" s="1394" t="s">
        <v>2222</v>
      </c>
      <c r="AJ129" s="91"/>
      <c r="AK129" s="91"/>
      <c r="AL129" s="91"/>
      <c r="AM129" s="91"/>
      <c r="AN129" s="91"/>
      <c r="AO129" s="91"/>
      <c r="AP129" s="91"/>
      <c r="AQ129" s="91"/>
      <c r="AR129" s="91"/>
      <c r="AS129" s="91"/>
      <c r="AT129" s="91"/>
      <c r="AU129" s="91"/>
      <c r="AV129" s="91"/>
      <c r="AW129" s="91"/>
      <c r="AX129" s="91"/>
      <c r="AY129" s="91"/>
      <c r="AZ129" s="91"/>
      <c r="BA129" s="91"/>
      <c r="BB129" s="91"/>
      <c r="BC129" s="91"/>
      <c r="BD129" s="91"/>
    </row>
    <row r="130" spans="2:56" ht="25.2" customHeight="1">
      <c r="B130" s="329" t="s">
        <v>2234</v>
      </c>
      <c r="C130" s="1216" t="s">
        <v>113</v>
      </c>
      <c r="D130" s="1207" t="s">
        <v>164</v>
      </c>
      <c r="E130" s="1209" t="s">
        <v>190</v>
      </c>
      <c r="F130" s="1209" t="s">
        <v>190</v>
      </c>
      <c r="G130" s="1209"/>
      <c r="H130" s="1210"/>
      <c r="I130" s="1209"/>
      <c r="J130" s="1210"/>
      <c r="K130" s="1209"/>
      <c r="L130" s="1209"/>
      <c r="M130" s="333" t="s">
        <v>190</v>
      </c>
      <c r="N130" s="332"/>
      <c r="O130" s="333"/>
      <c r="P130" s="333"/>
      <c r="Q130" s="332"/>
      <c r="R130" s="333"/>
      <c r="S130" s="332"/>
      <c r="T130" s="332"/>
      <c r="U130" s="332"/>
      <c r="V130" s="332"/>
      <c r="W130" s="332"/>
      <c r="X130" s="332"/>
      <c r="Y130" s="333"/>
      <c r="Z130" s="399" t="s">
        <v>1041</v>
      </c>
      <c r="AA130" s="1454"/>
      <c r="AB130" s="1454"/>
      <c r="AC130" s="1454"/>
      <c r="AD130" s="1454"/>
      <c r="AE130" s="1454"/>
      <c r="AF130" s="1454"/>
      <c r="AG130" s="1454"/>
      <c r="AH130" s="1454"/>
      <c r="AI130" s="95"/>
      <c r="AJ130" s="95"/>
      <c r="AK130" s="95"/>
      <c r="AL130" s="95"/>
      <c r="AM130" s="95"/>
      <c r="AN130" s="95"/>
      <c r="AO130" s="95"/>
      <c r="AP130" s="1454"/>
      <c r="AQ130" s="1454"/>
      <c r="AR130" s="1454"/>
      <c r="AS130" s="1454"/>
      <c r="AT130" s="1454"/>
      <c r="AU130" s="1454"/>
      <c r="AV130" s="1454"/>
      <c r="AW130" s="1454"/>
      <c r="AX130" s="95"/>
      <c r="AY130" s="95"/>
      <c r="AZ130" s="95"/>
      <c r="BA130" s="1454"/>
      <c r="BB130" s="1454"/>
      <c r="BC130" s="1454"/>
      <c r="BD130" s="1454"/>
    </row>
    <row r="131" spans="2:56" ht="25.2" customHeight="1">
      <c r="B131" s="553" t="s">
        <v>2235</v>
      </c>
      <c r="C131" s="554" t="s">
        <v>1006</v>
      </c>
      <c r="D131" s="549" t="s">
        <v>164</v>
      </c>
      <c r="E131" s="550" t="s">
        <v>190</v>
      </c>
      <c r="F131" s="550" t="s">
        <v>190</v>
      </c>
      <c r="G131" s="550"/>
      <c r="H131" s="555"/>
      <c r="I131" s="550"/>
      <c r="J131" s="555"/>
      <c r="K131" s="550"/>
      <c r="L131" s="550"/>
      <c r="M131" s="550"/>
      <c r="N131" s="550"/>
      <c r="O131" s="555"/>
      <c r="P131" s="555"/>
      <c r="Q131" s="550"/>
      <c r="R131" s="555"/>
      <c r="S131" s="550"/>
      <c r="T131" s="550"/>
      <c r="U131" s="550"/>
      <c r="V131" s="550"/>
      <c r="W131" s="550"/>
      <c r="X131" s="555"/>
      <c r="Y131" s="555"/>
      <c r="Z131" s="340"/>
      <c r="AH131" s="91"/>
      <c r="AI131" s="91"/>
      <c r="AJ131" s="95"/>
      <c r="AK131" s="95"/>
      <c r="AL131" s="95"/>
      <c r="AM131" s="95"/>
      <c r="AN131" s="95"/>
      <c r="AO131" s="95"/>
      <c r="AP131" s="1454"/>
      <c r="AQ131" s="1454"/>
      <c r="AR131" s="1454"/>
      <c r="AS131" s="1454"/>
      <c r="AT131" s="1454"/>
      <c r="AU131" s="1454"/>
      <c r="AV131" s="1454"/>
      <c r="AW131" s="1454"/>
      <c r="AX131" s="95"/>
      <c r="AY131" s="95"/>
      <c r="AZ131" s="95"/>
      <c r="BA131" s="1454"/>
      <c r="BB131" s="1454"/>
      <c r="BC131" s="1454"/>
      <c r="BD131" s="1454"/>
    </row>
    <row r="132" spans="2:56" ht="15" customHeight="1">
      <c r="Z132" s="100"/>
    </row>
    <row r="133" spans="2:56" ht="15" customHeight="1">
      <c r="Z133" s="100"/>
    </row>
    <row r="134" spans="2:56" s="90" customFormat="1" ht="16.2">
      <c r="B134" s="197" t="s">
        <v>458</v>
      </c>
      <c r="D134" s="90" t="s">
        <v>322</v>
      </c>
      <c r="AH134" s="91"/>
      <c r="AI134" s="91"/>
    </row>
    <row r="135" spans="2:56" ht="25.2" customHeight="1">
      <c r="B135" s="323" t="s">
        <v>343</v>
      </c>
      <c r="C135" s="1233" t="s">
        <v>108</v>
      </c>
      <c r="D135" s="1234" t="s">
        <v>164</v>
      </c>
      <c r="E135" s="1212" t="s">
        <v>137</v>
      </c>
      <c r="F135" s="1212" t="s">
        <v>137</v>
      </c>
      <c r="G135" s="1212"/>
      <c r="H135" s="1235" t="s">
        <v>138</v>
      </c>
      <c r="I135" s="1212"/>
      <c r="J135" s="1235"/>
      <c r="K135" s="326"/>
      <c r="L135" s="326"/>
      <c r="M135" s="326"/>
      <c r="N135" s="326"/>
      <c r="O135" s="327"/>
      <c r="P135" s="327"/>
      <c r="Q135" s="326"/>
      <c r="R135" s="327"/>
      <c r="S135" s="326"/>
      <c r="T135" s="326"/>
      <c r="U135" s="326"/>
      <c r="V135" s="326"/>
      <c r="W135" s="326"/>
      <c r="X135" s="327"/>
      <c r="Y135" s="327"/>
      <c r="Z135" s="328" t="s">
        <v>1038</v>
      </c>
      <c r="AH135" s="91"/>
      <c r="AI135" s="91"/>
      <c r="AJ135" s="95"/>
      <c r="AK135" s="95"/>
      <c r="AL135" s="95"/>
      <c r="AM135" s="95"/>
      <c r="AN135" s="95"/>
      <c r="AO135" s="95"/>
      <c r="AP135" s="1454"/>
      <c r="AQ135" s="1454"/>
      <c r="AR135" s="1454"/>
      <c r="AS135" s="1454"/>
      <c r="AT135" s="1454"/>
      <c r="AU135" s="1454"/>
      <c r="AV135" s="1454"/>
      <c r="AW135" s="1454"/>
      <c r="AX135" s="95"/>
      <c r="AY135" s="95"/>
      <c r="AZ135" s="95"/>
      <c r="BA135" s="1454"/>
      <c r="BB135" s="1454"/>
      <c r="BC135" s="1454"/>
      <c r="BD135" s="1454"/>
    </row>
    <row r="136" spans="2:56" ht="25.2" customHeight="1">
      <c r="B136" s="329" t="s">
        <v>344</v>
      </c>
      <c r="C136" s="1207" t="s">
        <v>90</v>
      </c>
      <c r="D136" s="1216" t="s">
        <v>164</v>
      </c>
      <c r="E136" s="1209" t="s">
        <v>137</v>
      </c>
      <c r="F136" s="1209" t="s">
        <v>137</v>
      </c>
      <c r="G136" s="1209"/>
      <c r="H136" s="1210" t="s">
        <v>138</v>
      </c>
      <c r="I136" s="1209"/>
      <c r="J136" s="1210"/>
      <c r="K136" s="332"/>
      <c r="L136" s="332"/>
      <c r="M136" s="332"/>
      <c r="N136" s="332"/>
      <c r="O136" s="333"/>
      <c r="P136" s="333"/>
      <c r="Q136" s="332"/>
      <c r="R136" s="333"/>
      <c r="S136" s="332"/>
      <c r="T136" s="332"/>
      <c r="U136" s="332"/>
      <c r="V136" s="332"/>
      <c r="W136" s="332"/>
      <c r="X136" s="333"/>
      <c r="Y136" s="333"/>
      <c r="Z136" s="334" t="s">
        <v>1039</v>
      </c>
      <c r="AH136" s="91"/>
      <c r="AI136" s="91"/>
      <c r="AJ136" s="95"/>
      <c r="AK136" s="95"/>
      <c r="AL136" s="95"/>
      <c r="AM136" s="95"/>
      <c r="AN136" s="95"/>
      <c r="AO136" s="95"/>
      <c r="AP136" s="1454"/>
      <c r="AQ136" s="1454"/>
      <c r="AR136" s="1454"/>
      <c r="AS136" s="1454"/>
      <c r="AT136" s="1454"/>
      <c r="AU136" s="1454"/>
      <c r="AV136" s="1454"/>
      <c r="AW136" s="1454"/>
      <c r="AX136" s="95"/>
      <c r="AY136" s="95"/>
      <c r="AZ136" s="95"/>
      <c r="BA136" s="1454"/>
      <c r="BB136" s="1454"/>
      <c r="BC136" s="1454"/>
      <c r="BD136" s="1454"/>
    </row>
    <row r="137" spans="2:56" ht="39" customHeight="1">
      <c r="B137" s="329" t="s">
        <v>345</v>
      </c>
      <c r="C137" s="1207" t="s">
        <v>91</v>
      </c>
      <c r="D137" s="1216" t="s">
        <v>164</v>
      </c>
      <c r="E137" s="1209" t="s">
        <v>190</v>
      </c>
      <c r="F137" s="1209" t="s">
        <v>386</v>
      </c>
      <c r="G137" s="1209"/>
      <c r="H137" s="1210" t="s">
        <v>191</v>
      </c>
      <c r="I137" s="1209"/>
      <c r="J137" s="1210"/>
      <c r="K137" s="332"/>
      <c r="L137" s="332"/>
      <c r="M137" s="332"/>
      <c r="N137" s="332"/>
      <c r="O137" s="333"/>
      <c r="P137" s="333"/>
      <c r="Q137" s="332"/>
      <c r="R137" s="333"/>
      <c r="S137" s="332"/>
      <c r="T137" s="332"/>
      <c r="U137" s="332"/>
      <c r="V137" s="332"/>
      <c r="W137" s="332"/>
      <c r="X137" s="333"/>
      <c r="Y137" s="333"/>
      <c r="Z137" s="334" t="s">
        <v>1051</v>
      </c>
      <c r="AH137" s="91"/>
      <c r="AI137" s="91"/>
      <c r="AJ137" s="95"/>
      <c r="AK137" s="95"/>
      <c r="AL137" s="95"/>
      <c r="AM137" s="95"/>
      <c r="AN137" s="95"/>
      <c r="AO137" s="95"/>
      <c r="AP137" s="1454"/>
      <c r="AQ137" s="1454"/>
      <c r="AR137" s="1454"/>
      <c r="AS137" s="1454"/>
      <c r="AT137" s="1454"/>
      <c r="AU137" s="1454"/>
      <c r="AV137" s="1454"/>
      <c r="AW137" s="1454"/>
      <c r="AX137" s="95"/>
      <c r="AY137" s="95"/>
      <c r="AZ137" s="95"/>
      <c r="BA137" s="1454"/>
      <c r="BB137" s="1454"/>
      <c r="BC137" s="1454"/>
      <c r="BD137" s="1454"/>
    </row>
    <row r="138" spans="2:56" s="1377" customFormat="1" ht="25.2" customHeight="1">
      <c r="B138" s="329" t="s">
        <v>346</v>
      </c>
      <c r="C138" s="1380" t="s">
        <v>110</v>
      </c>
      <c r="D138" s="1381" t="s">
        <v>164</v>
      </c>
      <c r="E138" s="1382" t="s">
        <v>190</v>
      </c>
      <c r="F138" s="1382" t="s">
        <v>190</v>
      </c>
      <c r="G138" s="1382"/>
      <c r="H138" s="1383"/>
      <c r="I138" s="1384"/>
      <c r="J138" s="1385"/>
      <c r="K138" s="1384"/>
      <c r="L138" s="1384"/>
      <c r="M138" s="1384"/>
      <c r="N138" s="1384"/>
      <c r="O138" s="1385"/>
      <c r="P138" s="1385"/>
      <c r="Q138" s="1384"/>
      <c r="R138" s="1385"/>
      <c r="S138" s="1384"/>
      <c r="T138" s="1384"/>
      <c r="U138" s="1384"/>
      <c r="V138" s="1384"/>
      <c r="W138" s="1384"/>
      <c r="X138" s="1385"/>
      <c r="Y138" s="1385"/>
      <c r="Z138" s="1386"/>
      <c r="AJ138" s="1376"/>
      <c r="AK138" s="1376"/>
      <c r="AL138" s="1376"/>
      <c r="AM138" s="1376"/>
      <c r="AN138" s="1376"/>
      <c r="AO138" s="1376"/>
      <c r="AP138" s="1376"/>
      <c r="AQ138" s="1376"/>
      <c r="AR138" s="1376"/>
      <c r="AS138" s="1376"/>
      <c r="AT138" s="1376"/>
      <c r="AU138" s="1376"/>
      <c r="AV138" s="1376"/>
      <c r="AW138" s="1376"/>
      <c r="AX138" s="1376"/>
      <c r="AY138" s="1376"/>
      <c r="AZ138" s="1376"/>
      <c r="BA138" s="1376"/>
      <c r="BB138" s="1376"/>
      <c r="BC138" s="1455"/>
      <c r="BD138" s="1455"/>
    </row>
    <row r="139" spans="2:56" ht="25.2" customHeight="1">
      <c r="B139" s="329" t="s">
        <v>347</v>
      </c>
      <c r="C139" s="1207" t="s">
        <v>1372</v>
      </c>
      <c r="D139" s="1216" t="s">
        <v>164</v>
      </c>
      <c r="E139" s="1209" t="s">
        <v>190</v>
      </c>
      <c r="F139" s="1209" t="s">
        <v>190</v>
      </c>
      <c r="G139" s="1209"/>
      <c r="H139" s="1210"/>
      <c r="I139" s="1209"/>
      <c r="J139" s="1210"/>
      <c r="K139" s="332"/>
      <c r="L139" s="332"/>
      <c r="M139" s="332"/>
      <c r="N139" s="332"/>
      <c r="O139" s="333"/>
      <c r="P139" s="333"/>
      <c r="Q139" s="332"/>
      <c r="R139" s="333"/>
      <c r="S139" s="332"/>
      <c r="T139" s="332"/>
      <c r="U139" s="332"/>
      <c r="V139" s="332"/>
      <c r="W139" s="332"/>
      <c r="X139" s="333"/>
      <c r="Y139" s="333"/>
      <c r="Z139" s="334"/>
      <c r="AJ139" s="91"/>
      <c r="AK139" s="91"/>
      <c r="AL139" s="91"/>
      <c r="AM139" s="91"/>
      <c r="AN139" s="91"/>
      <c r="AO139" s="91"/>
      <c r="AP139" s="91"/>
      <c r="AQ139" s="91"/>
      <c r="AR139" s="91"/>
      <c r="AS139" s="91"/>
      <c r="AT139" s="91"/>
      <c r="AU139" s="91"/>
      <c r="AV139" s="91"/>
      <c r="AW139" s="91"/>
      <c r="AX139" s="91"/>
      <c r="AY139" s="91"/>
      <c r="AZ139" s="91"/>
      <c r="BA139" s="91"/>
      <c r="BB139" s="91"/>
      <c r="BC139" s="91"/>
      <c r="BD139" s="91"/>
    </row>
    <row r="140" spans="2:56" ht="25.2" customHeight="1">
      <c r="B140" s="329" t="s">
        <v>348</v>
      </c>
      <c r="C140" s="1207" t="s">
        <v>1373</v>
      </c>
      <c r="D140" s="1216" t="s">
        <v>164</v>
      </c>
      <c r="E140" s="1209" t="s">
        <v>190</v>
      </c>
      <c r="F140" s="1209" t="s">
        <v>190</v>
      </c>
      <c r="G140" s="1209"/>
      <c r="H140" s="1210"/>
      <c r="I140" s="1209"/>
      <c r="J140" s="1210"/>
      <c r="K140" s="332"/>
      <c r="L140" s="332"/>
      <c r="M140" s="332"/>
      <c r="N140" s="332"/>
      <c r="O140" s="333"/>
      <c r="P140" s="333"/>
      <c r="Q140" s="332"/>
      <c r="R140" s="333"/>
      <c r="S140" s="332"/>
      <c r="T140" s="332"/>
      <c r="U140" s="332"/>
      <c r="V140" s="332"/>
      <c r="W140" s="332"/>
      <c r="X140" s="333"/>
      <c r="Y140" s="333"/>
      <c r="Z140" s="334"/>
      <c r="AJ140" s="91"/>
      <c r="AK140" s="91"/>
      <c r="AL140" s="91"/>
      <c r="AM140" s="91"/>
      <c r="AN140" s="91"/>
      <c r="AO140" s="91"/>
      <c r="AP140" s="91"/>
      <c r="AQ140" s="91"/>
      <c r="AR140" s="91"/>
      <c r="AS140" s="91"/>
      <c r="AT140" s="91"/>
      <c r="AU140" s="91"/>
      <c r="AV140" s="91"/>
      <c r="AW140" s="91"/>
      <c r="AX140" s="91"/>
      <c r="AY140" s="91"/>
      <c r="AZ140" s="91"/>
      <c r="BA140" s="91"/>
      <c r="BB140" s="91"/>
      <c r="BC140" s="91"/>
      <c r="BD140" s="91"/>
    </row>
    <row r="141" spans="2:56" ht="39" customHeight="1">
      <c r="B141" s="329" t="s">
        <v>349</v>
      </c>
      <c r="C141" s="1207" t="s">
        <v>109</v>
      </c>
      <c r="D141" s="1216" t="s">
        <v>164</v>
      </c>
      <c r="E141" s="1209" t="s">
        <v>190</v>
      </c>
      <c r="F141" s="1209" t="s">
        <v>190</v>
      </c>
      <c r="G141" s="1209"/>
      <c r="H141" s="1210"/>
      <c r="I141" s="1209"/>
      <c r="J141" s="1210"/>
      <c r="K141" s="332"/>
      <c r="L141" s="332"/>
      <c r="M141" s="332"/>
      <c r="N141" s="332"/>
      <c r="O141" s="333"/>
      <c r="P141" s="333"/>
      <c r="Q141" s="332"/>
      <c r="R141" s="333"/>
      <c r="S141" s="332"/>
      <c r="T141" s="332"/>
      <c r="U141" s="332"/>
      <c r="V141" s="332"/>
      <c r="W141" s="332"/>
      <c r="X141" s="333"/>
      <c r="Y141" s="333"/>
      <c r="Z141" s="334" t="s">
        <v>2242</v>
      </c>
      <c r="AA141" s="91"/>
      <c r="AB141" s="91"/>
      <c r="AC141" s="91"/>
      <c r="AD141" s="91"/>
      <c r="AE141" s="91"/>
      <c r="AF141" s="91"/>
      <c r="AG141" s="91"/>
      <c r="AH141" s="91"/>
      <c r="AI141" s="91"/>
      <c r="AJ141" s="95"/>
      <c r="AK141" s="95"/>
      <c r="AL141" s="95"/>
      <c r="AM141" s="95"/>
      <c r="AN141" s="95"/>
      <c r="AO141" s="95"/>
      <c r="AP141" s="1454"/>
      <c r="AQ141" s="1454"/>
      <c r="AR141" s="1454"/>
      <c r="AS141" s="1454"/>
      <c r="AT141" s="1454"/>
      <c r="AU141" s="1454"/>
      <c r="AV141" s="1454"/>
      <c r="AW141" s="1454"/>
      <c r="AX141" s="95"/>
      <c r="AY141" s="95"/>
      <c r="AZ141" s="95"/>
      <c r="BA141" s="1454"/>
      <c r="BB141" s="1454"/>
      <c r="BC141" s="1454"/>
      <c r="BD141" s="1454"/>
    </row>
    <row r="142" spans="2:56" ht="25.2" customHeight="1">
      <c r="B142" s="329" t="s">
        <v>350</v>
      </c>
      <c r="C142" s="1207" t="s">
        <v>175</v>
      </c>
      <c r="D142" s="1216" t="s">
        <v>164</v>
      </c>
      <c r="E142" s="1209" t="s">
        <v>190</v>
      </c>
      <c r="F142" s="1209" t="s">
        <v>190</v>
      </c>
      <c r="G142" s="1209"/>
      <c r="H142" s="1228"/>
      <c r="I142" s="1229"/>
      <c r="J142" s="1228"/>
      <c r="K142" s="343"/>
      <c r="L142" s="343"/>
      <c r="M142" s="343"/>
      <c r="N142" s="343"/>
      <c r="O142" s="342"/>
      <c r="P142" s="342"/>
      <c r="Q142" s="343"/>
      <c r="R142" s="342"/>
      <c r="S142" s="343"/>
      <c r="T142" s="343"/>
      <c r="U142" s="343"/>
      <c r="V142" s="343"/>
      <c r="W142" s="343"/>
      <c r="X142" s="342"/>
      <c r="Y142" s="342"/>
      <c r="Z142" s="334"/>
      <c r="AA142" s="1454"/>
      <c r="AB142" s="1454"/>
      <c r="AC142" s="1454"/>
      <c r="AD142" s="1454"/>
      <c r="AE142" s="1454"/>
      <c r="AF142" s="1454"/>
      <c r="AG142" s="1454"/>
      <c r="AH142" s="1454"/>
      <c r="AI142" s="95"/>
      <c r="AJ142" s="95"/>
      <c r="AK142" s="95"/>
      <c r="AL142" s="95"/>
      <c r="AM142" s="95"/>
      <c r="AN142" s="95"/>
      <c r="AO142" s="95"/>
      <c r="AP142" s="1454"/>
      <c r="AQ142" s="1454"/>
      <c r="AR142" s="1454"/>
      <c r="AS142" s="1454"/>
      <c r="AT142" s="1454"/>
      <c r="AU142" s="1454"/>
      <c r="AV142" s="1454"/>
      <c r="AW142" s="1454"/>
      <c r="AX142" s="95"/>
      <c r="AY142" s="95"/>
      <c r="AZ142" s="95"/>
      <c r="BA142" s="1454"/>
      <c r="BB142" s="1454"/>
      <c r="BC142" s="1454"/>
      <c r="BD142" s="1454"/>
    </row>
    <row r="143" spans="2:56" ht="25.2" customHeight="1">
      <c r="B143" s="329" t="s">
        <v>351</v>
      </c>
      <c r="C143" s="1207" t="s">
        <v>143</v>
      </c>
      <c r="D143" s="1216" t="s">
        <v>189</v>
      </c>
      <c r="E143" s="1209" t="s">
        <v>190</v>
      </c>
      <c r="F143" s="1209" t="s">
        <v>190</v>
      </c>
      <c r="G143" s="1209"/>
      <c r="H143" s="1228"/>
      <c r="I143" s="1229"/>
      <c r="J143" s="1228"/>
      <c r="K143" s="343"/>
      <c r="L143" s="343"/>
      <c r="M143" s="343"/>
      <c r="N143" s="343"/>
      <c r="O143" s="342"/>
      <c r="P143" s="342"/>
      <c r="Q143" s="343"/>
      <c r="R143" s="342"/>
      <c r="S143" s="332" t="s">
        <v>190</v>
      </c>
      <c r="T143" s="332" t="s">
        <v>190</v>
      </c>
      <c r="U143" s="343"/>
      <c r="V143" s="343"/>
      <c r="W143" s="343"/>
      <c r="X143" s="342"/>
      <c r="Y143" s="342"/>
      <c r="Z143" s="334" t="s">
        <v>385</v>
      </c>
      <c r="AA143" s="1454"/>
      <c r="AB143" s="1454"/>
      <c r="AC143" s="1454"/>
      <c r="AD143" s="1454"/>
      <c r="AE143" s="1454"/>
      <c r="AF143" s="1454"/>
      <c r="AG143" s="1454"/>
      <c r="AH143" s="1454"/>
      <c r="AI143" s="95"/>
      <c r="AJ143" s="95"/>
      <c r="AK143" s="95"/>
      <c r="AL143" s="95"/>
      <c r="AM143" s="95"/>
      <c r="AN143" s="95"/>
      <c r="AO143" s="95"/>
      <c r="AP143" s="1454"/>
      <c r="AQ143" s="1454"/>
      <c r="AR143" s="1454"/>
      <c r="AS143" s="1454"/>
      <c r="AT143" s="1454"/>
      <c r="AU143" s="1454"/>
      <c r="AV143" s="1454"/>
      <c r="AW143" s="1454"/>
      <c r="AX143" s="95"/>
      <c r="AY143" s="95"/>
      <c r="AZ143" s="95"/>
      <c r="BA143" s="1454"/>
      <c r="BB143" s="1454"/>
      <c r="BC143" s="1454"/>
      <c r="BD143" s="1454"/>
    </row>
    <row r="144" spans="2:56" ht="24.75" customHeight="1">
      <c r="B144" s="329" t="s">
        <v>352</v>
      </c>
      <c r="C144" s="1207" t="s">
        <v>116</v>
      </c>
      <c r="D144" s="1216" t="s">
        <v>164</v>
      </c>
      <c r="E144" s="1209" t="s">
        <v>190</v>
      </c>
      <c r="F144" s="1209" t="s">
        <v>190</v>
      </c>
      <c r="G144" s="1209"/>
      <c r="H144" s="1228"/>
      <c r="I144" s="1229"/>
      <c r="J144" s="1228"/>
      <c r="K144" s="343"/>
      <c r="L144" s="343"/>
      <c r="M144" s="343"/>
      <c r="N144" s="343"/>
      <c r="O144" s="342"/>
      <c r="P144" s="342"/>
      <c r="Q144" s="343"/>
      <c r="R144" s="342"/>
      <c r="S144" s="343"/>
      <c r="T144" s="343"/>
      <c r="U144" s="343"/>
      <c r="V144" s="343"/>
      <c r="W144" s="343"/>
      <c r="X144" s="342"/>
      <c r="Y144" s="342"/>
      <c r="Z144" s="885" t="s">
        <v>2207</v>
      </c>
      <c r="AA144" s="1454"/>
      <c r="AB144" s="1454"/>
      <c r="AC144" s="1454"/>
      <c r="AD144" s="1454"/>
      <c r="AE144" s="1454"/>
      <c r="AF144" s="1454"/>
      <c r="AG144" s="1454"/>
      <c r="AH144" s="1454"/>
      <c r="AI144" s="95"/>
      <c r="AJ144" s="95"/>
      <c r="AK144" s="95"/>
      <c r="AL144" s="95"/>
      <c r="AM144" s="95"/>
      <c r="AN144" s="95"/>
      <c r="AO144" s="95"/>
      <c r="AP144" s="1454"/>
      <c r="AQ144" s="1454"/>
      <c r="AR144" s="1454"/>
      <c r="AS144" s="1454"/>
      <c r="AT144" s="1454"/>
      <c r="AU144" s="1454"/>
      <c r="AV144" s="1454"/>
      <c r="AW144" s="1454"/>
      <c r="AX144" s="95"/>
      <c r="AY144" s="95"/>
      <c r="AZ144" s="95"/>
      <c r="BA144" s="1454"/>
      <c r="BB144" s="1454"/>
      <c r="BC144" s="1454"/>
      <c r="BD144" s="1454"/>
    </row>
    <row r="145" spans="2:56" ht="24.75" customHeight="1">
      <c r="B145" s="329" t="s">
        <v>353</v>
      </c>
      <c r="C145" s="1225" t="s">
        <v>1055</v>
      </c>
      <c r="D145" s="1216" t="s">
        <v>327</v>
      </c>
      <c r="E145" s="1209" t="s">
        <v>190</v>
      </c>
      <c r="F145" s="1209" t="s">
        <v>190</v>
      </c>
      <c r="G145" s="1209"/>
      <c r="H145" s="1210"/>
      <c r="I145" s="1209"/>
      <c r="J145" s="1210"/>
      <c r="K145" s="332"/>
      <c r="L145" s="332"/>
      <c r="M145" s="332"/>
      <c r="N145" s="332"/>
      <c r="O145" s="333"/>
      <c r="P145" s="333"/>
      <c r="Q145" s="332"/>
      <c r="R145" s="333"/>
      <c r="S145" s="332"/>
      <c r="T145" s="332"/>
      <c r="U145" s="332"/>
      <c r="V145" s="332"/>
      <c r="W145" s="332"/>
      <c r="X145" s="333"/>
      <c r="Y145" s="333"/>
      <c r="Z145" s="334" t="s">
        <v>737</v>
      </c>
      <c r="AJ145" s="91"/>
      <c r="AK145" s="91"/>
      <c r="AL145" s="91"/>
      <c r="AM145" s="91"/>
      <c r="AN145" s="91"/>
      <c r="AO145" s="91"/>
      <c r="AP145" s="91"/>
      <c r="AQ145" s="91"/>
      <c r="AR145" s="91"/>
      <c r="AS145" s="91"/>
      <c r="AT145" s="91"/>
      <c r="AU145" s="91"/>
      <c r="AV145" s="91"/>
      <c r="AW145" s="91"/>
      <c r="AX145" s="91"/>
      <c r="AY145" s="91"/>
      <c r="AZ145" s="91"/>
      <c r="BA145" s="91"/>
      <c r="BB145" s="91"/>
      <c r="BC145" s="1455"/>
      <c r="BD145" s="1455"/>
    </row>
    <row r="146" spans="2:56" ht="24.75" customHeight="1">
      <c r="B146" s="329" t="s">
        <v>354</v>
      </c>
      <c r="C146" s="1225" t="s">
        <v>1054</v>
      </c>
      <c r="D146" s="1216" t="s">
        <v>327</v>
      </c>
      <c r="E146" s="1209" t="s">
        <v>190</v>
      </c>
      <c r="F146" s="1209" t="s">
        <v>190</v>
      </c>
      <c r="G146" s="1209"/>
      <c r="H146" s="1210"/>
      <c r="I146" s="1209"/>
      <c r="J146" s="1210"/>
      <c r="K146" s="332"/>
      <c r="L146" s="332"/>
      <c r="M146" s="332"/>
      <c r="N146" s="332"/>
      <c r="O146" s="333"/>
      <c r="P146" s="333"/>
      <c r="Q146" s="332"/>
      <c r="R146" s="333"/>
      <c r="S146" s="332"/>
      <c r="T146" s="332"/>
      <c r="U146" s="332"/>
      <c r="V146" s="332"/>
      <c r="W146" s="332"/>
      <c r="X146" s="333"/>
      <c r="Y146" s="333"/>
      <c r="Z146" s="334" t="s">
        <v>737</v>
      </c>
      <c r="AJ146" s="91"/>
      <c r="AK146" s="91"/>
      <c r="AL146" s="91"/>
      <c r="AM146" s="91"/>
      <c r="AN146" s="91"/>
      <c r="AO146" s="91"/>
      <c r="AP146" s="91"/>
      <c r="AQ146" s="91"/>
      <c r="AR146" s="91"/>
      <c r="AS146" s="91"/>
      <c r="AT146" s="91"/>
      <c r="AU146" s="91"/>
      <c r="AV146" s="91"/>
      <c r="AW146" s="91"/>
      <c r="AX146" s="91"/>
      <c r="AY146" s="91"/>
      <c r="AZ146" s="91"/>
      <c r="BA146" s="91"/>
      <c r="BB146" s="91"/>
      <c r="BC146" s="91"/>
      <c r="BD146" s="91"/>
    </row>
    <row r="147" spans="2:56" ht="24.75" customHeight="1">
      <c r="B147" s="329" t="s">
        <v>355</v>
      </c>
      <c r="C147" s="1207" t="s">
        <v>147</v>
      </c>
      <c r="D147" s="1216" t="s">
        <v>327</v>
      </c>
      <c r="E147" s="1209" t="s">
        <v>190</v>
      </c>
      <c r="F147" s="1209" t="s">
        <v>190</v>
      </c>
      <c r="G147" s="1209"/>
      <c r="H147" s="1228"/>
      <c r="I147" s="1229"/>
      <c r="J147" s="1228"/>
      <c r="K147" s="343"/>
      <c r="L147" s="343"/>
      <c r="M147" s="343"/>
      <c r="N147" s="343"/>
      <c r="O147" s="342"/>
      <c r="P147" s="342"/>
      <c r="Q147" s="343"/>
      <c r="R147" s="342"/>
      <c r="S147" s="332"/>
      <c r="T147" s="332"/>
      <c r="U147" s="332"/>
      <c r="V147" s="343"/>
      <c r="W147" s="343"/>
      <c r="X147" s="342"/>
      <c r="Y147" s="342"/>
      <c r="Z147" s="334"/>
      <c r="AA147" s="1454"/>
      <c r="AB147" s="1454"/>
      <c r="AC147" s="1454"/>
      <c r="AD147" s="1454"/>
      <c r="AE147" s="1454"/>
      <c r="AF147" s="1454"/>
      <c r="AG147" s="1454"/>
      <c r="AH147" s="1454"/>
      <c r="AI147" s="95"/>
      <c r="AJ147" s="95"/>
      <c r="AK147" s="95"/>
      <c r="AL147" s="95"/>
      <c r="AM147" s="95"/>
      <c r="AN147" s="95"/>
      <c r="AO147" s="95"/>
      <c r="AP147" s="1454"/>
      <c r="AQ147" s="1454"/>
      <c r="AR147" s="1454"/>
      <c r="AS147" s="1454"/>
      <c r="AT147" s="1454"/>
      <c r="AU147" s="1454"/>
      <c r="AV147" s="1454"/>
      <c r="AW147" s="1454"/>
      <c r="AX147" s="95"/>
      <c r="AY147" s="95"/>
      <c r="AZ147" s="95"/>
      <c r="BA147" s="1454"/>
      <c r="BB147" s="1454"/>
      <c r="BC147" s="1454"/>
      <c r="BD147" s="1454"/>
    </row>
    <row r="148" spans="2:56" ht="24.75" customHeight="1">
      <c r="B148" s="329" t="s">
        <v>356</v>
      </c>
      <c r="C148" s="1207" t="s">
        <v>148</v>
      </c>
      <c r="D148" s="1216" t="s">
        <v>327</v>
      </c>
      <c r="E148" s="1209" t="s">
        <v>190</v>
      </c>
      <c r="F148" s="1209" t="s">
        <v>190</v>
      </c>
      <c r="G148" s="1209"/>
      <c r="H148" s="1210"/>
      <c r="I148" s="1209"/>
      <c r="J148" s="1210"/>
      <c r="K148" s="332"/>
      <c r="L148" s="332"/>
      <c r="M148" s="332"/>
      <c r="N148" s="332"/>
      <c r="O148" s="333"/>
      <c r="P148" s="333"/>
      <c r="Q148" s="332"/>
      <c r="R148" s="333"/>
      <c r="S148" s="332"/>
      <c r="T148" s="332"/>
      <c r="U148" s="332" t="s">
        <v>190</v>
      </c>
      <c r="V148" s="332"/>
      <c r="W148" s="332"/>
      <c r="X148" s="333"/>
      <c r="Y148" s="333"/>
      <c r="Z148" s="334"/>
      <c r="AA148" s="1454"/>
      <c r="AB148" s="1454"/>
      <c r="AC148" s="1454"/>
      <c r="AD148" s="1454"/>
      <c r="AE148" s="1454"/>
      <c r="AF148" s="1454"/>
      <c r="AG148" s="1454"/>
      <c r="AH148" s="1454"/>
      <c r="AI148" s="95"/>
      <c r="AJ148" s="95"/>
      <c r="AK148" s="95"/>
      <c r="AL148" s="95"/>
      <c r="AM148" s="95"/>
      <c r="AN148" s="95"/>
      <c r="AO148" s="95"/>
      <c r="AP148" s="1454"/>
      <c r="AQ148" s="1454"/>
      <c r="AR148" s="1454"/>
      <c r="AS148" s="1454"/>
      <c r="AT148" s="1454"/>
      <c r="AU148" s="1454"/>
      <c r="AV148" s="1454"/>
      <c r="AW148" s="1454"/>
      <c r="AX148" s="95"/>
      <c r="AY148" s="95"/>
      <c r="AZ148" s="95"/>
      <c r="BA148" s="1454"/>
      <c r="BB148" s="1454"/>
      <c r="BC148" s="1454"/>
      <c r="BD148" s="1454"/>
    </row>
    <row r="149" spans="2:56" ht="25.2" customHeight="1">
      <c r="B149" s="329" t="s">
        <v>749</v>
      </c>
      <c r="C149" s="1207" t="s">
        <v>1739</v>
      </c>
      <c r="D149" s="1216" t="s">
        <v>164</v>
      </c>
      <c r="E149" s="1209" t="s">
        <v>190</v>
      </c>
      <c r="F149" s="1209" t="s">
        <v>190</v>
      </c>
      <c r="G149" s="1209"/>
      <c r="H149" s="1228"/>
      <c r="I149" s="1209" t="s">
        <v>190</v>
      </c>
      <c r="J149" s="1228"/>
      <c r="K149" s="343"/>
      <c r="L149" s="343"/>
      <c r="M149" s="343"/>
      <c r="N149" s="343"/>
      <c r="O149" s="342"/>
      <c r="P149" s="342"/>
      <c r="Q149" s="343"/>
      <c r="R149" s="342"/>
      <c r="S149" s="343"/>
      <c r="T149" s="343"/>
      <c r="U149" s="343"/>
      <c r="V149" s="343"/>
      <c r="W149" s="343"/>
      <c r="X149" s="342"/>
      <c r="Y149" s="342"/>
      <c r="Z149" s="885" t="s">
        <v>2208</v>
      </c>
      <c r="AA149" s="95"/>
      <c r="AB149" s="95"/>
      <c r="AC149" s="95"/>
      <c r="AD149" s="95"/>
      <c r="AE149" s="95"/>
      <c r="AF149" s="95"/>
      <c r="AG149" s="95"/>
      <c r="AH149" s="95"/>
      <c r="AI149" s="95"/>
      <c r="AJ149" s="95"/>
      <c r="AK149" s="95"/>
      <c r="AL149" s="95"/>
      <c r="AM149" s="95"/>
      <c r="AN149" s="95"/>
      <c r="AO149" s="95"/>
      <c r="AP149" s="95"/>
      <c r="AQ149" s="95"/>
      <c r="AR149" s="95"/>
      <c r="AS149" s="95"/>
      <c r="AT149" s="95"/>
      <c r="AU149" s="95"/>
      <c r="AV149" s="95"/>
      <c r="AW149" s="95"/>
      <c r="AX149" s="95"/>
      <c r="AY149" s="95"/>
      <c r="AZ149" s="95"/>
      <c r="BA149" s="95"/>
      <c r="BB149" s="95"/>
      <c r="BC149" s="95"/>
      <c r="BD149" s="95"/>
    </row>
    <row r="150" spans="2:56" ht="24.6" customHeight="1">
      <c r="B150" s="329" t="s">
        <v>750</v>
      </c>
      <c r="C150" s="330" t="s">
        <v>111</v>
      </c>
      <c r="D150" s="331" t="s">
        <v>164</v>
      </c>
      <c r="E150" s="332" t="s">
        <v>190</v>
      </c>
      <c r="F150" s="332" t="s">
        <v>190</v>
      </c>
      <c r="G150" s="332"/>
      <c r="H150" s="333"/>
      <c r="I150" s="332"/>
      <c r="J150" s="333"/>
      <c r="K150" s="332"/>
      <c r="L150" s="332"/>
      <c r="M150" s="332"/>
      <c r="N150" s="332"/>
      <c r="O150" s="333"/>
      <c r="P150" s="333"/>
      <c r="Q150" s="332"/>
      <c r="R150" s="333"/>
      <c r="S150" s="332"/>
      <c r="T150" s="332"/>
      <c r="U150" s="332"/>
      <c r="V150" s="332"/>
      <c r="W150" s="332"/>
      <c r="X150" s="333"/>
      <c r="Y150" s="333"/>
      <c r="Z150" s="334" t="s">
        <v>1041</v>
      </c>
      <c r="AA150" s="1454"/>
      <c r="AB150" s="1454"/>
      <c r="AC150" s="1454"/>
      <c r="AD150" s="1454"/>
      <c r="AE150" s="1454"/>
      <c r="AF150" s="1454"/>
      <c r="AG150" s="1454"/>
      <c r="AH150" s="1454"/>
      <c r="AI150" s="95"/>
      <c r="AJ150" s="95"/>
      <c r="AK150" s="95"/>
      <c r="AL150" s="95"/>
      <c r="AM150" s="95"/>
      <c r="AN150" s="95"/>
      <c r="AO150" s="95"/>
      <c r="AP150" s="1454"/>
      <c r="AQ150" s="1454"/>
      <c r="AR150" s="1454"/>
      <c r="AS150" s="1454"/>
      <c r="AT150" s="1454"/>
      <c r="AU150" s="1454"/>
      <c r="AV150" s="1454"/>
      <c r="AW150" s="1454"/>
      <c r="AX150" s="95"/>
      <c r="AY150" s="95"/>
      <c r="AZ150" s="95"/>
      <c r="BA150" s="1454"/>
      <c r="BB150" s="1454"/>
      <c r="BC150" s="1454"/>
      <c r="BD150" s="1454"/>
    </row>
    <row r="151" spans="2:56" ht="24.75" customHeight="1">
      <c r="B151" s="329" t="s">
        <v>751</v>
      </c>
      <c r="C151" s="330" t="s">
        <v>146</v>
      </c>
      <c r="D151" s="331" t="s">
        <v>164</v>
      </c>
      <c r="E151" s="332" t="s">
        <v>190</v>
      </c>
      <c r="F151" s="332" t="s">
        <v>190</v>
      </c>
      <c r="G151" s="332"/>
      <c r="H151" s="333"/>
      <c r="I151" s="332"/>
      <c r="J151" s="333" t="s">
        <v>190</v>
      </c>
      <c r="K151" s="332"/>
      <c r="L151" s="332"/>
      <c r="M151" s="332"/>
      <c r="N151" s="332"/>
      <c r="O151" s="333"/>
      <c r="P151" s="333"/>
      <c r="Q151" s="332"/>
      <c r="R151" s="333"/>
      <c r="S151" s="332"/>
      <c r="T151" s="332"/>
      <c r="U151" s="332"/>
      <c r="V151" s="332"/>
      <c r="W151" s="332"/>
      <c r="X151" s="333"/>
      <c r="Y151" s="333"/>
      <c r="Z151" s="334" t="s">
        <v>1024</v>
      </c>
      <c r="AA151" s="1454"/>
      <c r="AB151" s="1454"/>
      <c r="AC151" s="1454"/>
      <c r="AD151" s="1454"/>
      <c r="AE151" s="1454"/>
      <c r="AF151" s="1454"/>
      <c r="AG151" s="1454"/>
      <c r="AH151" s="1454"/>
      <c r="AI151" s="95"/>
      <c r="AJ151" s="95"/>
      <c r="AK151" s="95"/>
      <c r="AL151" s="95"/>
      <c r="AM151" s="95"/>
      <c r="AN151" s="95"/>
      <c r="AO151" s="95"/>
      <c r="AP151" s="1454"/>
      <c r="AQ151" s="1454"/>
      <c r="AR151" s="1454"/>
      <c r="AS151" s="1454"/>
      <c r="AT151" s="1454"/>
      <c r="AU151" s="1454"/>
      <c r="AV151" s="1454"/>
      <c r="AW151" s="1454"/>
      <c r="AX151" s="95"/>
      <c r="AY151" s="95"/>
      <c r="AZ151" s="95"/>
      <c r="BA151" s="1454"/>
      <c r="BB151" s="1454"/>
      <c r="BC151" s="1454"/>
      <c r="BD151" s="1454"/>
    </row>
    <row r="152" spans="2:56" ht="24.75" customHeight="1">
      <c r="B152" s="329" t="s">
        <v>1767</v>
      </c>
      <c r="C152" s="387" t="s">
        <v>742</v>
      </c>
      <c r="D152" s="331" t="s">
        <v>327</v>
      </c>
      <c r="E152" s="332" t="s">
        <v>190</v>
      </c>
      <c r="F152" s="332" t="s">
        <v>190</v>
      </c>
      <c r="G152" s="332"/>
      <c r="H152" s="333" t="s">
        <v>191</v>
      </c>
      <c r="I152" s="332"/>
      <c r="J152" s="333"/>
      <c r="K152" s="332"/>
      <c r="L152" s="332"/>
      <c r="M152" s="332"/>
      <c r="N152" s="332"/>
      <c r="O152" s="333"/>
      <c r="P152" s="333"/>
      <c r="Q152" s="332"/>
      <c r="R152" s="333"/>
      <c r="S152" s="332"/>
      <c r="T152" s="332"/>
      <c r="U152" s="332"/>
      <c r="V152" s="332"/>
      <c r="W152" s="332"/>
      <c r="X152" s="333"/>
      <c r="Y152" s="333"/>
      <c r="Z152" s="334" t="s">
        <v>737</v>
      </c>
      <c r="AJ152" s="91"/>
      <c r="AK152" s="91"/>
      <c r="AL152" s="91"/>
      <c r="AM152" s="91"/>
      <c r="AN152" s="91"/>
      <c r="AO152" s="91"/>
      <c r="AP152" s="91"/>
      <c r="AQ152" s="91"/>
      <c r="AR152" s="91"/>
      <c r="AS152" s="91"/>
      <c r="AT152" s="91"/>
      <c r="AU152" s="91"/>
      <c r="AV152" s="91"/>
      <c r="AW152" s="91"/>
      <c r="AX152" s="91"/>
      <c r="AY152" s="91"/>
      <c r="AZ152" s="91"/>
      <c r="BA152" s="91"/>
      <c r="BB152" s="91"/>
      <c r="BC152" s="91"/>
      <c r="BD152" s="91"/>
    </row>
    <row r="153" spans="2:56" ht="24.75" customHeight="1">
      <c r="B153" s="329" t="s">
        <v>1768</v>
      </c>
      <c r="C153" s="387" t="s">
        <v>743</v>
      </c>
      <c r="D153" s="331" t="s">
        <v>327</v>
      </c>
      <c r="E153" s="332" t="s">
        <v>190</v>
      </c>
      <c r="F153" s="332" t="s">
        <v>190</v>
      </c>
      <c r="G153" s="332"/>
      <c r="H153" s="333" t="s">
        <v>191</v>
      </c>
      <c r="I153" s="332"/>
      <c r="J153" s="333"/>
      <c r="K153" s="332"/>
      <c r="L153" s="332"/>
      <c r="M153" s="332"/>
      <c r="N153" s="332"/>
      <c r="O153" s="333"/>
      <c r="P153" s="333"/>
      <c r="Q153" s="332"/>
      <c r="R153" s="333"/>
      <c r="S153" s="332"/>
      <c r="T153" s="332"/>
      <c r="U153" s="332"/>
      <c r="V153" s="332"/>
      <c r="W153" s="332"/>
      <c r="X153" s="333"/>
      <c r="Y153" s="333"/>
      <c r="Z153" s="334" t="s">
        <v>737</v>
      </c>
      <c r="AJ153" s="91"/>
      <c r="AK153" s="91"/>
      <c r="AL153" s="91"/>
      <c r="AM153" s="91"/>
      <c r="AN153" s="91"/>
      <c r="AO153" s="91"/>
      <c r="AP153" s="91"/>
      <c r="AQ153" s="91"/>
      <c r="AR153" s="91"/>
      <c r="AS153" s="91"/>
      <c r="AT153" s="91"/>
      <c r="AU153" s="91"/>
      <c r="AV153" s="91"/>
      <c r="AW153" s="91"/>
      <c r="AX153" s="91"/>
      <c r="AY153" s="91"/>
      <c r="AZ153" s="91"/>
      <c r="BA153" s="91"/>
      <c r="BB153" s="91"/>
      <c r="BC153" s="91"/>
      <c r="BD153" s="91"/>
    </row>
    <row r="154" spans="2:56" ht="24.75" customHeight="1">
      <c r="B154" s="329" t="s">
        <v>1769</v>
      </c>
      <c r="C154" s="387" t="s">
        <v>745</v>
      </c>
      <c r="D154" s="331" t="s">
        <v>327</v>
      </c>
      <c r="E154" s="332" t="s">
        <v>190</v>
      </c>
      <c r="F154" s="332" t="s">
        <v>190</v>
      </c>
      <c r="G154" s="332"/>
      <c r="H154" s="333"/>
      <c r="I154" s="332"/>
      <c r="J154" s="333"/>
      <c r="K154" s="332"/>
      <c r="L154" s="332"/>
      <c r="M154" s="332"/>
      <c r="N154" s="332"/>
      <c r="O154" s="333"/>
      <c r="P154" s="333"/>
      <c r="Q154" s="332"/>
      <c r="R154" s="333"/>
      <c r="S154" s="332"/>
      <c r="T154" s="332"/>
      <c r="U154" s="332"/>
      <c r="V154" s="332"/>
      <c r="W154" s="332"/>
      <c r="X154" s="333"/>
      <c r="Y154" s="333"/>
      <c r="Z154" s="334" t="s">
        <v>737</v>
      </c>
      <c r="AJ154" s="91"/>
      <c r="AK154" s="91"/>
      <c r="AL154" s="91"/>
      <c r="AM154" s="91"/>
      <c r="AN154" s="91"/>
      <c r="AO154" s="91"/>
      <c r="AP154" s="91"/>
      <c r="AQ154" s="91"/>
      <c r="AR154" s="91"/>
      <c r="AS154" s="91"/>
      <c r="AT154" s="91"/>
      <c r="AU154" s="91"/>
      <c r="AV154" s="91"/>
      <c r="AW154" s="91"/>
      <c r="AX154" s="91"/>
      <c r="AY154" s="91"/>
      <c r="AZ154" s="91"/>
      <c r="BA154" s="91"/>
      <c r="BB154" s="91"/>
      <c r="BC154" s="91"/>
      <c r="BD154" s="91"/>
    </row>
    <row r="155" spans="2:56" ht="105.6" customHeight="1">
      <c r="B155" s="1499" t="s">
        <v>1770</v>
      </c>
      <c r="C155" s="1493" t="s">
        <v>1749</v>
      </c>
      <c r="D155" s="1487" t="s">
        <v>164</v>
      </c>
      <c r="E155" s="1487" t="s">
        <v>190</v>
      </c>
      <c r="F155" s="1487" t="s">
        <v>190</v>
      </c>
      <c r="G155" s="1481"/>
      <c r="H155" s="1481"/>
      <c r="I155" s="1481"/>
      <c r="J155" s="1481"/>
      <c r="K155" s="1481"/>
      <c r="L155" s="1481"/>
      <c r="M155" s="1481"/>
      <c r="N155" s="1481"/>
      <c r="O155" s="1481"/>
      <c r="P155" s="1481"/>
      <c r="Q155" s="1481"/>
      <c r="R155" s="1481" t="s">
        <v>190</v>
      </c>
      <c r="S155" s="1481"/>
      <c r="T155" s="1481"/>
      <c r="U155" s="1481"/>
      <c r="V155" s="1481"/>
      <c r="W155" s="1481"/>
      <c r="X155" s="1481"/>
      <c r="Y155" s="1481"/>
      <c r="Z155" s="1390" t="s">
        <v>2240</v>
      </c>
      <c r="AJ155" s="91"/>
      <c r="AK155" s="91"/>
      <c r="AL155" s="91"/>
      <c r="AM155" s="91"/>
      <c r="AN155" s="91"/>
      <c r="AO155" s="91"/>
      <c r="AP155" s="91"/>
      <c r="AQ155" s="91"/>
      <c r="AR155" s="91"/>
      <c r="AS155" s="91"/>
      <c r="AT155" s="91"/>
      <c r="AU155" s="91"/>
      <c r="AV155" s="91"/>
      <c r="AW155" s="91"/>
      <c r="AX155" s="91"/>
      <c r="AY155" s="91"/>
      <c r="AZ155" s="91"/>
      <c r="BA155" s="91"/>
      <c r="BB155" s="91"/>
      <c r="BC155" s="91"/>
      <c r="BD155" s="91"/>
    </row>
    <row r="156" spans="2:56" ht="18.600000000000001" customHeight="1">
      <c r="B156" s="1500"/>
      <c r="C156" s="1494"/>
      <c r="D156" s="1488"/>
      <c r="E156" s="1488"/>
      <c r="F156" s="1488"/>
      <c r="G156" s="1482"/>
      <c r="H156" s="1482"/>
      <c r="I156" s="1482"/>
      <c r="J156" s="1482"/>
      <c r="K156" s="1482"/>
      <c r="L156" s="1482"/>
      <c r="M156" s="1482"/>
      <c r="N156" s="1482"/>
      <c r="O156" s="1482"/>
      <c r="P156" s="1482"/>
      <c r="Q156" s="1482"/>
      <c r="R156" s="1482"/>
      <c r="S156" s="1482"/>
      <c r="T156" s="1482"/>
      <c r="U156" s="1482"/>
      <c r="V156" s="1482"/>
      <c r="W156" s="1482"/>
      <c r="X156" s="1482"/>
      <c r="Y156" s="1482"/>
      <c r="Z156" s="1392" t="s">
        <v>2220</v>
      </c>
      <c r="AJ156" s="91"/>
      <c r="AK156" s="91"/>
      <c r="AL156" s="91"/>
      <c r="AM156" s="91"/>
      <c r="AN156" s="91"/>
      <c r="AO156" s="91"/>
      <c r="AP156" s="91"/>
      <c r="AQ156" s="91"/>
      <c r="AR156" s="91"/>
      <c r="AS156" s="91"/>
      <c r="AT156" s="91"/>
      <c r="AU156" s="91"/>
      <c r="AV156" s="91"/>
      <c r="AW156" s="91"/>
      <c r="AX156" s="91"/>
      <c r="AY156" s="91"/>
      <c r="AZ156" s="91"/>
      <c r="BA156" s="91"/>
      <c r="BB156" s="91"/>
      <c r="BC156" s="91"/>
      <c r="BD156" s="91"/>
    </row>
    <row r="157" spans="2:56" ht="18.600000000000001" customHeight="1">
      <c r="B157" s="1500"/>
      <c r="C157" s="1494"/>
      <c r="D157" s="1488"/>
      <c r="E157" s="1488"/>
      <c r="F157" s="1488"/>
      <c r="G157" s="1482"/>
      <c r="H157" s="1482"/>
      <c r="I157" s="1482"/>
      <c r="J157" s="1482"/>
      <c r="K157" s="1482"/>
      <c r="L157" s="1482"/>
      <c r="M157" s="1482"/>
      <c r="N157" s="1482"/>
      <c r="O157" s="1482"/>
      <c r="P157" s="1482"/>
      <c r="Q157" s="1482"/>
      <c r="R157" s="1482"/>
      <c r="S157" s="1482"/>
      <c r="T157" s="1482"/>
      <c r="U157" s="1482"/>
      <c r="V157" s="1482"/>
      <c r="W157" s="1482"/>
      <c r="X157" s="1482"/>
      <c r="Y157" s="1482"/>
      <c r="Z157" s="1393" t="s">
        <v>2221</v>
      </c>
      <c r="AJ157" s="91"/>
      <c r="AK157" s="91"/>
      <c r="AL157" s="91"/>
      <c r="AM157" s="91"/>
      <c r="AN157" s="91"/>
      <c r="AO157" s="91"/>
      <c r="AP157" s="91"/>
      <c r="AQ157" s="91"/>
      <c r="AR157" s="91"/>
      <c r="AS157" s="91"/>
      <c r="AT157" s="91"/>
      <c r="AU157" s="91"/>
      <c r="AV157" s="91"/>
      <c r="AW157" s="91"/>
      <c r="AX157" s="91"/>
      <c r="AY157" s="91"/>
      <c r="AZ157" s="91"/>
      <c r="BA157" s="91"/>
      <c r="BB157" s="91"/>
      <c r="BC157" s="91"/>
      <c r="BD157" s="91"/>
    </row>
    <row r="158" spans="2:56" ht="18.600000000000001" customHeight="1">
      <c r="B158" s="1501"/>
      <c r="C158" s="1495"/>
      <c r="D158" s="1489"/>
      <c r="E158" s="1489"/>
      <c r="F158" s="1489"/>
      <c r="G158" s="1483"/>
      <c r="H158" s="1483"/>
      <c r="I158" s="1483"/>
      <c r="J158" s="1483"/>
      <c r="K158" s="1483"/>
      <c r="L158" s="1483"/>
      <c r="M158" s="1483"/>
      <c r="N158" s="1483"/>
      <c r="O158" s="1483"/>
      <c r="P158" s="1483"/>
      <c r="Q158" s="1483"/>
      <c r="R158" s="1483"/>
      <c r="S158" s="1483"/>
      <c r="T158" s="1483"/>
      <c r="U158" s="1483"/>
      <c r="V158" s="1483"/>
      <c r="W158" s="1483"/>
      <c r="X158" s="1483"/>
      <c r="Y158" s="1483"/>
      <c r="Z158" s="1394" t="s">
        <v>2222</v>
      </c>
      <c r="AJ158" s="91"/>
      <c r="AK158" s="91"/>
      <c r="AL158" s="91"/>
      <c r="AM158" s="91"/>
      <c r="AN158" s="91"/>
      <c r="AO158" s="91"/>
      <c r="AP158" s="91"/>
      <c r="AQ158" s="91"/>
      <c r="AR158" s="91"/>
      <c r="AS158" s="91"/>
      <c r="AT158" s="91"/>
      <c r="AU158" s="91"/>
      <c r="AV158" s="91"/>
      <c r="AW158" s="91"/>
      <c r="AX158" s="91"/>
      <c r="AY158" s="91"/>
      <c r="AZ158" s="91"/>
      <c r="BA158" s="91"/>
      <c r="BB158" s="91"/>
      <c r="BC158" s="91"/>
      <c r="BD158" s="91"/>
    </row>
    <row r="159" spans="2:56" ht="24.75" customHeight="1">
      <c r="B159" s="329" t="s">
        <v>2236</v>
      </c>
      <c r="C159" s="330" t="s">
        <v>113</v>
      </c>
      <c r="D159" s="331" t="s">
        <v>164</v>
      </c>
      <c r="E159" s="332" t="s">
        <v>190</v>
      </c>
      <c r="F159" s="332" t="s">
        <v>190</v>
      </c>
      <c r="G159" s="332"/>
      <c r="H159" s="333"/>
      <c r="I159" s="397"/>
      <c r="J159" s="333"/>
      <c r="K159" s="333"/>
      <c r="L159" s="397"/>
      <c r="M159" s="333" t="s">
        <v>190</v>
      </c>
      <c r="N159" s="332"/>
      <c r="O159" s="333"/>
      <c r="P159" s="333"/>
      <c r="Q159" s="332"/>
      <c r="R159" s="333"/>
      <c r="S159" s="332"/>
      <c r="T159" s="332"/>
      <c r="U159" s="332"/>
      <c r="V159" s="333"/>
      <c r="W159" s="333"/>
      <c r="X159" s="333"/>
      <c r="Y159" s="333"/>
      <c r="Z159" s="399" t="s">
        <v>1041</v>
      </c>
      <c r="AA159" s="1454"/>
      <c r="AB159" s="1454"/>
      <c r="AC159" s="1454"/>
      <c r="AD159" s="1454"/>
      <c r="AE159" s="1454"/>
      <c r="AF159" s="1454"/>
      <c r="AG159" s="1454"/>
      <c r="AH159" s="1454"/>
      <c r="AI159" s="95"/>
      <c r="AJ159" s="95"/>
      <c r="AK159" s="95"/>
      <c r="AL159" s="95"/>
      <c r="AM159" s="95"/>
      <c r="AN159" s="95"/>
      <c r="AO159" s="95"/>
      <c r="AP159" s="1454"/>
      <c r="AQ159" s="1454"/>
      <c r="AR159" s="1454"/>
      <c r="AS159" s="1454"/>
      <c r="AT159" s="1454"/>
      <c r="AU159" s="1454"/>
      <c r="AV159" s="1454"/>
      <c r="AW159" s="1454"/>
      <c r="AX159" s="95"/>
      <c r="AY159" s="95"/>
      <c r="AZ159" s="95"/>
      <c r="BA159" s="1454"/>
      <c r="BB159" s="1454"/>
      <c r="BC159" s="1454"/>
      <c r="BD159" s="1454"/>
    </row>
    <row r="160" spans="2:56" ht="25.2" customHeight="1">
      <c r="B160" s="553" t="s">
        <v>2237</v>
      </c>
      <c r="C160" s="554" t="s">
        <v>1006</v>
      </c>
      <c r="D160" s="549" t="s">
        <v>164</v>
      </c>
      <c r="E160" s="550" t="s">
        <v>190</v>
      </c>
      <c r="F160" s="550" t="s">
        <v>190</v>
      </c>
      <c r="G160" s="550"/>
      <c r="H160" s="555"/>
      <c r="I160" s="339"/>
      <c r="J160" s="555"/>
      <c r="K160" s="555"/>
      <c r="L160" s="339"/>
      <c r="M160" s="550"/>
      <c r="N160" s="550"/>
      <c r="O160" s="555"/>
      <c r="P160" s="555"/>
      <c r="Q160" s="550"/>
      <c r="R160" s="555"/>
      <c r="S160" s="550"/>
      <c r="T160" s="550"/>
      <c r="U160" s="550"/>
      <c r="V160" s="550"/>
      <c r="W160" s="550"/>
      <c r="X160" s="555"/>
      <c r="Y160" s="555"/>
      <c r="Z160" s="340"/>
      <c r="AH160" s="91"/>
      <c r="AI160" s="91"/>
      <c r="AJ160" s="95"/>
      <c r="AK160" s="95"/>
      <c r="AL160" s="95"/>
      <c r="AM160" s="95"/>
      <c r="AN160" s="95"/>
      <c r="AO160" s="95"/>
      <c r="AP160" s="1454"/>
      <c r="AQ160" s="1454"/>
      <c r="AR160" s="1454"/>
      <c r="AS160" s="1454"/>
      <c r="AT160" s="1454"/>
      <c r="AU160" s="1454"/>
      <c r="AV160" s="1454"/>
      <c r="AW160" s="1454"/>
      <c r="AX160" s="95"/>
      <c r="AY160" s="95"/>
      <c r="AZ160" s="95"/>
      <c r="BA160" s="1454"/>
      <c r="BB160" s="1454"/>
      <c r="BC160" s="1454"/>
      <c r="BD160" s="1454"/>
    </row>
    <row r="161" spans="2:56" ht="15" customHeight="1">
      <c r="Z161" s="100"/>
    </row>
    <row r="162" spans="2:56" ht="15" customHeight="1">
      <c r="Z162" s="100"/>
      <c r="AH162" s="91"/>
      <c r="AI162" s="91"/>
    </row>
    <row r="163" spans="2:56" s="90" customFormat="1" ht="16.2">
      <c r="B163" s="872" t="s">
        <v>1771</v>
      </c>
      <c r="C163" s="855"/>
      <c r="D163" s="855" t="s">
        <v>322</v>
      </c>
      <c r="E163" s="855"/>
      <c r="F163" s="855"/>
      <c r="G163" s="855"/>
      <c r="H163" s="855"/>
      <c r="I163" s="855"/>
      <c r="J163" s="855"/>
      <c r="K163" s="855"/>
      <c r="L163" s="855"/>
      <c r="M163" s="855"/>
      <c r="N163" s="855"/>
      <c r="O163" s="855"/>
      <c r="P163" s="855"/>
      <c r="Q163" s="855"/>
      <c r="R163" s="855"/>
      <c r="S163" s="855"/>
      <c r="T163" s="855"/>
      <c r="U163" s="855"/>
      <c r="V163" s="855"/>
      <c r="W163" s="855"/>
      <c r="X163" s="855"/>
      <c r="Y163" s="855"/>
      <c r="Z163" s="855"/>
      <c r="AH163" s="91"/>
      <c r="AI163" s="91"/>
    </row>
    <row r="164" spans="2:56" ht="25.2" customHeight="1">
      <c r="B164" s="323" t="s">
        <v>1773</v>
      </c>
      <c r="C164" s="1233" t="s">
        <v>1372</v>
      </c>
      <c r="D164" s="1234" t="s">
        <v>164</v>
      </c>
      <c r="E164" s="1212" t="s">
        <v>190</v>
      </c>
      <c r="F164" s="1212" t="s">
        <v>190</v>
      </c>
      <c r="G164" s="1212"/>
      <c r="H164" s="1235"/>
      <c r="I164" s="1212"/>
      <c r="J164" s="1235"/>
      <c r="K164" s="1212"/>
      <c r="L164" s="1212"/>
      <c r="M164" s="1212"/>
      <c r="N164" s="1212"/>
      <c r="O164" s="1246"/>
      <c r="P164" s="1247"/>
      <c r="Q164" s="1212"/>
      <c r="R164" s="1247"/>
      <c r="S164" s="1248"/>
      <c r="T164" s="1248"/>
      <c r="U164" s="1248"/>
      <c r="V164" s="1248"/>
      <c r="W164" s="1248"/>
      <c r="X164" s="1247"/>
      <c r="Y164" s="1247"/>
      <c r="Z164" s="1249"/>
      <c r="AA164" s="88"/>
      <c r="AJ164" s="91"/>
      <c r="AK164" s="91"/>
      <c r="AL164" s="91"/>
      <c r="AM164" s="91"/>
      <c r="AN164" s="91"/>
      <c r="AO164" s="91"/>
      <c r="AP164" s="91"/>
      <c r="AQ164" s="91"/>
      <c r="AR164" s="91"/>
      <c r="AS164" s="91"/>
      <c r="AT164" s="91"/>
      <c r="AU164" s="91"/>
      <c r="AV164" s="91"/>
      <c r="AW164" s="91"/>
      <c r="AX164" s="91"/>
      <c r="AY164" s="91"/>
      <c r="AZ164" s="91"/>
      <c r="BA164" s="91"/>
      <c r="BB164" s="91"/>
      <c r="BC164" s="91"/>
      <c r="BD164" s="91"/>
    </row>
    <row r="165" spans="2:56" s="1377" customFormat="1" ht="25.2" customHeight="1">
      <c r="B165" s="871" t="s">
        <v>1774</v>
      </c>
      <c r="C165" s="1380" t="s">
        <v>1373</v>
      </c>
      <c r="D165" s="1387" t="s">
        <v>164</v>
      </c>
      <c r="E165" s="1382" t="s">
        <v>190</v>
      </c>
      <c r="F165" s="1382" t="s">
        <v>190</v>
      </c>
      <c r="G165" s="1382"/>
      <c r="H165" s="1383"/>
      <c r="I165" s="1382"/>
      <c r="J165" s="1383"/>
      <c r="K165" s="1384"/>
      <c r="L165" s="1384"/>
      <c r="M165" s="1384"/>
      <c r="N165" s="1384"/>
      <c r="O165" s="1385"/>
      <c r="P165" s="1385"/>
      <c r="Q165" s="1384"/>
      <c r="R165" s="1385"/>
      <c r="S165" s="1384"/>
      <c r="T165" s="1384"/>
      <c r="U165" s="1384"/>
      <c r="V165" s="1384"/>
      <c r="W165" s="1384"/>
      <c r="X165" s="1385"/>
      <c r="Y165" s="1385"/>
      <c r="Z165" s="1386"/>
      <c r="AJ165" s="1376"/>
      <c r="AK165" s="1376"/>
      <c r="AL165" s="1376"/>
      <c r="AM165" s="1376"/>
      <c r="AN165" s="1376"/>
      <c r="AO165" s="1376"/>
      <c r="AP165" s="1376"/>
      <c r="AQ165" s="1376"/>
      <c r="AR165" s="1376"/>
      <c r="AS165" s="1376"/>
      <c r="AT165" s="1376"/>
      <c r="AU165" s="1376"/>
      <c r="AV165" s="1376"/>
      <c r="AW165" s="1376"/>
      <c r="AX165" s="1376"/>
      <c r="AY165" s="1376"/>
      <c r="AZ165" s="1376"/>
      <c r="BA165" s="1376"/>
      <c r="BB165" s="1376"/>
      <c r="BC165" s="1376"/>
      <c r="BD165" s="1376"/>
    </row>
    <row r="166" spans="2:56" ht="25.2" customHeight="1">
      <c r="B166" s="871" t="s">
        <v>1779</v>
      </c>
      <c r="C166" s="1250" t="s">
        <v>1775</v>
      </c>
      <c r="D166" s="1251" t="s">
        <v>164</v>
      </c>
      <c r="E166" s="1248" t="s">
        <v>137</v>
      </c>
      <c r="F166" s="1248" t="s">
        <v>137</v>
      </c>
      <c r="G166" s="1248"/>
      <c r="H166" s="1247"/>
      <c r="I166" s="1248"/>
      <c r="J166" s="1247"/>
      <c r="K166" s="1248"/>
      <c r="L166" s="1248"/>
      <c r="M166" s="1248"/>
      <c r="N166" s="1248"/>
      <c r="O166" s="1247"/>
      <c r="P166" s="1247"/>
      <c r="Q166" s="1248"/>
      <c r="R166" s="1247"/>
      <c r="S166" s="1248"/>
      <c r="T166" s="1248"/>
      <c r="U166" s="1248"/>
      <c r="V166" s="1248"/>
      <c r="W166" s="1248"/>
      <c r="X166" s="1247"/>
      <c r="Y166" s="1247"/>
      <c r="Z166" s="1252"/>
      <c r="AH166" s="91"/>
      <c r="AI166" s="91"/>
      <c r="AJ166" s="95"/>
      <c r="AK166" s="95"/>
      <c r="AL166" s="95"/>
      <c r="AM166" s="95"/>
      <c r="AN166" s="95"/>
      <c r="AO166" s="95"/>
      <c r="AP166" s="1454"/>
      <c r="AQ166" s="1454"/>
      <c r="AR166" s="1454"/>
      <c r="AS166" s="1454"/>
      <c r="AT166" s="1454"/>
      <c r="AU166" s="1454"/>
      <c r="AV166" s="1454"/>
      <c r="AW166" s="1454"/>
      <c r="AX166" s="95"/>
      <c r="AY166" s="95"/>
      <c r="AZ166" s="95"/>
      <c r="BA166" s="1454"/>
      <c r="BB166" s="1454"/>
      <c r="BC166" s="1454"/>
      <c r="BD166" s="1454"/>
    </row>
    <row r="167" spans="2:56" ht="25.2" customHeight="1">
      <c r="B167" s="871" t="s">
        <v>1780</v>
      </c>
      <c r="C167" s="1253" t="s">
        <v>1349</v>
      </c>
      <c r="D167" s="1216" t="s">
        <v>164</v>
      </c>
      <c r="E167" s="1209" t="s">
        <v>137</v>
      </c>
      <c r="F167" s="1209" t="s">
        <v>137</v>
      </c>
      <c r="G167" s="1209"/>
      <c r="H167" s="1210"/>
      <c r="I167" s="1209"/>
      <c r="J167" s="1210"/>
      <c r="K167" s="1209"/>
      <c r="L167" s="1209"/>
      <c r="M167" s="1209"/>
      <c r="N167" s="1209"/>
      <c r="O167" s="1210"/>
      <c r="P167" s="1210"/>
      <c r="Q167" s="1209"/>
      <c r="R167" s="1210"/>
      <c r="S167" s="1209"/>
      <c r="T167" s="1209"/>
      <c r="U167" s="1209"/>
      <c r="V167" s="1209"/>
      <c r="W167" s="1209"/>
      <c r="X167" s="1210"/>
      <c r="Y167" s="1210"/>
      <c r="Z167" s="1220"/>
      <c r="AH167" s="91"/>
      <c r="AI167" s="91"/>
      <c r="AJ167" s="95"/>
      <c r="AK167" s="95"/>
      <c r="AL167" s="95"/>
      <c r="AM167" s="95"/>
      <c r="AN167" s="95"/>
      <c r="AO167" s="95"/>
      <c r="AP167" s="1454"/>
      <c r="AQ167" s="1454"/>
      <c r="AR167" s="1454"/>
      <c r="AS167" s="1454"/>
      <c r="AT167" s="1454"/>
      <c r="AU167" s="1454"/>
      <c r="AV167" s="1454"/>
      <c r="AW167" s="1454"/>
      <c r="AX167" s="95"/>
      <c r="AY167" s="95"/>
      <c r="AZ167" s="95"/>
      <c r="BA167" s="1454"/>
      <c r="BB167" s="1454"/>
      <c r="BC167" s="1454"/>
      <c r="BD167" s="1454"/>
    </row>
    <row r="168" spans="2:56" ht="25.2" customHeight="1">
      <c r="B168" s="871" t="s">
        <v>1781</v>
      </c>
      <c r="C168" s="1253" t="s">
        <v>1776</v>
      </c>
      <c r="D168" s="1216" t="s">
        <v>164</v>
      </c>
      <c r="E168" s="1209" t="s">
        <v>190</v>
      </c>
      <c r="F168" s="1209" t="s">
        <v>190</v>
      </c>
      <c r="G168" s="1209"/>
      <c r="H168" s="1210"/>
      <c r="I168" s="1209"/>
      <c r="J168" s="1210"/>
      <c r="K168" s="1209"/>
      <c r="L168" s="1209"/>
      <c r="M168" s="1209"/>
      <c r="N168" s="1209"/>
      <c r="O168" s="1210"/>
      <c r="P168" s="1210"/>
      <c r="Q168" s="1209"/>
      <c r="R168" s="1210"/>
      <c r="S168" s="1209"/>
      <c r="T168" s="1209"/>
      <c r="U168" s="1209"/>
      <c r="V168" s="1209"/>
      <c r="W168" s="1209"/>
      <c r="X168" s="1210"/>
      <c r="Y168" s="1210"/>
      <c r="Z168" s="1220"/>
      <c r="AH168" s="91"/>
      <c r="AI168" s="91"/>
      <c r="AJ168" s="95"/>
      <c r="AK168" s="95"/>
      <c r="AL168" s="95"/>
      <c r="AM168" s="95"/>
      <c r="AN168" s="95"/>
      <c r="AO168" s="95"/>
      <c r="AP168" s="1454"/>
      <c r="AQ168" s="1454"/>
      <c r="AR168" s="1454"/>
      <c r="AS168" s="1454"/>
      <c r="AT168" s="1454"/>
      <c r="AU168" s="1454"/>
      <c r="AV168" s="1454"/>
      <c r="AW168" s="1454"/>
      <c r="AX168" s="95"/>
      <c r="AY168" s="95"/>
      <c r="AZ168" s="95"/>
      <c r="BA168" s="1454"/>
      <c r="BB168" s="1454"/>
      <c r="BC168" s="1454"/>
      <c r="BD168" s="1454"/>
    </row>
    <row r="169" spans="2:56" ht="25.2" customHeight="1">
      <c r="B169" s="871" t="s">
        <v>1782</v>
      </c>
      <c r="C169" s="1207" t="s">
        <v>172</v>
      </c>
      <c r="D169" s="1216" t="s">
        <v>164</v>
      </c>
      <c r="E169" s="1209" t="s">
        <v>190</v>
      </c>
      <c r="F169" s="1209" t="s">
        <v>190</v>
      </c>
      <c r="G169" s="1209"/>
      <c r="H169" s="1210"/>
      <c r="I169" s="1209"/>
      <c r="J169" s="1210"/>
      <c r="K169" s="1209"/>
      <c r="L169" s="1209"/>
      <c r="M169" s="1209"/>
      <c r="N169" s="1209"/>
      <c r="O169" s="1210"/>
      <c r="P169" s="1210"/>
      <c r="Q169" s="1209"/>
      <c r="R169" s="1210"/>
      <c r="S169" s="1209"/>
      <c r="T169" s="1209"/>
      <c r="U169" s="1209"/>
      <c r="V169" s="1209"/>
      <c r="W169" s="1209"/>
      <c r="X169" s="1210"/>
      <c r="Y169" s="1210"/>
      <c r="Z169" s="1220"/>
      <c r="AH169" s="91"/>
      <c r="AI169" s="91"/>
      <c r="AJ169" s="95"/>
      <c r="AK169" s="95"/>
      <c r="AL169" s="95"/>
      <c r="AM169" s="95"/>
      <c r="AN169" s="95"/>
      <c r="AO169" s="95"/>
      <c r="AP169" s="1454"/>
      <c r="AQ169" s="1454"/>
      <c r="AR169" s="1454"/>
      <c r="AS169" s="1454"/>
      <c r="AT169" s="1454"/>
      <c r="AU169" s="1454"/>
      <c r="AV169" s="1454"/>
      <c r="AW169" s="1454"/>
      <c r="AX169" s="95"/>
      <c r="AY169" s="95"/>
      <c r="AZ169" s="95"/>
      <c r="BA169" s="1454"/>
      <c r="BB169" s="1454"/>
      <c r="BC169" s="1454"/>
      <c r="BD169" s="1454"/>
    </row>
    <row r="170" spans="2:56" ht="25.2" customHeight="1">
      <c r="B170" s="871" t="s">
        <v>1783</v>
      </c>
      <c r="C170" s="1225" t="s">
        <v>1300</v>
      </c>
      <c r="D170" s="1216" t="s">
        <v>164</v>
      </c>
      <c r="E170" s="1209" t="s">
        <v>190</v>
      </c>
      <c r="F170" s="1209" t="s">
        <v>190</v>
      </c>
      <c r="G170" s="1209"/>
      <c r="H170" s="1210"/>
      <c r="I170" s="1209"/>
      <c r="J170" s="1210"/>
      <c r="K170" s="1209"/>
      <c r="L170" s="1209"/>
      <c r="M170" s="1209"/>
      <c r="N170" s="1209"/>
      <c r="O170" s="1210"/>
      <c r="P170" s="1210"/>
      <c r="Q170" s="1209"/>
      <c r="R170" s="1210"/>
      <c r="S170" s="1209"/>
      <c r="T170" s="1209"/>
      <c r="U170" s="1209"/>
      <c r="V170" s="1209"/>
      <c r="W170" s="1209"/>
      <c r="X170" s="1210"/>
      <c r="Y170" s="1210"/>
      <c r="Z170" s="1220"/>
      <c r="AH170" s="91"/>
      <c r="AI170" s="91"/>
      <c r="AJ170" s="95"/>
      <c r="AK170" s="95"/>
      <c r="AL170" s="95"/>
      <c r="AM170" s="95"/>
      <c r="AN170" s="95"/>
      <c r="AO170" s="95"/>
      <c r="AP170" s="95"/>
      <c r="AQ170" s="95"/>
      <c r="AR170" s="95"/>
      <c r="AS170" s="95"/>
      <c r="AT170" s="95"/>
      <c r="AU170" s="95"/>
      <c r="AV170" s="95"/>
      <c r="AW170" s="95"/>
      <c r="AX170" s="95"/>
      <c r="AY170" s="95"/>
      <c r="AZ170" s="95"/>
      <c r="BA170" s="95"/>
      <c r="BB170" s="95"/>
      <c r="BC170" s="95"/>
      <c r="BD170" s="95"/>
    </row>
    <row r="171" spans="2:56" ht="25.2" customHeight="1">
      <c r="B171" s="871" t="s">
        <v>1784</v>
      </c>
      <c r="C171" s="1225" t="s">
        <v>1777</v>
      </c>
      <c r="D171" s="1216" t="s">
        <v>164</v>
      </c>
      <c r="E171" s="1209" t="s">
        <v>190</v>
      </c>
      <c r="F171" s="1209" t="s">
        <v>190</v>
      </c>
      <c r="G171" s="1209"/>
      <c r="H171" s="1210"/>
      <c r="I171" s="1209" t="s">
        <v>190</v>
      </c>
      <c r="J171" s="1210"/>
      <c r="K171" s="1209"/>
      <c r="L171" s="1209"/>
      <c r="M171" s="1209"/>
      <c r="N171" s="1209"/>
      <c r="O171" s="1210"/>
      <c r="P171" s="1210"/>
      <c r="Q171" s="1209"/>
      <c r="R171" s="1210"/>
      <c r="S171" s="1209"/>
      <c r="T171" s="1209"/>
      <c r="U171" s="1209"/>
      <c r="V171" s="1209"/>
      <c r="W171" s="1209"/>
      <c r="X171" s="1210"/>
      <c r="Y171" s="1210"/>
      <c r="Z171" s="1220" t="s">
        <v>2208</v>
      </c>
      <c r="AJ171" s="91"/>
      <c r="AK171" s="91"/>
      <c r="AL171" s="91"/>
      <c r="AM171" s="91"/>
      <c r="AN171" s="91"/>
      <c r="AO171" s="91"/>
      <c r="AP171" s="91"/>
      <c r="AQ171" s="91"/>
      <c r="AR171" s="91"/>
      <c r="AS171" s="91"/>
      <c r="AT171" s="91"/>
      <c r="AU171" s="91"/>
      <c r="AV171" s="91"/>
      <c r="AW171" s="91"/>
      <c r="AX171" s="91"/>
      <c r="AY171" s="91"/>
      <c r="AZ171" s="91"/>
      <c r="BA171" s="91"/>
      <c r="BB171" s="91"/>
      <c r="BC171" s="91"/>
      <c r="BD171" s="91"/>
    </row>
    <row r="172" spans="2:56" ht="25.2" customHeight="1">
      <c r="B172" s="871" t="s">
        <v>1785</v>
      </c>
      <c r="C172" s="1225" t="s">
        <v>1778</v>
      </c>
      <c r="D172" s="1216" t="s">
        <v>164</v>
      </c>
      <c r="E172" s="1209" t="s">
        <v>190</v>
      </c>
      <c r="F172" s="1209" t="s">
        <v>190</v>
      </c>
      <c r="G172" s="1209"/>
      <c r="H172" s="1210"/>
      <c r="I172" s="1209"/>
      <c r="J172" s="1210"/>
      <c r="K172" s="1209"/>
      <c r="L172" s="1209"/>
      <c r="M172" s="1209"/>
      <c r="N172" s="1209" t="s">
        <v>190</v>
      </c>
      <c r="O172" s="1210"/>
      <c r="P172" s="1210"/>
      <c r="Q172" s="1209"/>
      <c r="R172" s="1210"/>
      <c r="S172" s="1209"/>
      <c r="T172" s="1209"/>
      <c r="U172" s="1209"/>
      <c r="V172" s="1209"/>
      <c r="W172" s="1209"/>
      <c r="X172" s="1210"/>
      <c r="Y172" s="1210"/>
      <c r="Z172" s="1220"/>
      <c r="AJ172" s="91"/>
      <c r="AK172" s="91"/>
      <c r="AL172" s="91"/>
      <c r="AM172" s="91"/>
      <c r="AN172" s="91"/>
      <c r="AO172" s="91"/>
      <c r="AP172" s="91"/>
      <c r="AQ172" s="91"/>
      <c r="AR172" s="91"/>
      <c r="AS172" s="91"/>
      <c r="AT172" s="91"/>
      <c r="AU172" s="91"/>
      <c r="AV172" s="91"/>
      <c r="AW172" s="91"/>
      <c r="AX172" s="91"/>
      <c r="AY172" s="91"/>
      <c r="AZ172" s="91"/>
      <c r="BA172" s="91"/>
      <c r="BB172" s="91"/>
      <c r="BC172" s="91"/>
      <c r="BD172" s="91"/>
    </row>
    <row r="173" spans="2:56" ht="25.2" customHeight="1">
      <c r="B173" s="871" t="s">
        <v>1786</v>
      </c>
      <c r="C173" s="1216" t="s">
        <v>113</v>
      </c>
      <c r="D173" s="1207" t="s">
        <v>164</v>
      </c>
      <c r="E173" s="1209" t="s">
        <v>190</v>
      </c>
      <c r="F173" s="1209" t="s">
        <v>190</v>
      </c>
      <c r="G173" s="1209"/>
      <c r="H173" s="1210"/>
      <c r="I173" s="1209"/>
      <c r="J173" s="1210"/>
      <c r="K173" s="1209" t="s">
        <v>190</v>
      </c>
      <c r="L173" s="1209"/>
      <c r="M173" s="1210"/>
      <c r="N173" s="1209"/>
      <c r="O173" s="1210"/>
      <c r="P173" s="1210"/>
      <c r="Q173" s="1209"/>
      <c r="R173" s="1210"/>
      <c r="S173" s="1209"/>
      <c r="T173" s="1209"/>
      <c r="U173" s="1209"/>
      <c r="V173" s="1209"/>
      <c r="W173" s="1209"/>
      <c r="X173" s="1209"/>
      <c r="Y173" s="1210"/>
      <c r="Z173" s="1223"/>
      <c r="AA173" s="1454"/>
      <c r="AB173" s="1454"/>
      <c r="AC173" s="1454"/>
      <c r="AD173" s="1454"/>
      <c r="AE173" s="1454"/>
      <c r="AF173" s="1454"/>
      <c r="AG173" s="1454"/>
      <c r="AH173" s="1454"/>
      <c r="AI173" s="95"/>
      <c r="AJ173" s="95"/>
      <c r="AK173" s="95"/>
      <c r="AL173" s="95"/>
      <c r="AM173" s="95"/>
      <c r="AN173" s="95"/>
      <c r="AO173" s="95"/>
      <c r="AP173" s="1454"/>
      <c r="AQ173" s="1454"/>
      <c r="AR173" s="1454"/>
      <c r="AS173" s="1454"/>
      <c r="AT173" s="1454"/>
      <c r="AU173" s="1454"/>
      <c r="AV173" s="1454"/>
      <c r="AW173" s="1454"/>
      <c r="AX173" s="95"/>
      <c r="AY173" s="95"/>
      <c r="AZ173" s="95"/>
      <c r="BA173" s="1454"/>
      <c r="BB173" s="1454"/>
      <c r="BC173" s="1454"/>
      <c r="BD173" s="1454"/>
    </row>
    <row r="174" spans="2:56" ht="25.2" customHeight="1">
      <c r="B174" s="553" t="s">
        <v>2238</v>
      </c>
      <c r="C174" s="1254" t="s">
        <v>1006</v>
      </c>
      <c r="D174" s="1255" t="s">
        <v>164</v>
      </c>
      <c r="E174" s="1256" t="s">
        <v>190</v>
      </c>
      <c r="F174" s="1256" t="s">
        <v>190</v>
      </c>
      <c r="G174" s="1256"/>
      <c r="H174" s="1257"/>
      <c r="I174" s="1256"/>
      <c r="J174" s="1257"/>
      <c r="K174" s="1256"/>
      <c r="L174" s="1256"/>
      <c r="M174" s="1256"/>
      <c r="N174" s="1256"/>
      <c r="O174" s="1257"/>
      <c r="P174" s="1257"/>
      <c r="Q174" s="1256"/>
      <c r="R174" s="1257"/>
      <c r="S174" s="1256"/>
      <c r="T174" s="1256"/>
      <c r="U174" s="1256"/>
      <c r="V174" s="1256"/>
      <c r="W174" s="1256"/>
      <c r="X174" s="1257"/>
      <c r="Y174" s="1257"/>
      <c r="Z174" s="1258"/>
      <c r="AH174" s="91"/>
      <c r="AI174" s="91"/>
      <c r="AJ174" s="95"/>
      <c r="AK174" s="95"/>
      <c r="AL174" s="95"/>
      <c r="AM174" s="95"/>
      <c r="AN174" s="95"/>
      <c r="AO174" s="95"/>
      <c r="AP174" s="1454"/>
      <c r="AQ174" s="1454"/>
      <c r="AR174" s="1454"/>
      <c r="AS174" s="1454"/>
      <c r="AT174" s="1454"/>
      <c r="AU174" s="1454"/>
      <c r="AV174" s="1454"/>
      <c r="AW174" s="1454"/>
      <c r="AX174" s="95"/>
      <c r="AY174" s="95"/>
      <c r="AZ174" s="95"/>
      <c r="BA174" s="1454"/>
      <c r="BB174" s="1454"/>
      <c r="BC174" s="1454"/>
      <c r="BD174" s="1454"/>
    </row>
    <row r="175" spans="2:56" ht="15" customHeight="1">
      <c r="Z175" s="100"/>
    </row>
    <row r="176" spans="2:56" ht="15" customHeight="1">
      <c r="Z176" s="100"/>
    </row>
    <row r="177" spans="2:56" s="90" customFormat="1" ht="13.2">
      <c r="B177" s="876" t="s">
        <v>1772</v>
      </c>
      <c r="C177" s="875"/>
      <c r="D177" s="90" t="s">
        <v>322</v>
      </c>
      <c r="O177" s="855"/>
      <c r="P177" s="855"/>
      <c r="R177" s="855"/>
      <c r="S177" s="855"/>
      <c r="T177" s="855"/>
      <c r="U177" s="855"/>
      <c r="V177" s="855"/>
      <c r="W177" s="855"/>
      <c r="X177" s="855"/>
      <c r="Y177" s="855"/>
      <c r="Z177" s="855"/>
      <c r="AH177" s="91"/>
      <c r="AI177" s="91"/>
    </row>
    <row r="178" spans="2:56" ht="25.2" customHeight="1">
      <c r="B178" s="878" t="s">
        <v>1787</v>
      </c>
      <c r="C178" s="1233" t="s">
        <v>1372</v>
      </c>
      <c r="D178" s="1234" t="s">
        <v>164</v>
      </c>
      <c r="E178" s="1212" t="s">
        <v>190</v>
      </c>
      <c r="F178" s="1212" t="s">
        <v>190</v>
      </c>
      <c r="G178" s="1212"/>
      <c r="H178" s="1235"/>
      <c r="I178" s="1212"/>
      <c r="J178" s="1235"/>
      <c r="K178" s="1212"/>
      <c r="L178" s="1212"/>
      <c r="M178" s="1212"/>
      <c r="N178" s="1212"/>
      <c r="O178" s="1246"/>
      <c r="P178" s="1247"/>
      <c r="Q178" s="1212"/>
      <c r="R178" s="1247"/>
      <c r="S178" s="1248"/>
      <c r="T178" s="1248"/>
      <c r="U178" s="1248"/>
      <c r="V178" s="1248"/>
      <c r="W178" s="1248"/>
      <c r="X178" s="1247"/>
      <c r="Y178" s="1247"/>
      <c r="Z178" s="1249"/>
      <c r="AA178" s="88"/>
      <c r="AJ178" s="91"/>
      <c r="AK178" s="91"/>
      <c r="AL178" s="91"/>
      <c r="AM178" s="91"/>
      <c r="AN178" s="91"/>
      <c r="AO178" s="91"/>
      <c r="AP178" s="91"/>
      <c r="AQ178" s="91"/>
      <c r="AR178" s="91"/>
      <c r="AS178" s="91"/>
      <c r="AT178" s="91"/>
      <c r="AU178" s="91"/>
      <c r="AV178" s="91"/>
      <c r="AW178" s="91"/>
      <c r="AX178" s="91"/>
      <c r="AY178" s="91"/>
      <c r="AZ178" s="91"/>
      <c r="BA178" s="91"/>
      <c r="BB178" s="91"/>
      <c r="BC178" s="91"/>
      <c r="BD178" s="91"/>
    </row>
    <row r="179" spans="2:56" s="1377" customFormat="1" ht="25.2" customHeight="1">
      <c r="B179" s="871" t="s">
        <v>1788</v>
      </c>
      <c r="C179" s="1380" t="s">
        <v>1373</v>
      </c>
      <c r="D179" s="1387" t="s">
        <v>164</v>
      </c>
      <c r="E179" s="1382" t="s">
        <v>190</v>
      </c>
      <c r="F179" s="1382" t="s">
        <v>190</v>
      </c>
      <c r="G179" s="1382"/>
      <c r="H179" s="1383"/>
      <c r="I179" s="1382"/>
      <c r="J179" s="1383"/>
      <c r="K179" s="1384"/>
      <c r="L179" s="1384"/>
      <c r="M179" s="1384"/>
      <c r="N179" s="1384"/>
      <c r="O179" s="1385"/>
      <c r="P179" s="1385"/>
      <c r="Q179" s="1384"/>
      <c r="R179" s="1385"/>
      <c r="S179" s="1384"/>
      <c r="T179" s="1384"/>
      <c r="U179" s="1384"/>
      <c r="V179" s="1384"/>
      <c r="W179" s="1384"/>
      <c r="X179" s="1385"/>
      <c r="Y179" s="1385"/>
      <c r="Z179" s="1386"/>
      <c r="AJ179" s="1376"/>
      <c r="AK179" s="1376"/>
      <c r="AL179" s="1376"/>
      <c r="AM179" s="1376"/>
      <c r="AN179" s="1376"/>
      <c r="AO179" s="1376"/>
      <c r="AP179" s="1376"/>
      <c r="AQ179" s="1376"/>
      <c r="AR179" s="1376"/>
      <c r="AS179" s="1376"/>
      <c r="AT179" s="1376"/>
      <c r="AU179" s="1376"/>
      <c r="AV179" s="1376"/>
      <c r="AW179" s="1376"/>
      <c r="AX179" s="1376"/>
      <c r="AY179" s="1376"/>
      <c r="AZ179" s="1376"/>
      <c r="BA179" s="1376"/>
      <c r="BB179" s="1376"/>
      <c r="BC179" s="1376"/>
      <c r="BD179" s="1376"/>
    </row>
    <row r="180" spans="2:56" ht="25.2" customHeight="1">
      <c r="B180" s="871" t="s">
        <v>1789</v>
      </c>
      <c r="C180" s="1250" t="s">
        <v>1775</v>
      </c>
      <c r="D180" s="1251" t="s">
        <v>164</v>
      </c>
      <c r="E180" s="1248" t="s">
        <v>137</v>
      </c>
      <c r="F180" s="1248" t="s">
        <v>137</v>
      </c>
      <c r="G180" s="1248"/>
      <c r="H180" s="1247"/>
      <c r="I180" s="1248"/>
      <c r="J180" s="1247"/>
      <c r="K180" s="1248"/>
      <c r="L180" s="1248"/>
      <c r="M180" s="1248"/>
      <c r="N180" s="1248"/>
      <c r="O180" s="1247"/>
      <c r="P180" s="1247"/>
      <c r="Q180" s="1248"/>
      <c r="R180" s="1247"/>
      <c r="S180" s="1248"/>
      <c r="T180" s="1248"/>
      <c r="U180" s="1248"/>
      <c r="V180" s="1248"/>
      <c r="W180" s="1248"/>
      <c r="X180" s="1247"/>
      <c r="Y180" s="1247"/>
      <c r="Z180" s="1252"/>
      <c r="AH180" s="91"/>
      <c r="AI180" s="91"/>
      <c r="AJ180" s="95"/>
      <c r="AK180" s="95"/>
      <c r="AL180" s="95"/>
      <c r="AM180" s="95"/>
      <c r="AN180" s="95"/>
      <c r="AO180" s="95"/>
      <c r="AP180" s="1454"/>
      <c r="AQ180" s="1454"/>
      <c r="AR180" s="1454"/>
      <c r="AS180" s="1454"/>
      <c r="AT180" s="1454"/>
      <c r="AU180" s="1454"/>
      <c r="AV180" s="1454"/>
      <c r="AW180" s="1454"/>
      <c r="AX180" s="95"/>
      <c r="AY180" s="95"/>
      <c r="AZ180" s="95"/>
      <c r="BA180" s="1454"/>
      <c r="BB180" s="1454"/>
      <c r="BC180" s="1454"/>
      <c r="BD180" s="1454"/>
    </row>
    <row r="181" spans="2:56" ht="25.2" customHeight="1">
      <c r="B181" s="871" t="s">
        <v>1790</v>
      </c>
      <c r="C181" s="1253" t="s">
        <v>1349</v>
      </c>
      <c r="D181" s="1216" t="s">
        <v>164</v>
      </c>
      <c r="E181" s="1209" t="s">
        <v>137</v>
      </c>
      <c r="F181" s="1209" t="s">
        <v>137</v>
      </c>
      <c r="G181" s="1209"/>
      <c r="H181" s="1210"/>
      <c r="I181" s="1209"/>
      <c r="J181" s="1210"/>
      <c r="K181" s="1209"/>
      <c r="L181" s="1209"/>
      <c r="M181" s="1209"/>
      <c r="N181" s="1209"/>
      <c r="O181" s="1210"/>
      <c r="P181" s="1210"/>
      <c r="Q181" s="1209"/>
      <c r="R181" s="1210"/>
      <c r="S181" s="1209"/>
      <c r="T181" s="1209"/>
      <c r="U181" s="1209"/>
      <c r="V181" s="1209"/>
      <c r="W181" s="1209"/>
      <c r="X181" s="1210"/>
      <c r="Y181" s="1210"/>
      <c r="Z181" s="1220"/>
      <c r="AH181" s="91"/>
      <c r="AI181" s="91"/>
      <c r="AJ181" s="95"/>
      <c r="AK181" s="95"/>
      <c r="AL181" s="95"/>
      <c r="AM181" s="95"/>
      <c r="AN181" s="95"/>
      <c r="AO181" s="95"/>
      <c r="AP181" s="1454"/>
      <c r="AQ181" s="1454"/>
      <c r="AR181" s="1454"/>
      <c r="AS181" s="1454"/>
      <c r="AT181" s="1454"/>
      <c r="AU181" s="1454"/>
      <c r="AV181" s="1454"/>
      <c r="AW181" s="1454"/>
      <c r="AX181" s="95"/>
      <c r="AY181" s="95"/>
      <c r="AZ181" s="95"/>
      <c r="BA181" s="1454"/>
      <c r="BB181" s="1454"/>
      <c r="BC181" s="1454"/>
      <c r="BD181" s="1454"/>
    </row>
    <row r="182" spans="2:56" ht="25.2" customHeight="1">
      <c r="B182" s="871" t="s">
        <v>1791</v>
      </c>
      <c r="C182" s="1253" t="s">
        <v>1776</v>
      </c>
      <c r="D182" s="1216" t="s">
        <v>164</v>
      </c>
      <c r="E182" s="1209" t="s">
        <v>190</v>
      </c>
      <c r="F182" s="1209" t="s">
        <v>190</v>
      </c>
      <c r="G182" s="1209"/>
      <c r="H182" s="1210"/>
      <c r="I182" s="1209"/>
      <c r="J182" s="1210"/>
      <c r="K182" s="1209"/>
      <c r="L182" s="1209"/>
      <c r="M182" s="1209"/>
      <c r="N182" s="1209"/>
      <c r="O182" s="1210"/>
      <c r="P182" s="1210"/>
      <c r="Q182" s="1209"/>
      <c r="R182" s="1210"/>
      <c r="S182" s="1209"/>
      <c r="T182" s="1209"/>
      <c r="U182" s="1209"/>
      <c r="V182" s="1209"/>
      <c r="W182" s="1209"/>
      <c r="X182" s="1210"/>
      <c r="Y182" s="1210"/>
      <c r="Z182" s="1220"/>
      <c r="AH182" s="91"/>
      <c r="AI182" s="91"/>
      <c r="AJ182" s="95"/>
      <c r="AK182" s="95"/>
      <c r="AL182" s="95"/>
      <c r="AM182" s="95"/>
      <c r="AN182" s="95"/>
      <c r="AO182" s="95"/>
      <c r="AP182" s="1454"/>
      <c r="AQ182" s="1454"/>
      <c r="AR182" s="1454"/>
      <c r="AS182" s="1454"/>
      <c r="AT182" s="1454"/>
      <c r="AU182" s="1454"/>
      <c r="AV182" s="1454"/>
      <c r="AW182" s="1454"/>
      <c r="AX182" s="95"/>
      <c r="AY182" s="95"/>
      <c r="AZ182" s="95"/>
      <c r="BA182" s="1454"/>
      <c r="BB182" s="1454"/>
      <c r="BC182" s="1454"/>
      <c r="BD182" s="1454"/>
    </row>
    <row r="183" spans="2:56" ht="25.2" customHeight="1">
      <c r="B183" s="871" t="s">
        <v>1792</v>
      </c>
      <c r="C183" s="1225" t="s">
        <v>1777</v>
      </c>
      <c r="D183" s="1216" t="s">
        <v>164</v>
      </c>
      <c r="E183" s="1209" t="s">
        <v>190</v>
      </c>
      <c r="F183" s="1209" t="s">
        <v>190</v>
      </c>
      <c r="G183" s="1209"/>
      <c r="H183" s="1210"/>
      <c r="I183" s="1209" t="s">
        <v>137</v>
      </c>
      <c r="J183" s="1210"/>
      <c r="K183" s="1209"/>
      <c r="L183" s="1209"/>
      <c r="M183" s="1209"/>
      <c r="N183" s="1209"/>
      <c r="O183" s="1210"/>
      <c r="P183" s="1210"/>
      <c r="Q183" s="1209"/>
      <c r="R183" s="1210"/>
      <c r="S183" s="1209"/>
      <c r="T183" s="1209"/>
      <c r="U183" s="1209"/>
      <c r="V183" s="1209"/>
      <c r="W183" s="1209"/>
      <c r="X183" s="1210"/>
      <c r="Y183" s="1210"/>
      <c r="Z183" s="1220" t="s">
        <v>2208</v>
      </c>
      <c r="AJ183" s="91"/>
      <c r="AK183" s="91"/>
      <c r="AL183" s="91"/>
      <c r="AM183" s="91"/>
      <c r="AN183" s="91"/>
      <c r="AO183" s="91"/>
      <c r="AP183" s="91"/>
      <c r="AQ183" s="91"/>
      <c r="AR183" s="91"/>
      <c r="AS183" s="91"/>
      <c r="AT183" s="91"/>
      <c r="AU183" s="91"/>
      <c r="AV183" s="91"/>
      <c r="AW183" s="91"/>
      <c r="AX183" s="91"/>
      <c r="AY183" s="91"/>
      <c r="AZ183" s="91"/>
      <c r="BA183" s="91"/>
      <c r="BB183" s="91"/>
      <c r="BC183" s="91"/>
      <c r="BD183" s="91"/>
    </row>
    <row r="184" spans="2:56" ht="25.2" customHeight="1">
      <c r="B184" s="871" t="s">
        <v>1793</v>
      </c>
      <c r="C184" s="1216" t="s">
        <v>113</v>
      </c>
      <c r="D184" s="1207" t="s">
        <v>164</v>
      </c>
      <c r="E184" s="1209" t="s">
        <v>190</v>
      </c>
      <c r="F184" s="1209" t="s">
        <v>190</v>
      </c>
      <c r="G184" s="1209"/>
      <c r="H184" s="1210"/>
      <c r="I184" s="1209"/>
      <c r="J184" s="1210"/>
      <c r="K184" s="1209" t="s">
        <v>137</v>
      </c>
      <c r="L184" s="1209"/>
      <c r="M184" s="1210"/>
      <c r="N184" s="1209"/>
      <c r="O184" s="1210"/>
      <c r="P184" s="1210"/>
      <c r="Q184" s="1209"/>
      <c r="R184" s="1210"/>
      <c r="S184" s="1209"/>
      <c r="T184" s="1209"/>
      <c r="U184" s="1209"/>
      <c r="V184" s="1209"/>
      <c r="W184" s="1209"/>
      <c r="X184" s="1210"/>
      <c r="Y184" s="1210"/>
      <c r="Z184" s="1223"/>
      <c r="AA184" s="1454"/>
      <c r="AB184" s="1454"/>
      <c r="AC184" s="1454"/>
      <c r="AD184" s="1454"/>
      <c r="AE184" s="1454"/>
      <c r="AF184" s="1454"/>
      <c r="AG184" s="1454"/>
      <c r="AH184" s="1454"/>
      <c r="AI184" s="95"/>
      <c r="AJ184" s="95"/>
      <c r="AK184" s="95"/>
      <c r="AL184" s="95"/>
      <c r="AM184" s="95"/>
      <c r="AN184" s="95"/>
      <c r="AO184" s="95"/>
      <c r="AP184" s="1454"/>
      <c r="AQ184" s="1454"/>
      <c r="AR184" s="1454"/>
      <c r="AS184" s="1454"/>
      <c r="AT184" s="1454"/>
      <c r="AU184" s="1454"/>
      <c r="AV184" s="1454"/>
      <c r="AW184" s="1454"/>
      <c r="AX184" s="95"/>
      <c r="AY184" s="95"/>
      <c r="AZ184" s="95"/>
      <c r="BA184" s="1454"/>
      <c r="BB184" s="1454"/>
      <c r="BC184" s="1454"/>
      <c r="BD184" s="1454"/>
    </row>
    <row r="185" spans="2:56" ht="25.2" customHeight="1">
      <c r="B185" s="880" t="s">
        <v>2239</v>
      </c>
      <c r="C185" s="1254" t="s">
        <v>1006</v>
      </c>
      <c r="D185" s="1255" t="s">
        <v>164</v>
      </c>
      <c r="E185" s="1256" t="s">
        <v>190</v>
      </c>
      <c r="F185" s="1256" t="s">
        <v>190</v>
      </c>
      <c r="G185" s="1256"/>
      <c r="H185" s="1257"/>
      <c r="I185" s="1256"/>
      <c r="J185" s="1257"/>
      <c r="K185" s="1256"/>
      <c r="L185" s="1256"/>
      <c r="M185" s="1256"/>
      <c r="N185" s="1256"/>
      <c r="O185" s="1257"/>
      <c r="P185" s="1257"/>
      <c r="Q185" s="1256"/>
      <c r="R185" s="1257"/>
      <c r="S185" s="1256"/>
      <c r="T185" s="1256"/>
      <c r="U185" s="1256"/>
      <c r="V185" s="1256"/>
      <c r="W185" s="1256"/>
      <c r="X185" s="1257"/>
      <c r="Y185" s="1257"/>
      <c r="Z185" s="1258"/>
      <c r="AH185" s="91"/>
      <c r="AI185" s="91"/>
      <c r="AJ185" s="95"/>
      <c r="AK185" s="95"/>
      <c r="AL185" s="95"/>
      <c r="AM185" s="95"/>
      <c r="AN185" s="95"/>
      <c r="AO185" s="95"/>
      <c r="AP185" s="1454"/>
      <c r="AQ185" s="1454"/>
      <c r="AR185" s="1454"/>
      <c r="AS185" s="1454"/>
      <c r="AT185" s="1454"/>
      <c r="AU185" s="1454"/>
      <c r="AV185" s="1454"/>
      <c r="AW185" s="1454"/>
      <c r="AX185" s="95"/>
      <c r="AY185" s="95"/>
      <c r="AZ185" s="95"/>
      <c r="BA185" s="1454"/>
      <c r="BB185" s="1454"/>
      <c r="BC185" s="1454"/>
      <c r="BD185" s="1454"/>
    </row>
  </sheetData>
  <mergeCells count="559">
    <mergeCell ref="BC138:BD138"/>
    <mergeCell ref="S155:S158"/>
    <mergeCell ref="T155:T158"/>
    <mergeCell ref="U155:U158"/>
    <mergeCell ref="V155:V158"/>
    <mergeCell ref="W155:W158"/>
    <mergeCell ref="X155:X158"/>
    <mergeCell ref="Y155:Y158"/>
    <mergeCell ref="U126:U129"/>
    <mergeCell ref="V126:V129"/>
    <mergeCell ref="W126:W129"/>
    <mergeCell ref="X126:X129"/>
    <mergeCell ref="Y126:Y129"/>
    <mergeCell ref="S126:S129"/>
    <mergeCell ref="T126:T129"/>
    <mergeCell ref="BC135:BD135"/>
    <mergeCell ref="AT144:AU144"/>
    <mergeCell ref="BC142:BD142"/>
    <mergeCell ref="AE150:AF150"/>
    <mergeCell ref="AG150:AH150"/>
    <mergeCell ref="AP150:AQ150"/>
    <mergeCell ref="R155:R158"/>
    <mergeCell ref="F155:F158"/>
    <mergeCell ref="L155:L158"/>
    <mergeCell ref="M155:M158"/>
    <mergeCell ref="N155:N158"/>
    <mergeCell ref="O155:O158"/>
    <mergeCell ref="P155:P158"/>
    <mergeCell ref="Q155:Q158"/>
    <mergeCell ref="D126:D129"/>
    <mergeCell ref="R126:R129"/>
    <mergeCell ref="L126:L129"/>
    <mergeCell ref="M126:M129"/>
    <mergeCell ref="N126:N129"/>
    <mergeCell ref="O126:O129"/>
    <mergeCell ref="P126:P129"/>
    <mergeCell ref="Q126:Q129"/>
    <mergeCell ref="C126:C129"/>
    <mergeCell ref="B126:B129"/>
    <mergeCell ref="J126:J129"/>
    <mergeCell ref="I126:I129"/>
    <mergeCell ref="H126:H129"/>
    <mergeCell ref="G126:G129"/>
    <mergeCell ref="K126:K129"/>
    <mergeCell ref="E155:E158"/>
    <mergeCell ref="D155:D158"/>
    <mergeCell ref="C155:C158"/>
    <mergeCell ref="B155:B158"/>
    <mergeCell ref="G155:G158"/>
    <mergeCell ref="H155:H158"/>
    <mergeCell ref="I155:I158"/>
    <mergeCell ref="J155:J158"/>
    <mergeCell ref="K155:K158"/>
    <mergeCell ref="E126:E129"/>
    <mergeCell ref="F126:F129"/>
    <mergeCell ref="J4:J18"/>
    <mergeCell ref="O4:O18"/>
    <mergeCell ref="N4:N18"/>
    <mergeCell ref="K4:K18"/>
    <mergeCell ref="E58:E61"/>
    <mergeCell ref="D58:D61"/>
    <mergeCell ref="C58:C61"/>
    <mergeCell ref="B58:B61"/>
    <mergeCell ref="G58:G61"/>
    <mergeCell ref="H58:H61"/>
    <mergeCell ref="I58:I61"/>
    <mergeCell ref="J58:J61"/>
    <mergeCell ref="K58:K61"/>
    <mergeCell ref="AA117:AB117"/>
    <mergeCell ref="AC117:AD117"/>
    <mergeCell ref="AE124:AF124"/>
    <mergeCell ref="AA124:AB124"/>
    <mergeCell ref="AA121:AB121"/>
    <mergeCell ref="AA118:AB118"/>
    <mergeCell ref="AC121:AD121"/>
    <mergeCell ref="S58:S61"/>
    <mergeCell ref="T58:T61"/>
    <mergeCell ref="U58:U61"/>
    <mergeCell ref="V58:V61"/>
    <mergeCell ref="W58:W61"/>
    <mergeCell ref="X58:X61"/>
    <mergeCell ref="AA122:AB122"/>
    <mergeCell ref="AA115:AB115"/>
    <mergeCell ref="AA116:AB116"/>
    <mergeCell ref="V4:V18"/>
    <mergeCell ref="T4:T18"/>
    <mergeCell ref="R58:R61"/>
    <mergeCell ref="Y4:Y18"/>
    <mergeCell ref="U4:U18"/>
    <mergeCell ref="AP75:AQ75"/>
    <mergeCell ref="AP81:AQ81"/>
    <mergeCell ref="AP94:AQ94"/>
    <mergeCell ref="AC115:AD115"/>
    <mergeCell ref="AC116:AD116"/>
    <mergeCell ref="AE115:AF115"/>
    <mergeCell ref="AE116:AF116"/>
    <mergeCell ref="AR67:AS67"/>
    <mergeCell ref="AP78:AQ78"/>
    <mergeCell ref="AP84:AQ84"/>
    <mergeCell ref="AP73:AQ73"/>
    <mergeCell ref="AP74:AQ74"/>
    <mergeCell ref="AP82:AQ82"/>
    <mergeCell ref="AP79:AQ79"/>
    <mergeCell ref="AP67:AQ67"/>
    <mergeCell ref="AP72:AQ72"/>
    <mergeCell ref="BC111:BD111"/>
    <mergeCell ref="AT21:AU21"/>
    <mergeCell ref="L58:L61"/>
    <mergeCell ref="M58:M61"/>
    <mergeCell ref="N58:N61"/>
    <mergeCell ref="O58:O61"/>
    <mergeCell ref="P58:P61"/>
    <mergeCell ref="Q58:Q61"/>
    <mergeCell ref="Y58:Y61"/>
    <mergeCell ref="BC108:BD108"/>
    <mergeCell ref="AC118:AD118"/>
    <mergeCell ref="BA100:BB100"/>
    <mergeCell ref="BA105:BB105"/>
    <mergeCell ref="AV105:AW105"/>
    <mergeCell ref="BC125:BD125"/>
    <mergeCell ref="BA137:BB137"/>
    <mergeCell ref="AV141:AW141"/>
    <mergeCell ref="AP105:AQ105"/>
    <mergeCell ref="AV106:AW106"/>
    <mergeCell ref="AV136:AW136"/>
    <mergeCell ref="AV130:AW130"/>
    <mergeCell ref="AT117:AU117"/>
    <mergeCell ref="AR105:AS105"/>
    <mergeCell ref="AV116:AW116"/>
    <mergeCell ref="AT125:AU125"/>
    <mergeCell ref="AR130:AS130"/>
    <mergeCell ref="AT130:AU130"/>
    <mergeCell ref="AV137:AW137"/>
    <mergeCell ref="BC105:BD105"/>
    <mergeCell ref="BC106:BD106"/>
    <mergeCell ref="BC107:BD107"/>
    <mergeCell ref="BC121:BD121"/>
    <mergeCell ref="BC115:BD115"/>
    <mergeCell ref="BC117:BD117"/>
    <mergeCell ref="AC122:AD122"/>
    <mergeCell ref="AE122:AF122"/>
    <mergeCell ref="AG122:AH122"/>
    <mergeCell ref="AE130:AF130"/>
    <mergeCell ref="AP135:AQ135"/>
    <mergeCell ref="AR135:AS135"/>
    <mergeCell ref="AP130:AQ130"/>
    <mergeCell ref="AA130:AB130"/>
    <mergeCell ref="AG130:AH130"/>
    <mergeCell ref="AP122:AQ122"/>
    <mergeCell ref="AC124:AD124"/>
    <mergeCell ref="AA125:AB125"/>
    <mergeCell ref="AE125:AF125"/>
    <mergeCell ref="AC150:AD150"/>
    <mergeCell ref="AP148:AQ148"/>
    <mergeCell ref="AC143:AD143"/>
    <mergeCell ref="AR150:AS150"/>
    <mergeCell ref="AR148:AS148"/>
    <mergeCell ref="AA147:AB147"/>
    <mergeCell ref="AE147:AF147"/>
    <mergeCell ref="AG147:AH147"/>
    <mergeCell ref="AR106:AS106"/>
    <mergeCell ref="AC125:AD125"/>
    <mergeCell ref="AG118:AH118"/>
    <mergeCell ref="AE118:AF118"/>
    <mergeCell ref="AP111:AQ111"/>
    <mergeCell ref="AP136:AQ136"/>
    <mergeCell ref="AR111:AS111"/>
    <mergeCell ref="AP124:AQ124"/>
    <mergeCell ref="AR136:AS136"/>
    <mergeCell ref="AP116:AQ116"/>
    <mergeCell ref="AP117:AQ117"/>
    <mergeCell ref="AP115:AQ115"/>
    <mergeCell ref="AR117:AS117"/>
    <mergeCell ref="AP107:AQ107"/>
    <mergeCell ref="AP106:AQ106"/>
    <mergeCell ref="AR124:AS124"/>
    <mergeCell ref="AT147:AU147"/>
    <mergeCell ref="AC147:AD147"/>
    <mergeCell ref="AP147:AQ147"/>
    <mergeCell ref="AT143:AU143"/>
    <mergeCell ref="BC148:BD148"/>
    <mergeCell ref="AA148:AB148"/>
    <mergeCell ref="AC148:AD148"/>
    <mergeCell ref="AE148:AF148"/>
    <mergeCell ref="AG148:AH148"/>
    <mergeCell ref="BA147:BB147"/>
    <mergeCell ref="BC147:BD147"/>
    <mergeCell ref="AA143:AB143"/>
    <mergeCell ref="AE143:AF143"/>
    <mergeCell ref="BC145:BD145"/>
    <mergeCell ref="AR147:AS147"/>
    <mergeCell ref="AP80:AQ80"/>
    <mergeCell ref="M4:M18"/>
    <mergeCell ref="Z4:Z18"/>
    <mergeCell ref="AA159:AB159"/>
    <mergeCell ref="BC159:BD159"/>
    <mergeCell ref="BA151:BB151"/>
    <mergeCell ref="BC151:BD151"/>
    <mergeCell ref="AT151:AU151"/>
    <mergeCell ref="AV151:AW151"/>
    <mergeCell ref="AE151:AF151"/>
    <mergeCell ref="AP151:AQ151"/>
    <mergeCell ref="AR159:AS159"/>
    <mergeCell ref="AT159:AU159"/>
    <mergeCell ref="AV159:AW159"/>
    <mergeCell ref="BA159:BB159"/>
    <mergeCell ref="AR151:AS151"/>
    <mergeCell ref="AA151:AB151"/>
    <mergeCell ref="AC151:AD151"/>
    <mergeCell ref="AC159:AD159"/>
    <mergeCell ref="AE159:AF159"/>
    <mergeCell ref="AG159:AH159"/>
    <mergeCell ref="AP159:AQ159"/>
    <mergeCell ref="AG151:AH151"/>
    <mergeCell ref="AA150:AB150"/>
    <mergeCell ref="E4:E18"/>
    <mergeCell ref="AP77:AQ77"/>
    <mergeCell ref="L4:L18"/>
    <mergeCell ref="S4:S18"/>
    <mergeCell ref="Q4:Q18"/>
    <mergeCell ref="AV21:AW21"/>
    <mergeCell ref="F4:F18"/>
    <mergeCell ref="AT63:AU63"/>
    <mergeCell ref="AV73:AW73"/>
    <mergeCell ref="AV63:AW63"/>
    <mergeCell ref="AV75:AW75"/>
    <mergeCell ref="AV72:AW72"/>
    <mergeCell ref="AT75:AU75"/>
    <mergeCell ref="AT67:AU67"/>
    <mergeCell ref="AV67:AW67"/>
    <mergeCell ref="AV77:AW77"/>
    <mergeCell ref="W4:W18"/>
    <mergeCell ref="P4:P18"/>
    <mergeCell ref="R4:R18"/>
    <mergeCell ref="X4:X18"/>
    <mergeCell ref="I4:I18"/>
    <mergeCell ref="G4:G18"/>
    <mergeCell ref="F58:F61"/>
    <mergeCell ref="H4:H18"/>
    <mergeCell ref="BC35:BD35"/>
    <mergeCell ref="BA21:BB21"/>
    <mergeCell ref="BC21:BD21"/>
    <mergeCell ref="BC25:BD25"/>
    <mergeCell ref="BC27:BD27"/>
    <mergeCell ref="AV78:AW78"/>
    <mergeCell ref="AV79:AW79"/>
    <mergeCell ref="BA79:BB79"/>
    <mergeCell ref="BC81:BD81"/>
    <mergeCell ref="BC36:BD36"/>
    <mergeCell ref="BA63:BB63"/>
    <mergeCell ref="BC63:BD63"/>
    <mergeCell ref="BA40:BB40"/>
    <mergeCell ref="BC40:BD40"/>
    <mergeCell ref="AV40:AW40"/>
    <mergeCell ref="AR78:AS78"/>
    <mergeCell ref="AT78:AU78"/>
    <mergeCell ref="BA78:BB78"/>
    <mergeCell ref="BC78:BD78"/>
    <mergeCell ref="AT40:AU40"/>
    <mergeCell ref="AT51:AU51"/>
    <mergeCell ref="BC72:BD72"/>
    <mergeCell ref="AR77:AS77"/>
    <mergeCell ref="AT77:AU77"/>
    <mergeCell ref="AR73:AS73"/>
    <mergeCell ref="AT73:AU73"/>
    <mergeCell ref="BA73:BB73"/>
    <mergeCell ref="AR75:AS75"/>
    <mergeCell ref="BC77:BD77"/>
    <mergeCell ref="BA75:BB75"/>
    <mergeCell ref="BC75:BD75"/>
    <mergeCell ref="AR74:AS74"/>
    <mergeCell ref="AV51:AW51"/>
    <mergeCell ref="BA67:BB67"/>
    <mergeCell ref="BC67:BD67"/>
    <mergeCell ref="BC44:BD44"/>
    <mergeCell ref="BD4:BD18"/>
    <mergeCell ref="BC34:BD34"/>
    <mergeCell ref="BC32:BD32"/>
    <mergeCell ref="BC26:BD26"/>
    <mergeCell ref="BC51:BD51"/>
    <mergeCell ref="BC37:BD37"/>
    <mergeCell ref="BC48:BD48"/>
    <mergeCell ref="BC38:BD38"/>
    <mergeCell ref="AA144:AB144"/>
    <mergeCell ref="AC144:AD144"/>
    <mergeCell ref="AE144:AF144"/>
    <mergeCell ref="AG144:AH144"/>
    <mergeCell ref="AP144:AQ144"/>
    <mergeCell ref="AR144:AS144"/>
    <mergeCell ref="BC47:BD47"/>
    <mergeCell ref="BC46:BD46"/>
    <mergeCell ref="BA74:BB74"/>
    <mergeCell ref="AP86:AQ86"/>
    <mergeCell ref="AV118:AW118"/>
    <mergeCell ref="AV124:AW124"/>
    <mergeCell ref="AV122:AW122"/>
    <mergeCell ref="AT118:AU118"/>
    <mergeCell ref="AR122:AS122"/>
    <mergeCell ref="AA142:AB142"/>
    <mergeCell ref="AR94:AS94"/>
    <mergeCell ref="AT94:AU94"/>
    <mergeCell ref="AV94:AW94"/>
    <mergeCell ref="AP121:AQ121"/>
    <mergeCell ref="AR121:AS121"/>
    <mergeCell ref="AR115:AS115"/>
    <mergeCell ref="AP118:AQ118"/>
    <mergeCell ref="AR98:AS98"/>
    <mergeCell ref="AP98:AQ98"/>
    <mergeCell ref="AP95:AQ95"/>
    <mergeCell ref="AR100:AS100"/>
    <mergeCell ref="AR97:AS97"/>
    <mergeCell ref="AP100:AQ100"/>
    <mergeCell ref="AR101:AS101"/>
    <mergeCell ref="AR96:AS96"/>
    <mergeCell ref="AR95:AS95"/>
    <mergeCell ref="AP96:AQ96"/>
    <mergeCell ref="AT74:AU74"/>
    <mergeCell ref="AR72:AS72"/>
    <mergeCell ref="AT72:AU72"/>
    <mergeCell ref="BC45:BD45"/>
    <mergeCell ref="BA77:BB77"/>
    <mergeCell ref="BC73:BD73"/>
    <mergeCell ref="BA72:BB72"/>
    <mergeCell ref="BA51:BB51"/>
    <mergeCell ref="AV74:AW74"/>
    <mergeCell ref="BC74:BD74"/>
    <mergeCell ref="AR80:AS80"/>
    <mergeCell ref="AT80:AU80"/>
    <mergeCell ref="BA80:BB80"/>
    <mergeCell ref="BC80:BD80"/>
    <mergeCell ref="AV80:AW80"/>
    <mergeCell ref="AR79:AS79"/>
    <mergeCell ref="AT79:AU79"/>
    <mergeCell ref="BC84:BD84"/>
    <mergeCell ref="AR82:AS82"/>
    <mergeCell ref="AT82:AU82"/>
    <mergeCell ref="BA82:BB82"/>
    <mergeCell ref="BC82:BD82"/>
    <mergeCell ref="AV84:AW84"/>
    <mergeCell ref="AV82:AW82"/>
    <mergeCell ref="AR84:AS84"/>
    <mergeCell ref="BA84:BB84"/>
    <mergeCell ref="AT84:AU84"/>
    <mergeCell ref="AV81:AW81"/>
    <mergeCell ref="AR81:AS81"/>
    <mergeCell ref="AT81:AU81"/>
    <mergeCell ref="BA81:BB81"/>
    <mergeCell ref="BC79:BD79"/>
    <mergeCell ref="AR91:AS91"/>
    <mergeCell ref="AV95:AW95"/>
    <mergeCell ref="AR86:AS86"/>
    <mergeCell ref="AC130:AD130"/>
    <mergeCell ref="AV147:AW147"/>
    <mergeCell ref="BA148:BB148"/>
    <mergeCell ref="AR118:AS118"/>
    <mergeCell ref="AG143:AH143"/>
    <mergeCell ref="AP143:AQ143"/>
    <mergeCell ref="AR143:AS143"/>
    <mergeCell ref="AV135:AW135"/>
    <mergeCell ref="BA125:BB125"/>
    <mergeCell ref="BA118:BB118"/>
    <mergeCell ref="BA124:BB124"/>
    <mergeCell ref="AT148:AU148"/>
    <mergeCell ref="AT142:AU142"/>
    <mergeCell ref="AT136:AU136"/>
    <mergeCell ref="AT135:AU135"/>
    <mergeCell ref="AT121:AU121"/>
    <mergeCell ref="AR141:AS141"/>
    <mergeCell ref="AT141:AU141"/>
    <mergeCell ref="AR142:AS142"/>
    <mergeCell ref="AC142:AD142"/>
    <mergeCell ref="BA86:BB86"/>
    <mergeCell ref="AG115:AH115"/>
    <mergeCell ref="AG117:AH117"/>
    <mergeCell ref="AT105:AU105"/>
    <mergeCell ref="AT97:AU97"/>
    <mergeCell ref="AT100:AU100"/>
    <mergeCell ref="AE121:AF121"/>
    <mergeCell ref="AG142:AH142"/>
    <mergeCell ref="AP142:AQ142"/>
    <mergeCell ref="AP141:AQ141"/>
    <mergeCell ref="AP137:AQ137"/>
    <mergeCell ref="AR137:AS137"/>
    <mergeCell ref="AT122:AU122"/>
    <mergeCell ref="AG116:AH116"/>
    <mergeCell ref="AG125:AH125"/>
    <mergeCell ref="AG124:AH124"/>
    <mergeCell ref="AG121:AH121"/>
    <mergeCell ref="AT137:AU137"/>
    <mergeCell ref="AE142:AF142"/>
    <mergeCell ref="AE117:AF117"/>
    <mergeCell ref="AT124:AU124"/>
    <mergeCell ref="BA97:BB97"/>
    <mergeCell ref="BA106:BB106"/>
    <mergeCell ref="AP131:AQ131"/>
    <mergeCell ref="AR131:AS131"/>
    <mergeCell ref="AT131:AU131"/>
    <mergeCell ref="AV131:AW131"/>
    <mergeCell ref="BA131:BB131"/>
    <mergeCell ref="AV125:AW125"/>
    <mergeCell ref="AP101:AQ101"/>
    <mergeCell ref="AT107:AU107"/>
    <mergeCell ref="AR116:AS116"/>
    <mergeCell ref="AT111:AU111"/>
    <mergeCell ref="AV101:AW101"/>
    <mergeCell ref="BA101:BB101"/>
    <mergeCell ref="AP125:AQ125"/>
    <mergeCell ref="AT106:AU106"/>
    <mergeCell ref="BA130:BB130"/>
    <mergeCell ref="BA111:BB111"/>
    <mergeCell ref="BA107:BB107"/>
    <mergeCell ref="BA121:BB121"/>
    <mergeCell ref="BA117:BB117"/>
    <mergeCell ref="BA116:BB116"/>
    <mergeCell ref="AV111:AW111"/>
    <mergeCell ref="AV115:AW115"/>
    <mergeCell ref="AV107:AW107"/>
    <mergeCell ref="AV121:AW121"/>
    <mergeCell ref="BA122:BB122"/>
    <mergeCell ref="BC86:BD86"/>
    <mergeCell ref="AV86:AW86"/>
    <mergeCell ref="BC101:BD101"/>
    <mergeCell ref="BC96:BD96"/>
    <mergeCell ref="BA91:BB91"/>
    <mergeCell ref="AT96:AU96"/>
    <mergeCell ref="AT91:AU91"/>
    <mergeCell ref="BC100:BD100"/>
    <mergeCell ref="BC97:BD97"/>
    <mergeCell ref="AV91:AW91"/>
    <mergeCell ref="BC98:BD98"/>
    <mergeCell ref="BC94:BD94"/>
    <mergeCell ref="BC95:BD95"/>
    <mergeCell ref="BC91:BD91"/>
    <mergeCell ref="BA94:BB94"/>
    <mergeCell ref="AT95:AU95"/>
    <mergeCell ref="BA98:BB98"/>
    <mergeCell ref="AV100:AW100"/>
    <mergeCell ref="AV96:AW96"/>
    <mergeCell ref="BA95:BB95"/>
    <mergeCell ref="BA96:BB96"/>
    <mergeCell ref="AT86:AU86"/>
    <mergeCell ref="AT98:AU98"/>
    <mergeCell ref="AT101:AU101"/>
    <mergeCell ref="BC122:BD122"/>
    <mergeCell ref="BC119:BD119"/>
    <mergeCell ref="AT115:AU115"/>
    <mergeCell ref="BC116:BD116"/>
    <mergeCell ref="BA115:BB115"/>
    <mergeCell ref="BC144:BD144"/>
    <mergeCell ref="BC150:BD150"/>
    <mergeCell ref="BC143:BD143"/>
    <mergeCell ref="BA136:BB136"/>
    <mergeCell ref="BA144:BB144"/>
    <mergeCell ref="BC137:BD137"/>
    <mergeCell ref="BC131:BD131"/>
    <mergeCell ref="BC118:BD118"/>
    <mergeCell ref="BC124:BD124"/>
    <mergeCell ref="BC130:BD130"/>
    <mergeCell ref="BA142:BB142"/>
    <mergeCell ref="BC141:BD141"/>
    <mergeCell ref="BA135:BB135"/>
    <mergeCell ref="BA141:BB141"/>
    <mergeCell ref="BC136:BD136"/>
    <mergeCell ref="AT150:AU150"/>
    <mergeCell ref="AV150:AW150"/>
    <mergeCell ref="BA150:BB150"/>
    <mergeCell ref="AV148:AW148"/>
    <mergeCell ref="AV185:AW185"/>
    <mergeCell ref="BA185:BB185"/>
    <mergeCell ref="BC185:BD185"/>
    <mergeCell ref="BC181:BD181"/>
    <mergeCell ref="BA166:BB166"/>
    <mergeCell ref="BC166:BD166"/>
    <mergeCell ref="BC182:BD182"/>
    <mergeCell ref="AP184:AQ184"/>
    <mergeCell ref="AR184:AS184"/>
    <mergeCell ref="AT184:AU184"/>
    <mergeCell ref="AV184:AW184"/>
    <mergeCell ref="BA184:BB184"/>
    <mergeCell ref="BC184:BD184"/>
    <mergeCell ref="BC169:BD169"/>
    <mergeCell ref="AV180:AW180"/>
    <mergeCell ref="BA180:BB180"/>
    <mergeCell ref="BC180:BD180"/>
    <mergeCell ref="BC174:BD174"/>
    <mergeCell ref="AP166:AQ166"/>
    <mergeCell ref="AR166:AS166"/>
    <mergeCell ref="AT166:AU166"/>
    <mergeCell ref="AV166:AW166"/>
    <mergeCell ref="BC173:BD173"/>
    <mergeCell ref="AV181:AW181"/>
    <mergeCell ref="AA184:AB184"/>
    <mergeCell ref="AC184:AD184"/>
    <mergeCell ref="AE184:AF184"/>
    <mergeCell ref="AG184:AH184"/>
    <mergeCell ref="AR185:AS185"/>
    <mergeCell ref="AT185:AU185"/>
    <mergeCell ref="AP181:AQ181"/>
    <mergeCell ref="AR181:AS181"/>
    <mergeCell ref="AT181:AU181"/>
    <mergeCell ref="AP182:AQ182"/>
    <mergeCell ref="AR182:AS182"/>
    <mergeCell ref="AT182:AU182"/>
    <mergeCell ref="AP185:AQ185"/>
    <mergeCell ref="BA181:BB181"/>
    <mergeCell ref="AP174:AQ174"/>
    <mergeCell ref="AR174:AS174"/>
    <mergeCell ref="AT174:AU174"/>
    <mergeCell ref="AV182:AW182"/>
    <mergeCell ref="BA182:BB182"/>
    <mergeCell ref="AP180:AQ180"/>
    <mergeCell ref="AR180:AS180"/>
    <mergeCell ref="AT180:AU180"/>
    <mergeCell ref="AV174:AW174"/>
    <mergeCell ref="BA174:BB174"/>
    <mergeCell ref="AT116:AU116"/>
    <mergeCell ref="AV142:AW142"/>
    <mergeCell ref="AV143:AW143"/>
    <mergeCell ref="AV117:AW117"/>
    <mergeCell ref="AP91:AQ91"/>
    <mergeCell ref="AR107:AS107"/>
    <mergeCell ref="AR125:AS125"/>
    <mergeCell ref="BA143:BB143"/>
    <mergeCell ref="AP169:AQ169"/>
    <mergeCell ref="AR169:AS169"/>
    <mergeCell ref="AT169:AU169"/>
    <mergeCell ref="AV169:AW169"/>
    <mergeCell ref="BA169:BB169"/>
    <mergeCell ref="AV167:AW167"/>
    <mergeCell ref="BA167:BB167"/>
    <mergeCell ref="AP168:AQ168"/>
    <mergeCell ref="AR168:AS168"/>
    <mergeCell ref="AT168:AU168"/>
    <mergeCell ref="AV168:AW168"/>
    <mergeCell ref="BA168:BB168"/>
    <mergeCell ref="AV144:AW144"/>
    <mergeCell ref="AP97:AQ97"/>
    <mergeCell ref="AV98:AW98"/>
    <mergeCell ref="AV97:AW97"/>
    <mergeCell ref="BC168:BD168"/>
    <mergeCell ref="AP167:AQ167"/>
    <mergeCell ref="AR167:AS167"/>
    <mergeCell ref="AT167:AU167"/>
    <mergeCell ref="BC167:BD167"/>
    <mergeCell ref="AP160:AQ160"/>
    <mergeCell ref="AR160:AS160"/>
    <mergeCell ref="AT160:AU160"/>
    <mergeCell ref="AA173:AB173"/>
    <mergeCell ref="AC173:AD173"/>
    <mergeCell ref="AE173:AF173"/>
    <mergeCell ref="AG173:AH173"/>
    <mergeCell ref="AP173:AQ173"/>
    <mergeCell ref="AR173:AS173"/>
    <mergeCell ref="AT173:AU173"/>
    <mergeCell ref="AV173:AW173"/>
    <mergeCell ref="BA173:BB173"/>
    <mergeCell ref="BC160:BD160"/>
    <mergeCell ref="AV160:AW160"/>
    <mergeCell ref="BA160:BB160"/>
  </mergeCells>
  <phoneticPr fontId="3"/>
  <hyperlinks>
    <hyperlink ref="Z59" r:id="rId1" xr:uid="{45DA5346-4618-4F0C-864E-246644A9396D}"/>
    <hyperlink ref="Z61" r:id="rId2" xr:uid="{35562A72-5DBF-4AA2-9063-004C4598B63E}"/>
    <hyperlink ref="Z127" r:id="rId3" xr:uid="{76BF195A-14A0-40AB-99DF-10A4F58647B6}"/>
    <hyperlink ref="Z129" r:id="rId4" xr:uid="{388D0513-D88C-4165-8581-BE0464382D11}"/>
    <hyperlink ref="Z156" r:id="rId5" xr:uid="{6831A5F6-7BD9-4464-90E4-608284EB17FE}"/>
    <hyperlink ref="Z158" r:id="rId6" xr:uid="{6581F07A-8AFA-4DC2-A0DF-B35190D4906D}"/>
  </hyperlinks>
  <printOptions horizontalCentered="1"/>
  <pageMargins left="0.19685039370078741" right="0.19685039370078741" top="0.19685039370078741" bottom="0.19685039370078741" header="0.31496062992125984" footer="0.31496062992125984"/>
  <pageSetup paperSize="9" scale="52" fitToHeight="0" orientation="landscape" r:id="rId7"/>
  <rowBreaks count="5" manualBreakCount="5">
    <brk id="64" min="1" max="26" man="1"/>
    <brk id="88" min="1" max="26" man="1"/>
    <brk id="102" min="1" max="26" man="1"/>
    <brk id="132" min="1" max="26" man="1"/>
    <brk id="161" min="1" max="26"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DE657-32D6-454F-8F28-169F0D1373CF}">
  <sheetPr>
    <tabColor rgb="FFFFFF00"/>
  </sheetPr>
  <dimension ref="B1:AA63"/>
  <sheetViews>
    <sheetView view="pageBreakPreview" zoomScaleNormal="100" zoomScaleSheetLayoutView="100" workbookViewId="0"/>
  </sheetViews>
  <sheetFormatPr defaultColWidth="3.44140625" defaultRowHeight="13.2"/>
  <cols>
    <col min="1" max="1" width="3.44140625" style="3" customWidth="1"/>
    <col min="2" max="2" width="3" style="616" customWidth="1"/>
    <col min="3" max="5" width="3.44140625" style="3" customWidth="1"/>
    <col min="6" max="6" width="4.88671875" style="3" customWidth="1"/>
    <col min="7" max="7" width="3.44140625" style="3" customWidth="1"/>
    <col min="8" max="8" width="2.44140625" style="3" customWidth="1"/>
    <col min="9" max="36" width="3.44140625" style="3"/>
    <col min="37" max="37" width="3.21875" style="3" customWidth="1"/>
    <col min="38" max="16384" width="3.44140625" style="3"/>
  </cols>
  <sheetData>
    <row r="1" spans="2:27" s="1" customFormat="1"/>
    <row r="2" spans="2:27" s="1" customFormat="1">
      <c r="B2" s="1" t="s">
        <v>1835</v>
      </c>
      <c r="AA2" s="45" t="s">
        <v>766</v>
      </c>
    </row>
    <row r="3" spans="2:27" s="1" customFormat="1" ht="8.25" customHeight="1"/>
    <row r="4" spans="2:27" s="1" customFormat="1">
      <c r="B4" s="1575" t="s">
        <v>1836</v>
      </c>
      <c r="C4" s="1575"/>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row>
    <row r="5" spans="2:27" s="1" customFormat="1" ht="6.75" customHeight="1"/>
    <row r="6" spans="2:27" s="1" customFormat="1" ht="19.5" customHeight="1">
      <c r="B6" s="1794" t="s">
        <v>1109</v>
      </c>
      <c r="C6" s="1794"/>
      <c r="D6" s="1794"/>
      <c r="E6" s="1794"/>
      <c r="F6" s="1794"/>
      <c r="G6" s="1580"/>
      <c r="H6" s="1581"/>
      <c r="I6" s="1581"/>
      <c r="J6" s="1581"/>
      <c r="K6" s="1581"/>
      <c r="L6" s="1581"/>
      <c r="M6" s="1581"/>
      <c r="N6" s="1581"/>
      <c r="O6" s="1581"/>
      <c r="P6" s="1581"/>
      <c r="Q6" s="1581"/>
      <c r="R6" s="1581"/>
      <c r="S6" s="1581"/>
      <c r="T6" s="1581"/>
      <c r="U6" s="1581"/>
      <c r="V6" s="1581"/>
      <c r="W6" s="1581"/>
      <c r="X6" s="1581"/>
      <c r="Y6" s="1581"/>
      <c r="Z6" s="1581"/>
      <c r="AA6" s="1582"/>
    </row>
    <row r="7" spans="2:27" s="1" customFormat="1" ht="9" customHeight="1"/>
    <row r="8" spans="2:27" s="1" customFormat="1" ht="6" customHeight="1">
      <c r="B8" s="6"/>
      <c r="C8" s="7"/>
      <c r="D8" s="7"/>
      <c r="E8" s="7"/>
      <c r="F8" s="7"/>
      <c r="G8" s="7"/>
      <c r="H8" s="7"/>
      <c r="I8" s="7"/>
      <c r="J8" s="7"/>
      <c r="K8" s="7"/>
      <c r="L8" s="7"/>
      <c r="M8" s="7"/>
      <c r="N8" s="7"/>
      <c r="O8" s="7"/>
      <c r="P8" s="7"/>
      <c r="Q8" s="7"/>
      <c r="R8" s="7"/>
      <c r="S8" s="7"/>
      <c r="T8" s="7"/>
      <c r="U8" s="7"/>
      <c r="V8" s="7"/>
      <c r="W8" s="7"/>
      <c r="X8" s="7"/>
      <c r="Y8" s="7"/>
      <c r="Z8" s="7"/>
      <c r="AA8" s="4"/>
    </row>
    <row r="9" spans="2:27" s="1" customFormat="1" ht="21" customHeight="1">
      <c r="B9" s="408"/>
      <c r="C9" s="1" t="s">
        <v>1837</v>
      </c>
      <c r="AA9" s="402"/>
    </row>
    <row r="10" spans="2:27" s="1" customFormat="1" ht="19.5" customHeight="1">
      <c r="B10" s="408"/>
      <c r="C10" s="1794" t="s">
        <v>1838</v>
      </c>
      <c r="D10" s="1794"/>
      <c r="E10" s="1794"/>
      <c r="F10" s="1794"/>
      <c r="G10" s="1580" t="s">
        <v>1839</v>
      </c>
      <c r="H10" s="1581"/>
      <c r="I10" s="1581"/>
      <c r="J10" s="1581"/>
      <c r="K10" s="1582"/>
      <c r="M10" s="2"/>
      <c r="N10" s="2"/>
      <c r="O10" s="2"/>
      <c r="P10" s="2"/>
      <c r="Q10" s="2"/>
      <c r="R10" s="2"/>
      <c r="S10" s="2"/>
      <c r="T10" s="2"/>
      <c r="U10" s="2"/>
      <c r="Y10" s="597"/>
      <c r="Z10" s="597"/>
      <c r="AA10" s="402"/>
    </row>
    <row r="11" spans="2:27" s="1" customFormat="1" ht="6" customHeight="1">
      <c r="B11" s="408"/>
      <c r="C11" s="12"/>
      <c r="D11" s="12"/>
      <c r="E11" s="12"/>
      <c r="F11" s="12"/>
      <c r="G11" s="12"/>
      <c r="H11" s="12"/>
      <c r="I11" s="12"/>
      <c r="J11" s="12"/>
      <c r="K11" s="12"/>
      <c r="M11" s="12"/>
      <c r="N11" s="12"/>
      <c r="O11" s="12"/>
      <c r="P11" s="12"/>
      <c r="Q11" s="12"/>
      <c r="R11" s="12"/>
      <c r="S11" s="12"/>
      <c r="T11" s="12"/>
      <c r="U11" s="12"/>
      <c r="Y11" s="597"/>
      <c r="Z11" s="597"/>
      <c r="AA11" s="402"/>
    </row>
    <row r="12" spans="2:27" s="1" customFormat="1" ht="18.75" customHeight="1">
      <c r="B12" s="408"/>
      <c r="C12" s="1" t="s">
        <v>1840</v>
      </c>
      <c r="AA12" s="402"/>
    </row>
    <row r="13" spans="2:27" s="1" customFormat="1" ht="19.5" customHeight="1">
      <c r="B13" s="408"/>
      <c r="C13" s="1794" t="s">
        <v>1841</v>
      </c>
      <c r="D13" s="1794"/>
      <c r="E13" s="1794"/>
      <c r="F13" s="1794"/>
      <c r="G13" s="1580" t="s">
        <v>1842</v>
      </c>
      <c r="H13" s="1581"/>
      <c r="I13" s="1581"/>
      <c r="J13" s="1581"/>
      <c r="K13" s="1582"/>
      <c r="M13" s="1794" t="s">
        <v>1843</v>
      </c>
      <c r="N13" s="1794"/>
      <c r="O13" s="1794"/>
      <c r="P13" s="1794"/>
      <c r="Q13" s="1580" t="s">
        <v>1842</v>
      </c>
      <c r="R13" s="1581"/>
      <c r="S13" s="1581"/>
      <c r="T13" s="1581"/>
      <c r="U13" s="1582"/>
      <c r="Y13" s="597"/>
      <c r="Z13" s="597"/>
      <c r="AA13" s="402"/>
    </row>
    <row r="14" spans="2:27" s="1" customFormat="1" ht="7.5" customHeight="1">
      <c r="B14" s="408"/>
      <c r="C14" s="12"/>
      <c r="D14" s="12"/>
      <c r="E14" s="12"/>
      <c r="F14" s="12"/>
      <c r="G14" s="12"/>
      <c r="H14" s="12"/>
      <c r="I14" s="12"/>
      <c r="J14" s="12"/>
      <c r="K14" s="12"/>
      <c r="Y14" s="597"/>
      <c r="Z14" s="597"/>
      <c r="AA14" s="402"/>
    </row>
    <row r="15" spans="2:27" s="1" customFormat="1" ht="19.5" customHeight="1">
      <c r="B15" s="408"/>
      <c r="C15" s="1" t="s">
        <v>1844</v>
      </c>
      <c r="D15" s="12"/>
      <c r="E15" s="12"/>
      <c r="F15" s="12"/>
      <c r="G15" s="12"/>
      <c r="H15" s="12"/>
      <c r="I15" s="12"/>
      <c r="J15" s="12"/>
      <c r="M15" s="12"/>
      <c r="N15" s="12"/>
      <c r="O15" s="12"/>
      <c r="Y15" s="597"/>
      <c r="Z15" s="597"/>
      <c r="AA15" s="402"/>
    </row>
    <row r="16" spans="2:27" s="1" customFormat="1" ht="19.5" customHeight="1">
      <c r="B16" s="408"/>
      <c r="C16" s="1794" t="s">
        <v>1845</v>
      </c>
      <c r="D16" s="1794"/>
      <c r="E16" s="1794"/>
      <c r="F16" s="1794"/>
      <c r="G16" s="1794" t="s">
        <v>1846</v>
      </c>
      <c r="H16" s="1794"/>
      <c r="I16" s="1794"/>
      <c r="J16" s="1794"/>
      <c r="K16" s="1794"/>
      <c r="L16" s="1794" t="s">
        <v>1847</v>
      </c>
      <c r="M16" s="1794"/>
      <c r="N16" s="1794"/>
      <c r="O16" s="1794"/>
      <c r="P16" s="1794"/>
      <c r="Q16" s="1794" t="s">
        <v>1848</v>
      </c>
      <c r="R16" s="1794"/>
      <c r="S16" s="1794"/>
      <c r="T16" s="1794"/>
      <c r="U16" s="1794"/>
      <c r="V16" s="1794" t="s">
        <v>1849</v>
      </c>
      <c r="W16" s="1794"/>
      <c r="X16" s="1794"/>
      <c r="Y16" s="1794"/>
      <c r="Z16" s="1794"/>
      <c r="AA16" s="402"/>
    </row>
    <row r="17" spans="2:27" s="1" customFormat="1" ht="19.5" customHeight="1">
      <c r="B17" s="408"/>
      <c r="C17" s="1580" t="s">
        <v>1850</v>
      </c>
      <c r="D17" s="1581"/>
      <c r="E17" s="1581"/>
      <c r="F17" s="1582"/>
      <c r="G17" s="1580"/>
      <c r="H17" s="1581"/>
      <c r="I17" s="1581"/>
      <c r="J17" s="1581"/>
      <c r="K17" s="1582"/>
      <c r="L17" s="1580"/>
      <c r="M17" s="1581"/>
      <c r="N17" s="1581"/>
      <c r="O17" s="1581"/>
      <c r="P17" s="1582"/>
      <c r="Q17" s="1580"/>
      <c r="R17" s="1581"/>
      <c r="S17" s="1581"/>
      <c r="T17" s="1581"/>
      <c r="U17" s="1582"/>
      <c r="V17" s="1580"/>
      <c r="W17" s="1581"/>
      <c r="X17" s="1581"/>
      <c r="Y17" s="1581"/>
      <c r="Z17" s="1582"/>
      <c r="AA17" s="402"/>
    </row>
    <row r="18" spans="2:27" s="1" customFormat="1" ht="4.5" customHeight="1">
      <c r="B18" s="408"/>
      <c r="C18" s="12"/>
      <c r="D18" s="12"/>
      <c r="E18" s="12"/>
      <c r="F18" s="12"/>
      <c r="G18" s="12"/>
      <c r="H18" s="12"/>
      <c r="I18" s="12"/>
      <c r="J18" s="12"/>
      <c r="K18" s="12"/>
      <c r="L18" s="12"/>
      <c r="M18" s="12"/>
      <c r="N18" s="12"/>
      <c r="O18" s="12"/>
      <c r="P18" s="12"/>
      <c r="Q18" s="12"/>
      <c r="R18" s="12"/>
      <c r="S18" s="12"/>
      <c r="T18" s="12"/>
      <c r="U18" s="12"/>
      <c r="V18" s="12"/>
      <c r="W18" s="12"/>
      <c r="X18" s="12"/>
      <c r="Y18" s="12"/>
      <c r="Z18" s="12"/>
      <c r="AA18" s="402"/>
    </row>
    <row r="19" spans="2:27" s="1" customFormat="1" ht="19.5" customHeight="1">
      <c r="B19" s="408"/>
      <c r="C19" s="1" t="s">
        <v>1851</v>
      </c>
      <c r="D19" s="12"/>
      <c r="E19" s="12"/>
      <c r="F19" s="12"/>
      <c r="G19" s="12"/>
      <c r="H19" s="12"/>
      <c r="I19" s="12"/>
      <c r="J19" s="12"/>
      <c r="M19" s="12"/>
      <c r="N19" s="12"/>
      <c r="O19" s="12"/>
      <c r="Y19" s="597"/>
      <c r="Z19" s="597"/>
      <c r="AA19" s="402"/>
    </row>
    <row r="20" spans="2:27" s="1" customFormat="1" ht="19.5" customHeight="1">
      <c r="B20" s="408"/>
      <c r="C20" s="1794" t="s">
        <v>1845</v>
      </c>
      <c r="D20" s="1794"/>
      <c r="E20" s="1794"/>
      <c r="F20" s="1794"/>
      <c r="G20" s="1794" t="s">
        <v>1846</v>
      </c>
      <c r="H20" s="1794"/>
      <c r="I20" s="1794"/>
      <c r="J20" s="1794"/>
      <c r="K20" s="1794"/>
      <c r="L20" s="1794" t="s">
        <v>1847</v>
      </c>
      <c r="M20" s="1794"/>
      <c r="N20" s="1794"/>
      <c r="O20" s="1794"/>
      <c r="P20" s="1794"/>
      <c r="Q20" s="1794" t="s">
        <v>1848</v>
      </c>
      <c r="R20" s="1794"/>
      <c r="S20" s="1794"/>
      <c r="T20" s="1794"/>
      <c r="U20" s="1794"/>
      <c r="V20" s="1794" t="s">
        <v>1849</v>
      </c>
      <c r="W20" s="1794"/>
      <c r="X20" s="1794"/>
      <c r="Y20" s="1794"/>
      <c r="Z20" s="1794"/>
      <c r="AA20" s="402"/>
    </row>
    <row r="21" spans="2:27" s="1" customFormat="1" ht="19.5" customHeight="1">
      <c r="B21" s="408"/>
      <c r="C21" s="1580" t="s">
        <v>1850</v>
      </c>
      <c r="D21" s="1581"/>
      <c r="E21" s="1581"/>
      <c r="F21" s="1582"/>
      <c r="G21" s="1580"/>
      <c r="H21" s="1581"/>
      <c r="I21" s="1581"/>
      <c r="J21" s="1581"/>
      <c r="K21" s="1582"/>
      <c r="L21" s="1580"/>
      <c r="M21" s="1581"/>
      <c r="N21" s="1581"/>
      <c r="O21" s="1581"/>
      <c r="P21" s="1582"/>
      <c r="Q21" s="1580"/>
      <c r="R21" s="1581"/>
      <c r="S21" s="1581"/>
      <c r="T21" s="1581"/>
      <c r="U21" s="1582"/>
      <c r="V21" s="1580"/>
      <c r="W21" s="1581"/>
      <c r="X21" s="1581"/>
      <c r="Y21" s="1581"/>
      <c r="Z21" s="1582"/>
      <c r="AA21" s="402"/>
    </row>
    <row r="22" spans="2:27" s="1" customFormat="1" ht="9.75" customHeight="1">
      <c r="B22" s="408"/>
      <c r="C22" s="12"/>
      <c r="D22" s="12"/>
      <c r="E22" s="12"/>
      <c r="F22" s="12"/>
      <c r="G22" s="12"/>
      <c r="H22" s="12"/>
      <c r="I22" s="12"/>
      <c r="J22" s="12"/>
      <c r="K22" s="12"/>
      <c r="L22" s="12"/>
      <c r="M22" s="12"/>
      <c r="N22" s="12"/>
      <c r="O22" s="12"/>
      <c r="P22" s="12"/>
      <c r="Q22" s="12"/>
      <c r="R22" s="12"/>
      <c r="S22" s="12"/>
      <c r="T22" s="12"/>
      <c r="U22" s="12"/>
      <c r="V22" s="12"/>
      <c r="W22" s="12"/>
      <c r="X22" s="12"/>
      <c r="Y22" s="12"/>
      <c r="Z22" s="12"/>
      <c r="AA22" s="402"/>
    </row>
    <row r="23" spans="2:27" s="1" customFormat="1" ht="19.5" customHeight="1">
      <c r="B23" s="408"/>
      <c r="C23" s="12"/>
      <c r="D23" s="8" t="s">
        <v>1852</v>
      </c>
      <c r="E23" s="612"/>
      <c r="F23" s="612"/>
      <c r="G23" s="612"/>
      <c r="H23" s="612"/>
      <c r="I23" s="612"/>
      <c r="J23" s="612"/>
      <c r="K23" s="612"/>
      <c r="L23" s="612"/>
      <c r="M23" s="612"/>
      <c r="N23" s="612"/>
      <c r="O23" s="612"/>
      <c r="P23" s="612"/>
      <c r="Q23" s="612"/>
      <c r="R23" s="612"/>
      <c r="S23" s="612"/>
      <c r="T23" s="612"/>
      <c r="U23" s="886"/>
      <c r="V23" s="12"/>
      <c r="W23" s="12"/>
      <c r="X23" s="12"/>
      <c r="Y23" s="12"/>
      <c r="Z23" s="12"/>
      <c r="AA23" s="402"/>
    </row>
    <row r="24" spans="2:27" s="1" customFormat="1" ht="7.5" customHeight="1">
      <c r="B24" s="408"/>
      <c r="C24" s="12"/>
      <c r="E24" s="12"/>
      <c r="F24" s="12"/>
      <c r="G24" s="12"/>
      <c r="H24" s="12"/>
      <c r="I24" s="12"/>
      <c r="J24" s="12"/>
      <c r="K24" s="12"/>
      <c r="L24" s="12"/>
      <c r="M24" s="12"/>
      <c r="N24" s="12"/>
      <c r="O24" s="12"/>
      <c r="P24" s="12"/>
      <c r="Q24" s="12"/>
      <c r="R24" s="12"/>
      <c r="S24" s="12"/>
      <c r="T24" s="12"/>
      <c r="U24" s="887"/>
      <c r="V24" s="12"/>
      <c r="W24" s="12"/>
      <c r="X24" s="12"/>
      <c r="Y24" s="12"/>
      <c r="Z24" s="12"/>
      <c r="AA24" s="402"/>
    </row>
    <row r="25" spans="2:27" s="1" customFormat="1" ht="19.5" customHeight="1">
      <c r="B25" s="408"/>
      <c r="C25" s="1" t="s">
        <v>1853</v>
      </c>
      <c r="D25" s="12"/>
      <c r="E25" s="12"/>
      <c r="F25" s="12"/>
      <c r="G25" s="12"/>
      <c r="H25" s="12"/>
      <c r="I25" s="12"/>
      <c r="J25" s="12"/>
      <c r="K25" s="12"/>
      <c r="L25" s="12"/>
      <c r="M25" s="12"/>
      <c r="N25" s="12"/>
      <c r="O25" s="12"/>
      <c r="Y25" s="597"/>
      <c r="Z25" s="597"/>
      <c r="AA25" s="402"/>
    </row>
    <row r="26" spans="2:27" s="1" customFormat="1" ht="19.5" customHeight="1">
      <c r="B26" s="408"/>
      <c r="C26" s="1794" t="s">
        <v>1845</v>
      </c>
      <c r="D26" s="1794"/>
      <c r="E26" s="1794"/>
      <c r="F26" s="1794"/>
      <c r="G26" s="1794" t="s">
        <v>1854</v>
      </c>
      <c r="H26" s="1794"/>
      <c r="I26" s="1794"/>
      <c r="J26" s="1794"/>
      <c r="K26" s="1794"/>
      <c r="L26" s="1794" t="s">
        <v>1855</v>
      </c>
      <c r="M26" s="1794"/>
      <c r="N26" s="1794"/>
      <c r="O26" s="1794"/>
      <c r="P26" s="1794"/>
      <c r="Q26" s="1794" t="s">
        <v>1856</v>
      </c>
      <c r="R26" s="1794"/>
      <c r="S26" s="1794"/>
      <c r="T26" s="1794"/>
      <c r="U26" s="1794"/>
      <c r="V26" s="1794" t="s">
        <v>1857</v>
      </c>
      <c r="W26" s="1794"/>
      <c r="X26" s="1794"/>
      <c r="Y26" s="1794"/>
      <c r="Z26" s="1794"/>
      <c r="AA26" s="402"/>
    </row>
    <row r="27" spans="2:27" s="1" customFormat="1" ht="19.5" customHeight="1">
      <c r="B27" s="408"/>
      <c r="C27" s="1580" t="s">
        <v>1850</v>
      </c>
      <c r="D27" s="1581"/>
      <c r="E27" s="1581"/>
      <c r="F27" s="1582"/>
      <c r="G27" s="1580"/>
      <c r="H27" s="1581"/>
      <c r="I27" s="1581"/>
      <c r="J27" s="1581"/>
      <c r="K27" s="1582"/>
      <c r="L27" s="1580"/>
      <c r="M27" s="1581"/>
      <c r="N27" s="1581"/>
      <c r="O27" s="1581"/>
      <c r="P27" s="1582"/>
      <c r="Q27" s="1580"/>
      <c r="R27" s="1581"/>
      <c r="S27" s="1581"/>
      <c r="T27" s="1581"/>
      <c r="U27" s="1582"/>
      <c r="V27" s="1580"/>
      <c r="W27" s="1581"/>
      <c r="X27" s="1581"/>
      <c r="Y27" s="1581"/>
      <c r="Z27" s="1582"/>
      <c r="AA27" s="402"/>
    </row>
    <row r="28" spans="2:27" s="1" customFormat="1" ht="6.75" customHeight="1">
      <c r="B28" s="408"/>
      <c r="D28" s="12"/>
      <c r="E28" s="12"/>
      <c r="F28" s="12"/>
      <c r="G28" s="12"/>
      <c r="H28" s="12"/>
      <c r="I28" s="12"/>
      <c r="J28" s="12"/>
      <c r="K28" s="12"/>
      <c r="L28" s="12"/>
      <c r="M28" s="12"/>
      <c r="N28" s="12"/>
      <c r="O28" s="12"/>
      <c r="Y28" s="614"/>
      <c r="Z28" s="614"/>
      <c r="AA28" s="402"/>
    </row>
    <row r="29" spans="2:27" s="1" customFormat="1" ht="19.5" customHeight="1">
      <c r="B29" s="408"/>
      <c r="C29" s="1" t="s">
        <v>1858</v>
      </c>
      <c r="D29" s="12"/>
      <c r="E29" s="12"/>
      <c r="F29" s="12"/>
      <c r="G29" s="12"/>
      <c r="H29" s="12"/>
      <c r="I29" s="12"/>
      <c r="J29" s="12"/>
      <c r="K29" s="12"/>
      <c r="L29" s="12"/>
      <c r="M29" s="12"/>
      <c r="N29" s="12"/>
      <c r="O29" s="12"/>
      <c r="Y29" s="597"/>
      <c r="Z29" s="597"/>
      <c r="AA29" s="402"/>
    </row>
    <row r="30" spans="2:27" s="1" customFormat="1" ht="19.5" customHeight="1">
      <c r="B30" s="408"/>
      <c r="C30" s="1794" t="s">
        <v>1845</v>
      </c>
      <c r="D30" s="1794"/>
      <c r="E30" s="1794"/>
      <c r="F30" s="1794"/>
      <c r="G30" s="1794" t="s">
        <v>1854</v>
      </c>
      <c r="H30" s="1794"/>
      <c r="I30" s="1794"/>
      <c r="J30" s="1794"/>
      <c r="K30" s="1794"/>
      <c r="L30" s="1794" t="s">
        <v>1855</v>
      </c>
      <c r="M30" s="1794"/>
      <c r="N30" s="1794"/>
      <c r="O30" s="1794"/>
      <c r="P30" s="1794"/>
      <c r="Q30" s="1794" t="s">
        <v>1856</v>
      </c>
      <c r="R30" s="1794"/>
      <c r="S30" s="1794"/>
      <c r="T30" s="1794"/>
      <c r="U30" s="1794"/>
      <c r="V30" s="1794" t="s">
        <v>1857</v>
      </c>
      <c r="W30" s="1794"/>
      <c r="X30" s="1794"/>
      <c r="Y30" s="1794"/>
      <c r="Z30" s="1794"/>
      <c r="AA30" s="402"/>
    </row>
    <row r="31" spans="2:27" s="1" customFormat="1" ht="19.5" customHeight="1">
      <c r="B31" s="408"/>
      <c r="C31" s="1580" t="s">
        <v>1850</v>
      </c>
      <c r="D31" s="1581"/>
      <c r="E31" s="1581"/>
      <c r="F31" s="1582"/>
      <c r="G31" s="1580"/>
      <c r="H31" s="1581"/>
      <c r="I31" s="1581"/>
      <c r="J31" s="1581"/>
      <c r="K31" s="1582"/>
      <c r="L31" s="1580"/>
      <c r="M31" s="1581"/>
      <c r="N31" s="1581"/>
      <c r="O31" s="1581"/>
      <c r="P31" s="1582"/>
      <c r="Q31" s="1580"/>
      <c r="R31" s="1581"/>
      <c r="S31" s="1581"/>
      <c r="T31" s="1581"/>
      <c r="U31" s="1582"/>
      <c r="V31" s="1580"/>
      <c r="W31" s="1581"/>
      <c r="X31" s="1581"/>
      <c r="Y31" s="1581"/>
      <c r="Z31" s="1582"/>
      <c r="AA31" s="402"/>
    </row>
    <row r="32" spans="2:27" s="1" customFormat="1" ht="6.75" customHeight="1">
      <c r="B32" s="408"/>
      <c r="D32" s="12"/>
      <c r="E32" s="12"/>
      <c r="F32" s="12"/>
      <c r="G32" s="12"/>
      <c r="H32" s="12"/>
      <c r="I32" s="12"/>
      <c r="J32" s="12"/>
      <c r="K32" s="12"/>
      <c r="L32" s="12"/>
      <c r="M32" s="12"/>
      <c r="N32" s="12"/>
      <c r="O32" s="12"/>
      <c r="Y32" s="614"/>
      <c r="Z32" s="614"/>
      <c r="AA32" s="402"/>
    </row>
    <row r="33" spans="2:27" s="1" customFormat="1" ht="19.5" customHeight="1">
      <c r="B33" s="408"/>
      <c r="C33" s="12"/>
      <c r="D33" s="8" t="s">
        <v>1852</v>
      </c>
      <c r="E33" s="612"/>
      <c r="F33" s="612"/>
      <c r="G33" s="612"/>
      <c r="H33" s="612"/>
      <c r="I33" s="612"/>
      <c r="J33" s="612"/>
      <c r="K33" s="612"/>
      <c r="L33" s="612"/>
      <c r="M33" s="612"/>
      <c r="N33" s="612"/>
      <c r="O33" s="612"/>
      <c r="P33" s="612"/>
      <c r="Q33" s="612"/>
      <c r="R33" s="612"/>
      <c r="S33" s="612"/>
      <c r="T33" s="612"/>
      <c r="U33" s="886"/>
      <c r="V33" s="12"/>
      <c r="W33" s="12"/>
      <c r="X33" s="12"/>
      <c r="Y33" s="12"/>
      <c r="Z33" s="12"/>
      <c r="AA33" s="402"/>
    </row>
    <row r="34" spans="2:27" s="1" customFormat="1" ht="6" customHeight="1">
      <c r="B34" s="408"/>
      <c r="C34" s="12"/>
      <c r="D34" s="12"/>
      <c r="E34" s="12"/>
      <c r="F34" s="12"/>
      <c r="G34" s="12"/>
      <c r="H34" s="12"/>
      <c r="I34" s="12"/>
      <c r="J34" s="12"/>
      <c r="K34" s="12"/>
      <c r="L34" s="2"/>
      <c r="M34" s="12"/>
      <c r="N34" s="12"/>
      <c r="O34" s="12"/>
      <c r="P34" s="12"/>
      <c r="Q34" s="12"/>
      <c r="R34" s="12"/>
      <c r="S34" s="12"/>
      <c r="T34" s="12"/>
      <c r="U34" s="12"/>
      <c r="V34" s="2"/>
      <c r="W34" s="2"/>
      <c r="X34" s="2"/>
      <c r="Y34" s="2"/>
      <c r="Z34" s="2"/>
      <c r="AA34" s="402"/>
    </row>
    <row r="35" spans="2:27" s="1" customFormat="1" ht="19.5" customHeight="1">
      <c r="B35" s="408"/>
      <c r="C35" s="8" t="s">
        <v>1859</v>
      </c>
      <c r="D35" s="8"/>
      <c r="E35" s="612"/>
      <c r="F35" s="612"/>
      <c r="G35" s="612"/>
      <c r="H35" s="612"/>
      <c r="I35" s="612"/>
      <c r="J35" s="612"/>
      <c r="K35" s="612"/>
      <c r="L35" s="612"/>
      <c r="M35" s="612"/>
      <c r="N35" s="612"/>
      <c r="O35" s="612"/>
      <c r="P35" s="612"/>
      <c r="Q35" s="612"/>
      <c r="R35" s="612"/>
      <c r="S35" s="612"/>
      <c r="T35" s="612"/>
      <c r="U35" s="886"/>
      <c r="V35" s="12"/>
      <c r="W35" s="12"/>
      <c r="X35" s="12"/>
      <c r="Y35" s="12"/>
      <c r="Z35" s="12"/>
      <c r="AA35" s="402"/>
    </row>
    <row r="36" spans="2:27" s="1" customFormat="1" ht="9" customHeight="1">
      <c r="B36" s="408"/>
      <c r="D36" s="12"/>
      <c r="E36" s="12"/>
      <c r="F36" s="12"/>
      <c r="G36" s="12"/>
      <c r="H36" s="12"/>
      <c r="I36" s="12"/>
      <c r="J36" s="12"/>
      <c r="K36" s="12"/>
      <c r="L36" s="12"/>
      <c r="M36" s="12"/>
      <c r="N36" s="12"/>
      <c r="O36" s="12"/>
      <c r="Y36" s="614"/>
      <c r="Z36" s="614"/>
      <c r="AA36" s="402"/>
    </row>
    <row r="37" spans="2:27" s="1" customFormat="1">
      <c r="B37" s="408"/>
      <c r="C37" s="1" t="s">
        <v>1860</v>
      </c>
      <c r="D37" s="12"/>
      <c r="E37" s="12"/>
      <c r="F37" s="12"/>
      <c r="G37" s="12"/>
      <c r="H37" s="12"/>
      <c r="I37" s="12"/>
      <c r="J37" s="12"/>
      <c r="K37" s="12"/>
      <c r="L37" s="12"/>
      <c r="M37" s="12"/>
      <c r="N37" s="12"/>
      <c r="O37" s="12"/>
      <c r="Y37" s="614"/>
      <c r="Z37" s="614"/>
      <c r="AA37" s="402"/>
    </row>
    <row r="38" spans="2:27" s="1" customFormat="1" ht="19.5" customHeight="1">
      <c r="B38" s="408"/>
      <c r="C38" s="1794" t="s">
        <v>1861</v>
      </c>
      <c r="D38" s="1794"/>
      <c r="E38" s="1794"/>
      <c r="F38" s="1794"/>
      <c r="G38" s="1939" t="s">
        <v>1862</v>
      </c>
      <c r="H38" s="1940"/>
      <c r="I38" s="1940"/>
      <c r="J38" s="1940"/>
      <c r="K38" s="1941"/>
      <c r="L38" s="1939" t="s">
        <v>1863</v>
      </c>
      <c r="M38" s="1940"/>
      <c r="N38" s="1940"/>
      <c r="O38" s="1940"/>
      <c r="P38" s="1941"/>
      <c r="Q38" s="2"/>
      <c r="R38" s="2"/>
      <c r="S38" s="2"/>
      <c r="T38" s="2"/>
      <c r="U38" s="2"/>
      <c r="V38" s="2"/>
      <c r="W38" s="2"/>
      <c r="X38" s="2"/>
      <c r="Y38" s="2"/>
      <c r="Z38" s="2"/>
      <c r="AA38" s="402"/>
    </row>
    <row r="39" spans="2:27" s="1" customFormat="1" ht="19.5" customHeight="1">
      <c r="B39" s="408"/>
      <c r="C39" s="1580" t="s">
        <v>1864</v>
      </c>
      <c r="D39" s="1581"/>
      <c r="E39" s="1581"/>
      <c r="F39" s="1582"/>
      <c r="G39" s="1580"/>
      <c r="H39" s="1581"/>
      <c r="I39" s="1581"/>
      <c r="J39" s="1581"/>
      <c r="K39" s="1582"/>
      <c r="L39" s="1580"/>
      <c r="M39" s="1581"/>
      <c r="N39" s="1581"/>
      <c r="O39" s="1581"/>
      <c r="P39" s="1582"/>
      <c r="Q39" s="2"/>
      <c r="R39" s="2"/>
      <c r="S39" s="2"/>
      <c r="T39" s="2"/>
      <c r="U39" s="2"/>
      <c r="V39" s="2"/>
      <c r="W39" s="2"/>
      <c r="X39" s="2"/>
      <c r="Y39" s="2"/>
      <c r="Z39" s="2"/>
      <c r="AA39" s="402"/>
    </row>
    <row r="40" spans="2:27" s="1" customFormat="1" ht="9" customHeight="1">
      <c r="B40" s="408"/>
      <c r="C40" s="12"/>
      <c r="D40" s="12"/>
      <c r="E40" s="12"/>
      <c r="F40" s="12"/>
      <c r="G40" s="12"/>
      <c r="H40" s="12"/>
      <c r="I40" s="12"/>
      <c r="J40" s="12"/>
      <c r="K40" s="12"/>
      <c r="L40" s="2"/>
      <c r="M40" s="12"/>
      <c r="N40" s="12"/>
      <c r="O40" s="12"/>
      <c r="P40" s="12"/>
      <c r="Q40" s="12"/>
      <c r="R40" s="12"/>
      <c r="S40" s="12"/>
      <c r="T40" s="12"/>
      <c r="U40" s="12"/>
      <c r="V40" s="2"/>
      <c r="W40" s="2"/>
      <c r="X40" s="2"/>
      <c r="Y40" s="2"/>
      <c r="Z40" s="2"/>
      <c r="AA40" s="402"/>
    </row>
    <row r="41" spans="2:27" s="1" customFormat="1" ht="19.5" customHeight="1">
      <c r="B41" s="408"/>
      <c r="C41" s="1794" t="s">
        <v>1861</v>
      </c>
      <c r="D41" s="1794"/>
      <c r="E41" s="1794"/>
      <c r="F41" s="1794"/>
      <c r="G41" s="1939" t="s">
        <v>1865</v>
      </c>
      <c r="H41" s="1940"/>
      <c r="I41" s="1940"/>
      <c r="J41" s="1940"/>
      <c r="K41" s="1941"/>
      <c r="L41" s="1939" t="s">
        <v>1866</v>
      </c>
      <c r="M41" s="1940"/>
      <c r="N41" s="1940"/>
      <c r="O41" s="1940"/>
      <c r="P41" s="1941"/>
      <c r="Q41" s="2"/>
      <c r="R41" s="2"/>
      <c r="S41" s="2"/>
      <c r="T41" s="2"/>
      <c r="U41" s="2"/>
      <c r="V41" s="2"/>
      <c r="W41" s="2"/>
      <c r="X41" s="2"/>
      <c r="Y41" s="2"/>
      <c r="Z41" s="2"/>
      <c r="AA41" s="402"/>
    </row>
    <row r="42" spans="2:27" s="1" customFormat="1" ht="19.5" customHeight="1">
      <c r="B42" s="408"/>
      <c r="C42" s="1580" t="s">
        <v>1867</v>
      </c>
      <c r="D42" s="1581"/>
      <c r="E42" s="1581"/>
      <c r="F42" s="1582"/>
      <c r="G42" s="1580"/>
      <c r="H42" s="1581"/>
      <c r="I42" s="1581"/>
      <c r="J42" s="1581"/>
      <c r="K42" s="1582"/>
      <c r="L42" s="1580"/>
      <c r="M42" s="1581"/>
      <c r="N42" s="1581"/>
      <c r="O42" s="1581"/>
      <c r="P42" s="1582"/>
      <c r="Q42" s="2"/>
      <c r="R42" s="2"/>
      <c r="S42" s="2"/>
      <c r="T42" s="2"/>
      <c r="U42" s="2"/>
      <c r="V42" s="2"/>
      <c r="W42" s="2"/>
      <c r="X42" s="2"/>
      <c r="Y42" s="2"/>
      <c r="Z42" s="2"/>
      <c r="AA42" s="402"/>
    </row>
    <row r="43" spans="2:27" s="1" customFormat="1" ht="6" customHeight="1">
      <c r="B43" s="408"/>
      <c r="C43" s="12"/>
      <c r="D43" s="12"/>
      <c r="E43" s="12"/>
      <c r="F43" s="12"/>
      <c r="G43" s="12"/>
      <c r="H43" s="12"/>
      <c r="I43" s="12"/>
      <c r="J43" s="12"/>
      <c r="K43" s="12"/>
      <c r="L43" s="2"/>
      <c r="M43" s="12"/>
      <c r="N43" s="12"/>
      <c r="O43" s="12"/>
      <c r="P43" s="12"/>
      <c r="Q43" s="12"/>
      <c r="R43" s="12"/>
      <c r="S43" s="12"/>
      <c r="T43" s="12"/>
      <c r="U43" s="12"/>
      <c r="V43" s="2"/>
      <c r="W43" s="2"/>
      <c r="X43" s="2"/>
      <c r="Y43" s="2"/>
      <c r="Z43" s="2"/>
      <c r="AA43" s="402"/>
    </row>
    <row r="44" spans="2:27" s="1" customFormat="1" ht="17.25" customHeight="1">
      <c r="B44" s="408"/>
      <c r="C44" s="1" t="s">
        <v>1868</v>
      </c>
      <c r="D44" s="12"/>
      <c r="E44" s="12"/>
      <c r="F44" s="12"/>
      <c r="G44" s="12"/>
      <c r="H44" s="12"/>
      <c r="I44" s="12"/>
      <c r="J44" s="12"/>
      <c r="K44" s="12"/>
      <c r="L44" s="12"/>
      <c r="M44" s="12"/>
      <c r="N44" s="12"/>
      <c r="O44" s="12"/>
      <c r="Y44" s="597"/>
      <c r="Z44" s="597"/>
      <c r="AA44" s="402"/>
    </row>
    <row r="45" spans="2:27" s="1" customFormat="1" ht="4.5" customHeight="1">
      <c r="B45" s="408"/>
      <c r="D45" s="12"/>
      <c r="E45" s="12"/>
      <c r="F45" s="12"/>
      <c r="G45" s="12"/>
      <c r="H45" s="12"/>
      <c r="I45" s="12"/>
      <c r="J45" s="12"/>
      <c r="K45" s="12"/>
      <c r="L45" s="12"/>
      <c r="M45" s="12"/>
      <c r="N45" s="12"/>
      <c r="O45" s="12"/>
      <c r="Y45" s="597"/>
      <c r="Z45" s="597"/>
      <c r="AA45" s="402"/>
    </row>
    <row r="46" spans="2:27" s="1" customFormat="1" ht="16.5" customHeight="1">
      <c r="B46" s="408"/>
      <c r="C46" s="12"/>
      <c r="D46" s="1937" t="s">
        <v>1869</v>
      </c>
      <c r="E46" s="1937"/>
      <c r="F46" s="1937"/>
      <c r="G46" s="1937"/>
      <c r="H46" s="1937"/>
      <c r="I46" s="1937"/>
      <c r="J46" s="1937"/>
      <c r="K46" s="1937"/>
      <c r="L46" s="1937"/>
      <c r="M46" s="1937"/>
      <c r="N46" s="1937"/>
      <c r="O46" s="1937"/>
      <c r="P46" s="1937"/>
      <c r="Q46" s="1937"/>
      <c r="R46" s="1937"/>
      <c r="S46" s="1937"/>
      <c r="T46" s="1937"/>
      <c r="U46" s="886"/>
      <c r="V46" s="12"/>
      <c r="W46" s="12"/>
      <c r="X46" s="12"/>
      <c r="Y46" s="12"/>
      <c r="Z46" s="12"/>
      <c r="AA46" s="402"/>
    </row>
    <row r="47" spans="2:27" s="1" customFormat="1" ht="6" customHeight="1">
      <c r="B47" s="408"/>
      <c r="C47" s="12"/>
      <c r="D47" s="12"/>
      <c r="E47" s="12"/>
      <c r="F47" s="12"/>
      <c r="G47" s="12"/>
      <c r="H47" s="12"/>
      <c r="I47" s="12"/>
      <c r="J47" s="12"/>
      <c r="K47" s="12"/>
      <c r="L47" s="2"/>
      <c r="M47" s="12"/>
      <c r="N47" s="12"/>
      <c r="O47" s="12"/>
      <c r="P47" s="12"/>
      <c r="Q47" s="12"/>
      <c r="R47" s="12"/>
      <c r="S47" s="12"/>
      <c r="T47" s="12"/>
      <c r="U47" s="12"/>
      <c r="V47" s="2"/>
      <c r="W47" s="2"/>
      <c r="X47" s="2"/>
      <c r="Y47" s="2"/>
      <c r="Z47" s="2"/>
      <c r="AA47" s="402"/>
    </row>
    <row r="48" spans="2:27" s="1" customFormat="1" ht="19.5" customHeight="1">
      <c r="B48" s="408"/>
      <c r="C48" s="1" t="s">
        <v>1870</v>
      </c>
      <c r="D48" s="12"/>
      <c r="E48" s="12"/>
      <c r="F48" s="12"/>
      <c r="G48" s="12"/>
      <c r="H48" s="12"/>
      <c r="I48" s="12"/>
      <c r="J48" s="12"/>
      <c r="K48" s="12"/>
      <c r="L48" s="2"/>
      <c r="M48" s="12"/>
      <c r="N48" s="12"/>
      <c r="O48" s="12"/>
      <c r="P48" s="12"/>
      <c r="Q48" s="12"/>
      <c r="R48" s="12"/>
      <c r="S48" s="12"/>
      <c r="T48" s="12"/>
      <c r="U48" s="12"/>
      <c r="V48" s="2"/>
      <c r="W48" s="2"/>
      <c r="X48" s="2"/>
      <c r="Y48" s="2"/>
      <c r="Z48" s="2"/>
      <c r="AA48" s="402"/>
    </row>
    <row r="49" spans="2:27" s="1" customFormat="1" ht="19.5" customHeight="1">
      <c r="B49" s="408"/>
      <c r="C49" s="1794" t="s">
        <v>1861</v>
      </c>
      <c r="D49" s="1794"/>
      <c r="E49" s="1794"/>
      <c r="F49" s="1794"/>
      <c r="G49" s="1794" t="s">
        <v>1871</v>
      </c>
      <c r="H49" s="1794"/>
      <c r="I49" s="1794"/>
      <c r="J49" s="1794"/>
      <c r="K49" s="1794"/>
      <c r="L49" s="1794"/>
      <c r="M49" s="1794"/>
      <c r="N49" s="1794" t="s">
        <v>1872</v>
      </c>
      <c r="O49" s="1794"/>
      <c r="P49" s="1794"/>
      <c r="Q49" s="1794"/>
      <c r="R49" s="1794"/>
      <c r="S49" s="1794"/>
      <c r="T49" s="1794"/>
      <c r="U49" s="12"/>
      <c r="V49" s="2"/>
      <c r="W49" s="2"/>
      <c r="X49" s="2"/>
      <c r="Y49" s="2"/>
      <c r="Z49" s="2"/>
      <c r="AA49" s="402"/>
    </row>
    <row r="50" spans="2:27" s="1" customFormat="1" ht="19.5" customHeight="1">
      <c r="B50" s="408"/>
      <c r="C50" s="1818" t="s">
        <v>1873</v>
      </c>
      <c r="D50" s="1938"/>
      <c r="E50" s="1938"/>
      <c r="F50" s="1817"/>
      <c r="G50" s="1794"/>
      <c r="H50" s="1794"/>
      <c r="I50" s="1794"/>
      <c r="J50" s="1794"/>
      <c r="K50" s="1794"/>
      <c r="L50" s="1794"/>
      <c r="M50" s="1794"/>
      <c r="N50" s="1794"/>
      <c r="O50" s="1794"/>
      <c r="P50" s="1794"/>
      <c r="Q50" s="1794"/>
      <c r="R50" s="1794"/>
      <c r="S50" s="1794"/>
      <c r="T50" s="1794"/>
      <c r="U50" s="12"/>
      <c r="V50" s="2"/>
      <c r="W50" s="2"/>
      <c r="X50" s="2"/>
      <c r="Y50" s="2"/>
      <c r="Z50" s="2"/>
      <c r="AA50" s="402"/>
    </row>
    <row r="51" spans="2:27" s="1" customFormat="1" ht="19.5" customHeight="1">
      <c r="B51" s="408"/>
      <c r="C51" s="1936" t="s">
        <v>1874</v>
      </c>
      <c r="D51" s="1936"/>
      <c r="E51" s="1936"/>
      <c r="F51" s="1936"/>
      <c r="G51" s="1936"/>
      <c r="H51" s="1936"/>
      <c r="I51" s="1936"/>
      <c r="J51" s="1936"/>
      <c r="K51" s="1936"/>
      <c r="L51" s="1936"/>
      <c r="M51" s="1936"/>
      <c r="N51" s="1936"/>
      <c r="O51" s="1936"/>
      <c r="P51" s="1936"/>
      <c r="Q51" s="1936"/>
      <c r="R51" s="1936"/>
      <c r="S51" s="1936"/>
      <c r="T51" s="1936"/>
      <c r="U51" s="1936"/>
      <c r="V51" s="1936"/>
      <c r="W51" s="1936"/>
      <c r="X51" s="1936"/>
      <c r="Y51" s="1936"/>
      <c r="Z51" s="1936"/>
      <c r="AA51" s="402"/>
    </row>
    <row r="52" spans="2:27" s="1" customFormat="1" ht="16.5" customHeight="1">
      <c r="B52" s="408"/>
      <c r="C52" s="12"/>
      <c r="D52" s="1937" t="s">
        <v>1875</v>
      </c>
      <c r="E52" s="1937"/>
      <c r="F52" s="1937"/>
      <c r="G52" s="1937"/>
      <c r="H52" s="1937"/>
      <c r="I52" s="1937"/>
      <c r="J52" s="1937"/>
      <c r="K52" s="1937"/>
      <c r="L52" s="1937"/>
      <c r="M52" s="1937"/>
      <c r="N52" s="1937"/>
      <c r="O52" s="1937"/>
      <c r="P52" s="1937"/>
      <c r="Q52" s="1937"/>
      <c r="R52" s="1937"/>
      <c r="S52" s="1937"/>
      <c r="T52" s="1937"/>
      <c r="U52" s="886"/>
      <c r="V52" s="12"/>
      <c r="W52" s="12"/>
      <c r="X52" s="12"/>
      <c r="Y52" s="12"/>
      <c r="Z52" s="12"/>
      <c r="AA52" s="402"/>
    </row>
    <row r="53" spans="2:27" ht="6" customHeight="1">
      <c r="B53" s="679"/>
      <c r="C53" s="59"/>
      <c r="D53" s="59"/>
      <c r="E53" s="59"/>
      <c r="F53" s="59"/>
      <c r="G53" s="59"/>
      <c r="H53" s="59"/>
      <c r="I53" s="59"/>
      <c r="J53" s="59"/>
      <c r="K53" s="59"/>
      <c r="L53" s="59"/>
      <c r="M53" s="59"/>
      <c r="N53" s="59"/>
      <c r="O53" s="59"/>
      <c r="P53" s="59"/>
      <c r="Q53" s="59"/>
      <c r="R53" s="59"/>
      <c r="S53" s="59"/>
      <c r="T53" s="59"/>
      <c r="U53" s="59"/>
      <c r="V53" s="59"/>
      <c r="W53" s="59"/>
      <c r="X53" s="59"/>
      <c r="Y53" s="59"/>
      <c r="Z53" s="59"/>
      <c r="AA53" s="60"/>
    </row>
    <row r="54" spans="2:27" s="1" customFormat="1" ht="7.5" customHeight="1"/>
    <row r="55" spans="2:27" s="2" customFormat="1" ht="20.25" customHeight="1">
      <c r="B55" s="778" t="s">
        <v>1876</v>
      </c>
      <c r="C55" s="778"/>
      <c r="D55" s="778"/>
      <c r="E55" s="778"/>
      <c r="F55" s="778"/>
      <c r="G55" s="778"/>
      <c r="H55" s="778"/>
      <c r="I55" s="778"/>
      <c r="J55" s="778"/>
      <c r="K55" s="778"/>
      <c r="L55" s="778"/>
      <c r="M55" s="778"/>
      <c r="N55" s="778"/>
      <c r="O55" s="778"/>
      <c r="P55" s="778"/>
      <c r="Q55" s="778"/>
      <c r="R55" s="778"/>
      <c r="S55" s="778"/>
      <c r="T55" s="778"/>
      <c r="U55" s="778"/>
      <c r="V55" s="778"/>
      <c r="W55" s="778"/>
      <c r="X55" s="778"/>
      <c r="Y55" s="778"/>
      <c r="Z55" s="778"/>
    </row>
    <row r="56" spans="2:27" s="2" customFormat="1" ht="14.25" customHeight="1">
      <c r="B56" s="866" t="s">
        <v>1877</v>
      </c>
      <c r="D56" s="778"/>
    </row>
    <row r="57" spans="2:27" s="2" customFormat="1" ht="14.25" customHeight="1">
      <c r="B57" s="866" t="s">
        <v>1878</v>
      </c>
      <c r="D57" s="778"/>
    </row>
    <row r="58" spans="2:27" s="2" customFormat="1" ht="14.25" customHeight="1">
      <c r="B58" s="866" t="s">
        <v>1879</v>
      </c>
      <c r="D58" s="778"/>
    </row>
    <row r="59" spans="2:27" s="2" customFormat="1" ht="14.25" customHeight="1">
      <c r="B59" s="866" t="s">
        <v>1880</v>
      </c>
      <c r="D59" s="778"/>
    </row>
    <row r="60" spans="2:27" s="2" customFormat="1" ht="14.25" customHeight="1">
      <c r="B60" s="866" t="s">
        <v>1881</v>
      </c>
      <c r="D60" s="778"/>
    </row>
    <row r="61" spans="2:27" ht="8.25" customHeight="1">
      <c r="B61" s="781"/>
      <c r="D61" s="431"/>
    </row>
    <row r="62" spans="2:27">
      <c r="B62" s="781"/>
      <c r="D62" s="431"/>
    </row>
    <row r="63" spans="2:27">
      <c r="B63" s="781"/>
      <c r="D63" s="431"/>
    </row>
  </sheetData>
  <mergeCells count="70">
    <mergeCell ref="C13:F13"/>
    <mergeCell ref="G13:K13"/>
    <mergeCell ref="M13:P13"/>
    <mergeCell ref="Q13:U13"/>
    <mergeCell ref="B4:AA4"/>
    <mergeCell ref="B6:F6"/>
    <mergeCell ref="G6:AA6"/>
    <mergeCell ref="C10:F10"/>
    <mergeCell ref="G10:K10"/>
    <mergeCell ref="C17:F17"/>
    <mergeCell ref="G17:K17"/>
    <mergeCell ref="L17:P17"/>
    <mergeCell ref="Q17:U17"/>
    <mergeCell ref="V17:Z17"/>
    <mergeCell ref="C16:F16"/>
    <mergeCell ref="G16:K16"/>
    <mergeCell ref="L16:P16"/>
    <mergeCell ref="Q16:U16"/>
    <mergeCell ref="V16:Z16"/>
    <mergeCell ref="C21:F21"/>
    <mergeCell ref="G21:K21"/>
    <mergeCell ref="L21:P21"/>
    <mergeCell ref="Q21:U21"/>
    <mergeCell ref="V21:Z21"/>
    <mergeCell ref="C20:F20"/>
    <mergeCell ref="G20:K20"/>
    <mergeCell ref="L20:P20"/>
    <mergeCell ref="Q20:U20"/>
    <mergeCell ref="V20:Z20"/>
    <mergeCell ref="C27:F27"/>
    <mergeCell ref="G27:K27"/>
    <mergeCell ref="L27:P27"/>
    <mergeCell ref="Q27:U27"/>
    <mergeCell ref="V27:Z27"/>
    <mergeCell ref="C26:F26"/>
    <mergeCell ref="G26:K26"/>
    <mergeCell ref="L26:P26"/>
    <mergeCell ref="Q26:U26"/>
    <mergeCell ref="V26:Z26"/>
    <mergeCell ref="C31:F31"/>
    <mergeCell ref="G31:K31"/>
    <mergeCell ref="L31:P31"/>
    <mergeCell ref="Q31:U31"/>
    <mergeCell ref="V31:Z31"/>
    <mergeCell ref="C30:F30"/>
    <mergeCell ref="G30:K30"/>
    <mergeCell ref="L30:P30"/>
    <mergeCell ref="Q30:U30"/>
    <mergeCell ref="V30:Z30"/>
    <mergeCell ref="C38:F38"/>
    <mergeCell ref="G38:K38"/>
    <mergeCell ref="L38:P38"/>
    <mergeCell ref="C39:F39"/>
    <mergeCell ref="G39:K39"/>
    <mergeCell ref="L39:P39"/>
    <mergeCell ref="C41:F41"/>
    <mergeCell ref="G41:K41"/>
    <mergeCell ref="L41:P41"/>
    <mergeCell ref="C42:F42"/>
    <mergeCell ref="G42:K42"/>
    <mergeCell ref="L42:P42"/>
    <mergeCell ref="C51:Z51"/>
    <mergeCell ref="D52:T52"/>
    <mergeCell ref="D46:T46"/>
    <mergeCell ref="C49:F49"/>
    <mergeCell ref="G49:M49"/>
    <mergeCell ref="N49:T49"/>
    <mergeCell ref="C50:F50"/>
    <mergeCell ref="G50:M50"/>
    <mergeCell ref="N50:T50"/>
  </mergeCells>
  <phoneticPr fontId="3"/>
  <printOptions horizontalCentered="1"/>
  <pageMargins left="0.70866141732283472" right="0.39370078740157483" top="0.51181102362204722" bottom="0.35433070866141736" header="0.31496062992125984" footer="0.31496062992125984"/>
  <pageSetup paperSize="9" scale="75" orientation="portrait" r:id="rId1"/>
  <headerFooter>
    <oddFooter>&amp;C1－&amp;P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35905" r:id="rId4" name="Check Box 1">
              <controlPr defaultSize="0" autoFill="0" autoLine="0" autoPict="0">
                <anchor moveWithCells="1">
                  <from>
                    <xdr:col>20</xdr:col>
                    <xdr:colOff>30480</xdr:colOff>
                    <xdr:row>32</xdr:row>
                    <xdr:rowOff>0</xdr:rowOff>
                  </from>
                  <to>
                    <xdr:col>22</xdr:col>
                    <xdr:colOff>114300</xdr:colOff>
                    <xdr:row>32</xdr:row>
                    <xdr:rowOff>251460</xdr:rowOff>
                  </to>
                </anchor>
              </controlPr>
            </control>
          </mc:Choice>
        </mc:AlternateContent>
        <mc:AlternateContent xmlns:mc="http://schemas.openxmlformats.org/markup-compatibility/2006">
          <mc:Choice Requires="x14">
            <control shapeId="635906" r:id="rId5" name="Check Box 2">
              <controlPr defaultSize="0" autoFill="0" autoLine="0" autoPict="0">
                <anchor moveWithCells="1">
                  <from>
                    <xdr:col>20</xdr:col>
                    <xdr:colOff>30480</xdr:colOff>
                    <xdr:row>22</xdr:row>
                    <xdr:rowOff>0</xdr:rowOff>
                  </from>
                  <to>
                    <xdr:col>22</xdr:col>
                    <xdr:colOff>114300</xdr:colOff>
                    <xdr:row>22</xdr:row>
                    <xdr:rowOff>251460</xdr:rowOff>
                  </to>
                </anchor>
              </controlPr>
            </control>
          </mc:Choice>
        </mc:AlternateContent>
        <mc:AlternateContent xmlns:mc="http://schemas.openxmlformats.org/markup-compatibility/2006">
          <mc:Choice Requires="x14">
            <control shapeId="635907" r:id="rId6" name="Check Box 3">
              <controlPr defaultSize="0" autoFill="0" autoLine="0" autoPict="0">
                <anchor moveWithCells="1">
                  <from>
                    <xdr:col>20</xdr:col>
                    <xdr:colOff>30480</xdr:colOff>
                    <xdr:row>45</xdr:row>
                    <xdr:rowOff>0</xdr:rowOff>
                  </from>
                  <to>
                    <xdr:col>22</xdr:col>
                    <xdr:colOff>114300</xdr:colOff>
                    <xdr:row>46</xdr:row>
                    <xdr:rowOff>30480</xdr:rowOff>
                  </to>
                </anchor>
              </controlPr>
            </control>
          </mc:Choice>
        </mc:AlternateContent>
        <mc:AlternateContent xmlns:mc="http://schemas.openxmlformats.org/markup-compatibility/2006">
          <mc:Choice Requires="x14">
            <control shapeId="635908" r:id="rId7" name="Check Box 4">
              <controlPr defaultSize="0" autoFill="0" autoLine="0" autoPict="0">
                <anchor moveWithCells="1">
                  <from>
                    <xdr:col>20</xdr:col>
                    <xdr:colOff>30480</xdr:colOff>
                    <xdr:row>51</xdr:row>
                    <xdr:rowOff>0</xdr:rowOff>
                  </from>
                  <to>
                    <xdr:col>22</xdr:col>
                    <xdr:colOff>114300</xdr:colOff>
                    <xdr:row>52</xdr:row>
                    <xdr:rowOff>30480</xdr:rowOff>
                  </to>
                </anchor>
              </controlPr>
            </control>
          </mc:Choice>
        </mc:AlternateContent>
        <mc:AlternateContent xmlns:mc="http://schemas.openxmlformats.org/markup-compatibility/2006">
          <mc:Choice Requires="x14">
            <control shapeId="635909" r:id="rId8" name="Check Box 5">
              <controlPr defaultSize="0" autoFill="0" autoLine="0" autoPict="0">
                <anchor moveWithCells="1">
                  <from>
                    <xdr:col>20</xdr:col>
                    <xdr:colOff>30480</xdr:colOff>
                    <xdr:row>34</xdr:row>
                    <xdr:rowOff>0</xdr:rowOff>
                  </from>
                  <to>
                    <xdr:col>22</xdr:col>
                    <xdr:colOff>114300</xdr:colOff>
                    <xdr:row>34</xdr:row>
                    <xdr:rowOff>251460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D9636-05AF-44BB-9B99-12DA4D91AC28}">
  <sheetPr>
    <tabColor rgb="FFFFFF00"/>
  </sheetPr>
  <dimension ref="A1:AK108"/>
  <sheetViews>
    <sheetView view="pageBreakPreview" zoomScale="70" zoomScaleNormal="200" zoomScaleSheetLayoutView="70" workbookViewId="0"/>
  </sheetViews>
  <sheetFormatPr defaultColWidth="3.44140625" defaultRowHeight="13.2"/>
  <cols>
    <col min="1" max="1" width="1.77734375" style="905" customWidth="1"/>
    <col min="2" max="2" width="3" style="961" customWidth="1"/>
    <col min="3" max="5" width="4.88671875" style="905" customWidth="1"/>
    <col min="6" max="6" width="1.21875" style="905" customWidth="1"/>
    <col min="7" max="7" width="2.6640625" style="905" customWidth="1"/>
    <col min="8" max="13" width="6.21875" style="905" customWidth="1"/>
    <col min="14" max="16" width="5.21875" style="905" customWidth="1"/>
    <col min="17" max="17" width="4.77734375" style="905" customWidth="1"/>
    <col min="18" max="22" width="5.109375" style="905" customWidth="1"/>
    <col min="23" max="24" width="4.77734375" style="905" customWidth="1"/>
    <col min="25" max="28" width="5.21875" style="905" customWidth="1"/>
    <col min="29" max="31" width="6.6640625" style="905" customWidth="1"/>
    <col min="32" max="32" width="1.21875" style="905" customWidth="1"/>
    <col min="33" max="33" width="1.77734375" style="905" customWidth="1"/>
    <col min="34" max="256" width="3.44140625" style="905"/>
    <col min="257" max="257" width="1.77734375" style="905" customWidth="1"/>
    <col min="258" max="258" width="3" style="905" customWidth="1"/>
    <col min="259" max="261" width="4.88671875" style="905" customWidth="1"/>
    <col min="262" max="262" width="1.21875" style="905" customWidth="1"/>
    <col min="263" max="263" width="2.6640625" style="905" customWidth="1"/>
    <col min="264" max="269" width="6.21875" style="905" customWidth="1"/>
    <col min="270" max="272" width="5.21875" style="905" customWidth="1"/>
    <col min="273" max="273" width="4.77734375" style="905" customWidth="1"/>
    <col min="274" max="278" width="5.109375" style="905" customWidth="1"/>
    <col min="279" max="280" width="4.77734375" style="905" customWidth="1"/>
    <col min="281" max="284" width="5.21875" style="905" customWidth="1"/>
    <col min="285" max="287" width="6.6640625" style="905" customWidth="1"/>
    <col min="288" max="288" width="1.21875" style="905" customWidth="1"/>
    <col min="289" max="289" width="1.77734375" style="905" customWidth="1"/>
    <col min="290" max="512" width="3.44140625" style="905"/>
    <col min="513" max="513" width="1.77734375" style="905" customWidth="1"/>
    <col min="514" max="514" width="3" style="905" customWidth="1"/>
    <col min="515" max="517" width="4.88671875" style="905" customWidth="1"/>
    <col min="518" max="518" width="1.21875" style="905" customWidth="1"/>
    <col min="519" max="519" width="2.6640625" style="905" customWidth="1"/>
    <col min="520" max="525" width="6.21875" style="905" customWidth="1"/>
    <col min="526" max="528" width="5.21875" style="905" customWidth="1"/>
    <col min="529" max="529" width="4.77734375" style="905" customWidth="1"/>
    <col min="530" max="534" width="5.109375" style="905" customWidth="1"/>
    <col min="535" max="536" width="4.77734375" style="905" customWidth="1"/>
    <col min="537" max="540" width="5.21875" style="905" customWidth="1"/>
    <col min="541" max="543" width="6.6640625" style="905" customWidth="1"/>
    <col min="544" max="544" width="1.21875" style="905" customWidth="1"/>
    <col min="545" max="545" width="1.77734375" style="905" customWidth="1"/>
    <col min="546" max="768" width="3.44140625" style="905"/>
    <col min="769" max="769" width="1.77734375" style="905" customWidth="1"/>
    <col min="770" max="770" width="3" style="905" customWidth="1"/>
    <col min="771" max="773" width="4.88671875" style="905" customWidth="1"/>
    <col min="774" max="774" width="1.21875" style="905" customWidth="1"/>
    <col min="775" max="775" width="2.6640625" style="905" customWidth="1"/>
    <col min="776" max="781" width="6.21875" style="905" customWidth="1"/>
    <col min="782" max="784" width="5.21875" style="905" customWidth="1"/>
    <col min="785" max="785" width="4.77734375" style="905" customWidth="1"/>
    <col min="786" max="790" width="5.109375" style="905" customWidth="1"/>
    <col min="791" max="792" width="4.77734375" style="905" customWidth="1"/>
    <col min="793" max="796" width="5.21875" style="905" customWidth="1"/>
    <col min="797" max="799" width="6.6640625" style="905" customWidth="1"/>
    <col min="800" max="800" width="1.21875" style="905" customWidth="1"/>
    <col min="801" max="801" width="1.77734375" style="905" customWidth="1"/>
    <col min="802" max="1024" width="3.44140625" style="905"/>
    <col min="1025" max="1025" width="1.77734375" style="905" customWidth="1"/>
    <col min="1026" max="1026" width="3" style="905" customWidth="1"/>
    <col min="1027" max="1029" width="4.88671875" style="905" customWidth="1"/>
    <col min="1030" max="1030" width="1.21875" style="905" customWidth="1"/>
    <col min="1031" max="1031" width="2.6640625" style="905" customWidth="1"/>
    <col min="1032" max="1037" width="6.21875" style="905" customWidth="1"/>
    <col min="1038" max="1040" width="5.21875" style="905" customWidth="1"/>
    <col min="1041" max="1041" width="4.77734375" style="905" customWidth="1"/>
    <col min="1042" max="1046" width="5.109375" style="905" customWidth="1"/>
    <col min="1047" max="1048" width="4.77734375" style="905" customWidth="1"/>
    <col min="1049" max="1052" width="5.21875" style="905" customWidth="1"/>
    <col min="1053" max="1055" width="6.6640625" style="905" customWidth="1"/>
    <col min="1056" max="1056" width="1.21875" style="905" customWidth="1"/>
    <col min="1057" max="1057" width="1.77734375" style="905" customWidth="1"/>
    <col min="1058" max="1280" width="3.44140625" style="905"/>
    <col min="1281" max="1281" width="1.77734375" style="905" customWidth="1"/>
    <col min="1282" max="1282" width="3" style="905" customWidth="1"/>
    <col min="1283" max="1285" width="4.88671875" style="905" customWidth="1"/>
    <col min="1286" max="1286" width="1.21875" style="905" customWidth="1"/>
    <col min="1287" max="1287" width="2.6640625" style="905" customWidth="1"/>
    <col min="1288" max="1293" width="6.21875" style="905" customWidth="1"/>
    <col min="1294" max="1296" width="5.21875" style="905" customWidth="1"/>
    <col min="1297" max="1297" width="4.77734375" style="905" customWidth="1"/>
    <col min="1298" max="1302" width="5.109375" style="905" customWidth="1"/>
    <col min="1303" max="1304" width="4.77734375" style="905" customWidth="1"/>
    <col min="1305" max="1308" width="5.21875" style="905" customWidth="1"/>
    <col min="1309" max="1311" width="6.6640625" style="905" customWidth="1"/>
    <col min="1312" max="1312" width="1.21875" style="905" customWidth="1"/>
    <col min="1313" max="1313" width="1.77734375" style="905" customWidth="1"/>
    <col min="1314" max="1536" width="3.44140625" style="905"/>
    <col min="1537" max="1537" width="1.77734375" style="905" customWidth="1"/>
    <col min="1538" max="1538" width="3" style="905" customWidth="1"/>
    <col min="1539" max="1541" width="4.88671875" style="905" customWidth="1"/>
    <col min="1542" max="1542" width="1.21875" style="905" customWidth="1"/>
    <col min="1543" max="1543" width="2.6640625" style="905" customWidth="1"/>
    <col min="1544" max="1549" width="6.21875" style="905" customWidth="1"/>
    <col min="1550" max="1552" width="5.21875" style="905" customWidth="1"/>
    <col min="1553" max="1553" width="4.77734375" style="905" customWidth="1"/>
    <col min="1554" max="1558" width="5.109375" style="905" customWidth="1"/>
    <col min="1559" max="1560" width="4.77734375" style="905" customWidth="1"/>
    <col min="1561" max="1564" width="5.21875" style="905" customWidth="1"/>
    <col min="1565" max="1567" width="6.6640625" style="905" customWidth="1"/>
    <col min="1568" max="1568" width="1.21875" style="905" customWidth="1"/>
    <col min="1569" max="1569" width="1.77734375" style="905" customWidth="1"/>
    <col min="1570" max="1792" width="3.44140625" style="905"/>
    <col min="1793" max="1793" width="1.77734375" style="905" customWidth="1"/>
    <col min="1794" max="1794" width="3" style="905" customWidth="1"/>
    <col min="1795" max="1797" width="4.88671875" style="905" customWidth="1"/>
    <col min="1798" max="1798" width="1.21875" style="905" customWidth="1"/>
    <col min="1799" max="1799" width="2.6640625" style="905" customWidth="1"/>
    <col min="1800" max="1805" width="6.21875" style="905" customWidth="1"/>
    <col min="1806" max="1808" width="5.21875" style="905" customWidth="1"/>
    <col min="1809" max="1809" width="4.77734375" style="905" customWidth="1"/>
    <col min="1810" max="1814" width="5.109375" style="905" customWidth="1"/>
    <col min="1815" max="1816" width="4.77734375" style="905" customWidth="1"/>
    <col min="1817" max="1820" width="5.21875" style="905" customWidth="1"/>
    <col min="1821" max="1823" width="6.6640625" style="905" customWidth="1"/>
    <col min="1824" max="1824" width="1.21875" style="905" customWidth="1"/>
    <col min="1825" max="1825" width="1.77734375" style="905" customWidth="1"/>
    <col min="1826" max="2048" width="3.44140625" style="905"/>
    <col min="2049" max="2049" width="1.77734375" style="905" customWidth="1"/>
    <col min="2050" max="2050" width="3" style="905" customWidth="1"/>
    <col min="2051" max="2053" width="4.88671875" style="905" customWidth="1"/>
    <col min="2054" max="2054" width="1.21875" style="905" customWidth="1"/>
    <col min="2055" max="2055" width="2.6640625" style="905" customWidth="1"/>
    <col min="2056" max="2061" width="6.21875" style="905" customWidth="1"/>
    <col min="2062" max="2064" width="5.21875" style="905" customWidth="1"/>
    <col min="2065" max="2065" width="4.77734375" style="905" customWidth="1"/>
    <col min="2066" max="2070" width="5.109375" style="905" customWidth="1"/>
    <col min="2071" max="2072" width="4.77734375" style="905" customWidth="1"/>
    <col min="2073" max="2076" width="5.21875" style="905" customWidth="1"/>
    <col min="2077" max="2079" width="6.6640625" style="905" customWidth="1"/>
    <col min="2080" max="2080" width="1.21875" style="905" customWidth="1"/>
    <col min="2081" max="2081" width="1.77734375" style="905" customWidth="1"/>
    <col min="2082" max="2304" width="3.44140625" style="905"/>
    <col min="2305" max="2305" width="1.77734375" style="905" customWidth="1"/>
    <col min="2306" max="2306" width="3" style="905" customWidth="1"/>
    <col min="2307" max="2309" width="4.88671875" style="905" customWidth="1"/>
    <col min="2310" max="2310" width="1.21875" style="905" customWidth="1"/>
    <col min="2311" max="2311" width="2.6640625" style="905" customWidth="1"/>
    <col min="2312" max="2317" width="6.21875" style="905" customWidth="1"/>
    <col min="2318" max="2320" width="5.21875" style="905" customWidth="1"/>
    <col min="2321" max="2321" width="4.77734375" style="905" customWidth="1"/>
    <col min="2322" max="2326" width="5.109375" style="905" customWidth="1"/>
    <col min="2327" max="2328" width="4.77734375" style="905" customWidth="1"/>
    <col min="2329" max="2332" width="5.21875" style="905" customWidth="1"/>
    <col min="2333" max="2335" width="6.6640625" style="905" customWidth="1"/>
    <col min="2336" max="2336" width="1.21875" style="905" customWidth="1"/>
    <col min="2337" max="2337" width="1.77734375" style="905" customWidth="1"/>
    <col min="2338" max="2560" width="3.44140625" style="905"/>
    <col min="2561" max="2561" width="1.77734375" style="905" customWidth="1"/>
    <col min="2562" max="2562" width="3" style="905" customWidth="1"/>
    <col min="2563" max="2565" width="4.88671875" style="905" customWidth="1"/>
    <col min="2566" max="2566" width="1.21875" style="905" customWidth="1"/>
    <col min="2567" max="2567" width="2.6640625" style="905" customWidth="1"/>
    <col min="2568" max="2573" width="6.21875" style="905" customWidth="1"/>
    <col min="2574" max="2576" width="5.21875" style="905" customWidth="1"/>
    <col min="2577" max="2577" width="4.77734375" style="905" customWidth="1"/>
    <col min="2578" max="2582" width="5.109375" style="905" customWidth="1"/>
    <col min="2583" max="2584" width="4.77734375" style="905" customWidth="1"/>
    <col min="2585" max="2588" width="5.21875" style="905" customWidth="1"/>
    <col min="2589" max="2591" width="6.6640625" style="905" customWidth="1"/>
    <col min="2592" max="2592" width="1.21875" style="905" customWidth="1"/>
    <col min="2593" max="2593" width="1.77734375" style="905" customWidth="1"/>
    <col min="2594" max="2816" width="3.44140625" style="905"/>
    <col min="2817" max="2817" width="1.77734375" style="905" customWidth="1"/>
    <col min="2818" max="2818" width="3" style="905" customWidth="1"/>
    <col min="2819" max="2821" width="4.88671875" style="905" customWidth="1"/>
    <col min="2822" max="2822" width="1.21875" style="905" customWidth="1"/>
    <col min="2823" max="2823" width="2.6640625" style="905" customWidth="1"/>
    <col min="2824" max="2829" width="6.21875" style="905" customWidth="1"/>
    <col min="2830" max="2832" width="5.21875" style="905" customWidth="1"/>
    <col min="2833" max="2833" width="4.77734375" style="905" customWidth="1"/>
    <col min="2834" max="2838" width="5.109375" style="905" customWidth="1"/>
    <col min="2839" max="2840" width="4.77734375" style="905" customWidth="1"/>
    <col min="2841" max="2844" width="5.21875" style="905" customWidth="1"/>
    <col min="2845" max="2847" width="6.6640625" style="905" customWidth="1"/>
    <col min="2848" max="2848" width="1.21875" style="905" customWidth="1"/>
    <col min="2849" max="2849" width="1.77734375" style="905" customWidth="1"/>
    <col min="2850" max="3072" width="3.44140625" style="905"/>
    <col min="3073" max="3073" width="1.77734375" style="905" customWidth="1"/>
    <col min="3074" max="3074" width="3" style="905" customWidth="1"/>
    <col min="3075" max="3077" width="4.88671875" style="905" customWidth="1"/>
    <col min="3078" max="3078" width="1.21875" style="905" customWidth="1"/>
    <col min="3079" max="3079" width="2.6640625" style="905" customWidth="1"/>
    <col min="3080" max="3085" width="6.21875" style="905" customWidth="1"/>
    <col min="3086" max="3088" width="5.21875" style="905" customWidth="1"/>
    <col min="3089" max="3089" width="4.77734375" style="905" customWidth="1"/>
    <col min="3090" max="3094" width="5.109375" style="905" customWidth="1"/>
    <col min="3095" max="3096" width="4.77734375" style="905" customWidth="1"/>
    <col min="3097" max="3100" width="5.21875" style="905" customWidth="1"/>
    <col min="3101" max="3103" width="6.6640625" style="905" customWidth="1"/>
    <col min="3104" max="3104" width="1.21875" style="905" customWidth="1"/>
    <col min="3105" max="3105" width="1.77734375" style="905" customWidth="1"/>
    <col min="3106" max="3328" width="3.44140625" style="905"/>
    <col min="3329" max="3329" width="1.77734375" style="905" customWidth="1"/>
    <col min="3330" max="3330" width="3" style="905" customWidth="1"/>
    <col min="3331" max="3333" width="4.88671875" style="905" customWidth="1"/>
    <col min="3334" max="3334" width="1.21875" style="905" customWidth="1"/>
    <col min="3335" max="3335" width="2.6640625" style="905" customWidth="1"/>
    <col min="3336" max="3341" width="6.21875" style="905" customWidth="1"/>
    <col min="3342" max="3344" width="5.21875" style="905" customWidth="1"/>
    <col min="3345" max="3345" width="4.77734375" style="905" customWidth="1"/>
    <col min="3346" max="3350" width="5.109375" style="905" customWidth="1"/>
    <col min="3351" max="3352" width="4.77734375" style="905" customWidth="1"/>
    <col min="3353" max="3356" width="5.21875" style="905" customWidth="1"/>
    <col min="3357" max="3359" width="6.6640625" style="905" customWidth="1"/>
    <col min="3360" max="3360" width="1.21875" style="905" customWidth="1"/>
    <col min="3361" max="3361" width="1.77734375" style="905" customWidth="1"/>
    <col min="3362" max="3584" width="3.44140625" style="905"/>
    <col min="3585" max="3585" width="1.77734375" style="905" customWidth="1"/>
    <col min="3586" max="3586" width="3" style="905" customWidth="1"/>
    <col min="3587" max="3589" width="4.88671875" style="905" customWidth="1"/>
    <col min="3590" max="3590" width="1.21875" style="905" customWidth="1"/>
    <col min="3591" max="3591" width="2.6640625" style="905" customWidth="1"/>
    <col min="3592" max="3597" width="6.21875" style="905" customWidth="1"/>
    <col min="3598" max="3600" width="5.21875" style="905" customWidth="1"/>
    <col min="3601" max="3601" width="4.77734375" style="905" customWidth="1"/>
    <col min="3602" max="3606" width="5.109375" style="905" customWidth="1"/>
    <col min="3607" max="3608" width="4.77734375" style="905" customWidth="1"/>
    <col min="3609" max="3612" width="5.21875" style="905" customWidth="1"/>
    <col min="3613" max="3615" width="6.6640625" style="905" customWidth="1"/>
    <col min="3616" max="3616" width="1.21875" style="905" customWidth="1"/>
    <col min="3617" max="3617" width="1.77734375" style="905" customWidth="1"/>
    <col min="3618" max="3840" width="3.44140625" style="905"/>
    <col min="3841" max="3841" width="1.77734375" style="905" customWidth="1"/>
    <col min="3842" max="3842" width="3" style="905" customWidth="1"/>
    <col min="3843" max="3845" width="4.88671875" style="905" customWidth="1"/>
    <col min="3846" max="3846" width="1.21875" style="905" customWidth="1"/>
    <col min="3847" max="3847" width="2.6640625" style="905" customWidth="1"/>
    <col min="3848" max="3853" width="6.21875" style="905" customWidth="1"/>
    <col min="3854" max="3856" width="5.21875" style="905" customWidth="1"/>
    <col min="3857" max="3857" width="4.77734375" style="905" customWidth="1"/>
    <col min="3858" max="3862" width="5.109375" style="905" customWidth="1"/>
    <col min="3863" max="3864" width="4.77734375" style="905" customWidth="1"/>
    <col min="3865" max="3868" width="5.21875" style="905" customWidth="1"/>
    <col min="3869" max="3871" width="6.6640625" style="905" customWidth="1"/>
    <col min="3872" max="3872" width="1.21875" style="905" customWidth="1"/>
    <col min="3873" max="3873" width="1.77734375" style="905" customWidth="1"/>
    <col min="3874" max="4096" width="3.44140625" style="905"/>
    <col min="4097" max="4097" width="1.77734375" style="905" customWidth="1"/>
    <col min="4098" max="4098" width="3" style="905" customWidth="1"/>
    <col min="4099" max="4101" width="4.88671875" style="905" customWidth="1"/>
    <col min="4102" max="4102" width="1.21875" style="905" customWidth="1"/>
    <col min="4103" max="4103" width="2.6640625" style="905" customWidth="1"/>
    <col min="4104" max="4109" width="6.21875" style="905" customWidth="1"/>
    <col min="4110" max="4112" width="5.21875" style="905" customWidth="1"/>
    <col min="4113" max="4113" width="4.77734375" style="905" customWidth="1"/>
    <col min="4114" max="4118" width="5.109375" style="905" customWidth="1"/>
    <col min="4119" max="4120" width="4.77734375" style="905" customWidth="1"/>
    <col min="4121" max="4124" width="5.21875" style="905" customWidth="1"/>
    <col min="4125" max="4127" width="6.6640625" style="905" customWidth="1"/>
    <col min="4128" max="4128" width="1.21875" style="905" customWidth="1"/>
    <col min="4129" max="4129" width="1.77734375" style="905" customWidth="1"/>
    <col min="4130" max="4352" width="3.44140625" style="905"/>
    <col min="4353" max="4353" width="1.77734375" style="905" customWidth="1"/>
    <col min="4354" max="4354" width="3" style="905" customWidth="1"/>
    <col min="4355" max="4357" width="4.88671875" style="905" customWidth="1"/>
    <col min="4358" max="4358" width="1.21875" style="905" customWidth="1"/>
    <col min="4359" max="4359" width="2.6640625" style="905" customWidth="1"/>
    <col min="4360" max="4365" width="6.21875" style="905" customWidth="1"/>
    <col min="4366" max="4368" width="5.21875" style="905" customWidth="1"/>
    <col min="4369" max="4369" width="4.77734375" style="905" customWidth="1"/>
    <col min="4370" max="4374" width="5.109375" style="905" customWidth="1"/>
    <col min="4375" max="4376" width="4.77734375" style="905" customWidth="1"/>
    <col min="4377" max="4380" width="5.21875" style="905" customWidth="1"/>
    <col min="4381" max="4383" width="6.6640625" style="905" customWidth="1"/>
    <col min="4384" max="4384" width="1.21875" style="905" customWidth="1"/>
    <col min="4385" max="4385" width="1.77734375" style="905" customWidth="1"/>
    <col min="4386" max="4608" width="3.44140625" style="905"/>
    <col min="4609" max="4609" width="1.77734375" style="905" customWidth="1"/>
    <col min="4610" max="4610" width="3" style="905" customWidth="1"/>
    <col min="4611" max="4613" width="4.88671875" style="905" customWidth="1"/>
    <col min="4614" max="4614" width="1.21875" style="905" customWidth="1"/>
    <col min="4615" max="4615" width="2.6640625" style="905" customWidth="1"/>
    <col min="4616" max="4621" width="6.21875" style="905" customWidth="1"/>
    <col min="4622" max="4624" width="5.21875" style="905" customWidth="1"/>
    <col min="4625" max="4625" width="4.77734375" style="905" customWidth="1"/>
    <col min="4626" max="4630" width="5.109375" style="905" customWidth="1"/>
    <col min="4631" max="4632" width="4.77734375" style="905" customWidth="1"/>
    <col min="4633" max="4636" width="5.21875" style="905" customWidth="1"/>
    <col min="4637" max="4639" width="6.6640625" style="905" customWidth="1"/>
    <col min="4640" max="4640" width="1.21875" style="905" customWidth="1"/>
    <col min="4641" max="4641" width="1.77734375" style="905" customWidth="1"/>
    <col min="4642" max="4864" width="3.44140625" style="905"/>
    <col min="4865" max="4865" width="1.77734375" style="905" customWidth="1"/>
    <col min="4866" max="4866" width="3" style="905" customWidth="1"/>
    <col min="4867" max="4869" width="4.88671875" style="905" customWidth="1"/>
    <col min="4870" max="4870" width="1.21875" style="905" customWidth="1"/>
    <col min="4871" max="4871" width="2.6640625" style="905" customWidth="1"/>
    <col min="4872" max="4877" width="6.21875" style="905" customWidth="1"/>
    <col min="4878" max="4880" width="5.21875" style="905" customWidth="1"/>
    <col min="4881" max="4881" width="4.77734375" style="905" customWidth="1"/>
    <col min="4882" max="4886" width="5.109375" style="905" customWidth="1"/>
    <col min="4887" max="4888" width="4.77734375" style="905" customWidth="1"/>
    <col min="4889" max="4892" width="5.21875" style="905" customWidth="1"/>
    <col min="4893" max="4895" width="6.6640625" style="905" customWidth="1"/>
    <col min="4896" max="4896" width="1.21875" style="905" customWidth="1"/>
    <col min="4897" max="4897" width="1.77734375" style="905" customWidth="1"/>
    <col min="4898" max="5120" width="3.44140625" style="905"/>
    <col min="5121" max="5121" width="1.77734375" style="905" customWidth="1"/>
    <col min="5122" max="5122" width="3" style="905" customWidth="1"/>
    <col min="5123" max="5125" width="4.88671875" style="905" customWidth="1"/>
    <col min="5126" max="5126" width="1.21875" style="905" customWidth="1"/>
    <col min="5127" max="5127" width="2.6640625" style="905" customWidth="1"/>
    <col min="5128" max="5133" width="6.21875" style="905" customWidth="1"/>
    <col min="5134" max="5136" width="5.21875" style="905" customWidth="1"/>
    <col min="5137" max="5137" width="4.77734375" style="905" customWidth="1"/>
    <col min="5138" max="5142" width="5.109375" style="905" customWidth="1"/>
    <col min="5143" max="5144" width="4.77734375" style="905" customWidth="1"/>
    <col min="5145" max="5148" width="5.21875" style="905" customWidth="1"/>
    <col min="5149" max="5151" width="6.6640625" style="905" customWidth="1"/>
    <col min="5152" max="5152" width="1.21875" style="905" customWidth="1"/>
    <col min="5153" max="5153" width="1.77734375" style="905" customWidth="1"/>
    <col min="5154" max="5376" width="3.44140625" style="905"/>
    <col min="5377" max="5377" width="1.77734375" style="905" customWidth="1"/>
    <col min="5378" max="5378" width="3" style="905" customWidth="1"/>
    <col min="5379" max="5381" width="4.88671875" style="905" customWidth="1"/>
    <col min="5382" max="5382" width="1.21875" style="905" customWidth="1"/>
    <col min="5383" max="5383" width="2.6640625" style="905" customWidth="1"/>
    <col min="5384" max="5389" width="6.21875" style="905" customWidth="1"/>
    <col min="5390" max="5392" width="5.21875" style="905" customWidth="1"/>
    <col min="5393" max="5393" width="4.77734375" style="905" customWidth="1"/>
    <col min="5394" max="5398" width="5.109375" style="905" customWidth="1"/>
    <col min="5399" max="5400" width="4.77734375" style="905" customWidth="1"/>
    <col min="5401" max="5404" width="5.21875" style="905" customWidth="1"/>
    <col min="5405" max="5407" width="6.6640625" style="905" customWidth="1"/>
    <col min="5408" max="5408" width="1.21875" style="905" customWidth="1"/>
    <col min="5409" max="5409" width="1.77734375" style="905" customWidth="1"/>
    <col min="5410" max="5632" width="3.44140625" style="905"/>
    <col min="5633" max="5633" width="1.77734375" style="905" customWidth="1"/>
    <col min="5634" max="5634" width="3" style="905" customWidth="1"/>
    <col min="5635" max="5637" width="4.88671875" style="905" customWidth="1"/>
    <col min="5638" max="5638" width="1.21875" style="905" customWidth="1"/>
    <col min="5639" max="5639" width="2.6640625" style="905" customWidth="1"/>
    <col min="5640" max="5645" width="6.21875" style="905" customWidth="1"/>
    <col min="5646" max="5648" width="5.21875" style="905" customWidth="1"/>
    <col min="5649" max="5649" width="4.77734375" style="905" customWidth="1"/>
    <col min="5650" max="5654" width="5.109375" style="905" customWidth="1"/>
    <col min="5655" max="5656" width="4.77734375" style="905" customWidth="1"/>
    <col min="5657" max="5660" width="5.21875" style="905" customWidth="1"/>
    <col min="5661" max="5663" width="6.6640625" style="905" customWidth="1"/>
    <col min="5664" max="5664" width="1.21875" style="905" customWidth="1"/>
    <col min="5665" max="5665" width="1.77734375" style="905" customWidth="1"/>
    <col min="5666" max="5888" width="3.44140625" style="905"/>
    <col min="5889" max="5889" width="1.77734375" style="905" customWidth="1"/>
    <col min="5890" max="5890" width="3" style="905" customWidth="1"/>
    <col min="5891" max="5893" width="4.88671875" style="905" customWidth="1"/>
    <col min="5894" max="5894" width="1.21875" style="905" customWidth="1"/>
    <col min="5895" max="5895" width="2.6640625" style="905" customWidth="1"/>
    <col min="5896" max="5901" width="6.21875" style="905" customWidth="1"/>
    <col min="5902" max="5904" width="5.21875" style="905" customWidth="1"/>
    <col min="5905" max="5905" width="4.77734375" style="905" customWidth="1"/>
    <col min="5906" max="5910" width="5.109375" style="905" customWidth="1"/>
    <col min="5911" max="5912" width="4.77734375" style="905" customWidth="1"/>
    <col min="5913" max="5916" width="5.21875" style="905" customWidth="1"/>
    <col min="5917" max="5919" width="6.6640625" style="905" customWidth="1"/>
    <col min="5920" max="5920" width="1.21875" style="905" customWidth="1"/>
    <col min="5921" max="5921" width="1.77734375" style="905" customWidth="1"/>
    <col min="5922" max="6144" width="3.44140625" style="905"/>
    <col min="6145" max="6145" width="1.77734375" style="905" customWidth="1"/>
    <col min="6146" max="6146" width="3" style="905" customWidth="1"/>
    <col min="6147" max="6149" width="4.88671875" style="905" customWidth="1"/>
    <col min="6150" max="6150" width="1.21875" style="905" customWidth="1"/>
    <col min="6151" max="6151" width="2.6640625" style="905" customWidth="1"/>
    <col min="6152" max="6157" width="6.21875" style="905" customWidth="1"/>
    <col min="6158" max="6160" width="5.21875" style="905" customWidth="1"/>
    <col min="6161" max="6161" width="4.77734375" style="905" customWidth="1"/>
    <col min="6162" max="6166" width="5.109375" style="905" customWidth="1"/>
    <col min="6167" max="6168" width="4.77734375" style="905" customWidth="1"/>
    <col min="6169" max="6172" width="5.21875" style="905" customWidth="1"/>
    <col min="6173" max="6175" width="6.6640625" style="905" customWidth="1"/>
    <col min="6176" max="6176" width="1.21875" style="905" customWidth="1"/>
    <col min="6177" max="6177" width="1.77734375" style="905" customWidth="1"/>
    <col min="6178" max="6400" width="3.44140625" style="905"/>
    <col min="6401" max="6401" width="1.77734375" style="905" customWidth="1"/>
    <col min="6402" max="6402" width="3" style="905" customWidth="1"/>
    <col min="6403" max="6405" width="4.88671875" style="905" customWidth="1"/>
    <col min="6406" max="6406" width="1.21875" style="905" customWidth="1"/>
    <col min="6407" max="6407" width="2.6640625" style="905" customWidth="1"/>
    <col min="6408" max="6413" width="6.21875" style="905" customWidth="1"/>
    <col min="6414" max="6416" width="5.21875" style="905" customWidth="1"/>
    <col min="6417" max="6417" width="4.77734375" style="905" customWidth="1"/>
    <col min="6418" max="6422" width="5.109375" style="905" customWidth="1"/>
    <col min="6423" max="6424" width="4.77734375" style="905" customWidth="1"/>
    <col min="6425" max="6428" width="5.21875" style="905" customWidth="1"/>
    <col min="6429" max="6431" width="6.6640625" style="905" customWidth="1"/>
    <col min="6432" max="6432" width="1.21875" style="905" customWidth="1"/>
    <col min="6433" max="6433" width="1.77734375" style="905" customWidth="1"/>
    <col min="6434" max="6656" width="3.44140625" style="905"/>
    <col min="6657" max="6657" width="1.77734375" style="905" customWidth="1"/>
    <col min="6658" max="6658" width="3" style="905" customWidth="1"/>
    <col min="6659" max="6661" width="4.88671875" style="905" customWidth="1"/>
    <col min="6662" max="6662" width="1.21875" style="905" customWidth="1"/>
    <col min="6663" max="6663" width="2.6640625" style="905" customWidth="1"/>
    <col min="6664" max="6669" width="6.21875" style="905" customWidth="1"/>
    <col min="6670" max="6672" width="5.21875" style="905" customWidth="1"/>
    <col min="6673" max="6673" width="4.77734375" style="905" customWidth="1"/>
    <col min="6674" max="6678" width="5.109375" style="905" customWidth="1"/>
    <col min="6679" max="6680" width="4.77734375" style="905" customWidth="1"/>
    <col min="6681" max="6684" width="5.21875" style="905" customWidth="1"/>
    <col min="6685" max="6687" width="6.6640625" style="905" customWidth="1"/>
    <col min="6688" max="6688" width="1.21875" style="905" customWidth="1"/>
    <col min="6689" max="6689" width="1.77734375" style="905" customWidth="1"/>
    <col min="6690" max="6912" width="3.44140625" style="905"/>
    <col min="6913" max="6913" width="1.77734375" style="905" customWidth="1"/>
    <col min="6914" max="6914" width="3" style="905" customWidth="1"/>
    <col min="6915" max="6917" width="4.88671875" style="905" customWidth="1"/>
    <col min="6918" max="6918" width="1.21875" style="905" customWidth="1"/>
    <col min="6919" max="6919" width="2.6640625" style="905" customWidth="1"/>
    <col min="6920" max="6925" width="6.21875" style="905" customWidth="1"/>
    <col min="6926" max="6928" width="5.21875" style="905" customWidth="1"/>
    <col min="6929" max="6929" width="4.77734375" style="905" customWidth="1"/>
    <col min="6930" max="6934" width="5.109375" style="905" customWidth="1"/>
    <col min="6935" max="6936" width="4.77734375" style="905" customWidth="1"/>
    <col min="6937" max="6940" width="5.21875" style="905" customWidth="1"/>
    <col min="6941" max="6943" width="6.6640625" style="905" customWidth="1"/>
    <col min="6944" max="6944" width="1.21875" style="905" customWidth="1"/>
    <col min="6945" max="6945" width="1.77734375" style="905" customWidth="1"/>
    <col min="6946" max="7168" width="3.44140625" style="905"/>
    <col min="7169" max="7169" width="1.77734375" style="905" customWidth="1"/>
    <col min="7170" max="7170" width="3" style="905" customWidth="1"/>
    <col min="7171" max="7173" width="4.88671875" style="905" customWidth="1"/>
    <col min="7174" max="7174" width="1.21875" style="905" customWidth="1"/>
    <col min="7175" max="7175" width="2.6640625" style="905" customWidth="1"/>
    <col min="7176" max="7181" width="6.21875" style="905" customWidth="1"/>
    <col min="7182" max="7184" width="5.21875" style="905" customWidth="1"/>
    <col min="7185" max="7185" width="4.77734375" style="905" customWidth="1"/>
    <col min="7186" max="7190" width="5.109375" style="905" customWidth="1"/>
    <col min="7191" max="7192" width="4.77734375" style="905" customWidth="1"/>
    <col min="7193" max="7196" width="5.21875" style="905" customWidth="1"/>
    <col min="7197" max="7199" width="6.6640625" style="905" customWidth="1"/>
    <col min="7200" max="7200" width="1.21875" style="905" customWidth="1"/>
    <col min="7201" max="7201" width="1.77734375" style="905" customWidth="1"/>
    <col min="7202" max="7424" width="3.44140625" style="905"/>
    <col min="7425" max="7425" width="1.77734375" style="905" customWidth="1"/>
    <col min="7426" max="7426" width="3" style="905" customWidth="1"/>
    <col min="7427" max="7429" width="4.88671875" style="905" customWidth="1"/>
    <col min="7430" max="7430" width="1.21875" style="905" customWidth="1"/>
    <col min="7431" max="7431" width="2.6640625" style="905" customWidth="1"/>
    <col min="7432" max="7437" width="6.21875" style="905" customWidth="1"/>
    <col min="7438" max="7440" width="5.21875" style="905" customWidth="1"/>
    <col min="7441" max="7441" width="4.77734375" style="905" customWidth="1"/>
    <col min="7442" max="7446" width="5.109375" style="905" customWidth="1"/>
    <col min="7447" max="7448" width="4.77734375" style="905" customWidth="1"/>
    <col min="7449" max="7452" width="5.21875" style="905" customWidth="1"/>
    <col min="7453" max="7455" width="6.6640625" style="905" customWidth="1"/>
    <col min="7456" max="7456" width="1.21875" style="905" customWidth="1"/>
    <col min="7457" max="7457" width="1.77734375" style="905" customWidth="1"/>
    <col min="7458" max="7680" width="3.44140625" style="905"/>
    <col min="7681" max="7681" width="1.77734375" style="905" customWidth="1"/>
    <col min="7682" max="7682" width="3" style="905" customWidth="1"/>
    <col min="7683" max="7685" width="4.88671875" style="905" customWidth="1"/>
    <col min="7686" max="7686" width="1.21875" style="905" customWidth="1"/>
    <col min="7687" max="7687" width="2.6640625" style="905" customWidth="1"/>
    <col min="7688" max="7693" width="6.21875" style="905" customWidth="1"/>
    <col min="7694" max="7696" width="5.21875" style="905" customWidth="1"/>
    <col min="7697" max="7697" width="4.77734375" style="905" customWidth="1"/>
    <col min="7698" max="7702" width="5.109375" style="905" customWidth="1"/>
    <col min="7703" max="7704" width="4.77734375" style="905" customWidth="1"/>
    <col min="7705" max="7708" width="5.21875" style="905" customWidth="1"/>
    <col min="7709" max="7711" width="6.6640625" style="905" customWidth="1"/>
    <col min="7712" max="7712" width="1.21875" style="905" customWidth="1"/>
    <col min="7713" max="7713" width="1.77734375" style="905" customWidth="1"/>
    <col min="7714" max="7936" width="3.44140625" style="905"/>
    <col min="7937" max="7937" width="1.77734375" style="905" customWidth="1"/>
    <col min="7938" max="7938" width="3" style="905" customWidth="1"/>
    <col min="7939" max="7941" width="4.88671875" style="905" customWidth="1"/>
    <col min="7942" max="7942" width="1.21875" style="905" customWidth="1"/>
    <col min="7943" max="7943" width="2.6640625" style="905" customWidth="1"/>
    <col min="7944" max="7949" width="6.21875" style="905" customWidth="1"/>
    <col min="7950" max="7952" width="5.21875" style="905" customWidth="1"/>
    <col min="7953" max="7953" width="4.77734375" style="905" customWidth="1"/>
    <col min="7954" max="7958" width="5.109375" style="905" customWidth="1"/>
    <col min="7959" max="7960" width="4.77734375" style="905" customWidth="1"/>
    <col min="7961" max="7964" width="5.21875" style="905" customWidth="1"/>
    <col min="7965" max="7967" width="6.6640625" style="905" customWidth="1"/>
    <col min="7968" max="7968" width="1.21875" style="905" customWidth="1"/>
    <col min="7969" max="7969" width="1.77734375" style="905" customWidth="1"/>
    <col min="7970" max="8192" width="3.44140625" style="905"/>
    <col min="8193" max="8193" width="1.77734375" style="905" customWidth="1"/>
    <col min="8194" max="8194" width="3" style="905" customWidth="1"/>
    <col min="8195" max="8197" width="4.88671875" style="905" customWidth="1"/>
    <col min="8198" max="8198" width="1.21875" style="905" customWidth="1"/>
    <col min="8199" max="8199" width="2.6640625" style="905" customWidth="1"/>
    <col min="8200" max="8205" width="6.21875" style="905" customWidth="1"/>
    <col min="8206" max="8208" width="5.21875" style="905" customWidth="1"/>
    <col min="8209" max="8209" width="4.77734375" style="905" customWidth="1"/>
    <col min="8210" max="8214" width="5.109375" style="905" customWidth="1"/>
    <col min="8215" max="8216" width="4.77734375" style="905" customWidth="1"/>
    <col min="8217" max="8220" width="5.21875" style="905" customWidth="1"/>
    <col min="8221" max="8223" width="6.6640625" style="905" customWidth="1"/>
    <col min="8224" max="8224" width="1.21875" style="905" customWidth="1"/>
    <col min="8225" max="8225" width="1.77734375" style="905" customWidth="1"/>
    <col min="8226" max="8448" width="3.44140625" style="905"/>
    <col min="8449" max="8449" width="1.77734375" style="905" customWidth="1"/>
    <col min="8450" max="8450" width="3" style="905" customWidth="1"/>
    <col min="8451" max="8453" width="4.88671875" style="905" customWidth="1"/>
    <col min="8454" max="8454" width="1.21875" style="905" customWidth="1"/>
    <col min="8455" max="8455" width="2.6640625" style="905" customWidth="1"/>
    <col min="8456" max="8461" width="6.21875" style="905" customWidth="1"/>
    <col min="8462" max="8464" width="5.21875" style="905" customWidth="1"/>
    <col min="8465" max="8465" width="4.77734375" style="905" customWidth="1"/>
    <col min="8466" max="8470" width="5.109375" style="905" customWidth="1"/>
    <col min="8471" max="8472" width="4.77734375" style="905" customWidth="1"/>
    <col min="8473" max="8476" width="5.21875" style="905" customWidth="1"/>
    <col min="8477" max="8479" width="6.6640625" style="905" customWidth="1"/>
    <col min="8480" max="8480" width="1.21875" style="905" customWidth="1"/>
    <col min="8481" max="8481" width="1.77734375" style="905" customWidth="1"/>
    <col min="8482" max="8704" width="3.44140625" style="905"/>
    <col min="8705" max="8705" width="1.77734375" style="905" customWidth="1"/>
    <col min="8706" max="8706" width="3" style="905" customWidth="1"/>
    <col min="8707" max="8709" width="4.88671875" style="905" customWidth="1"/>
    <col min="8710" max="8710" width="1.21875" style="905" customWidth="1"/>
    <col min="8711" max="8711" width="2.6640625" style="905" customWidth="1"/>
    <col min="8712" max="8717" width="6.21875" style="905" customWidth="1"/>
    <col min="8718" max="8720" width="5.21875" style="905" customWidth="1"/>
    <col min="8721" max="8721" width="4.77734375" style="905" customWidth="1"/>
    <col min="8722" max="8726" width="5.109375" style="905" customWidth="1"/>
    <col min="8727" max="8728" width="4.77734375" style="905" customWidth="1"/>
    <col min="8729" max="8732" width="5.21875" style="905" customWidth="1"/>
    <col min="8733" max="8735" width="6.6640625" style="905" customWidth="1"/>
    <col min="8736" max="8736" width="1.21875" style="905" customWidth="1"/>
    <col min="8737" max="8737" width="1.77734375" style="905" customWidth="1"/>
    <col min="8738" max="8960" width="3.44140625" style="905"/>
    <col min="8961" max="8961" width="1.77734375" style="905" customWidth="1"/>
    <col min="8962" max="8962" width="3" style="905" customWidth="1"/>
    <col min="8963" max="8965" width="4.88671875" style="905" customWidth="1"/>
    <col min="8966" max="8966" width="1.21875" style="905" customWidth="1"/>
    <col min="8967" max="8967" width="2.6640625" style="905" customWidth="1"/>
    <col min="8968" max="8973" width="6.21875" style="905" customWidth="1"/>
    <col min="8974" max="8976" width="5.21875" style="905" customWidth="1"/>
    <col min="8977" max="8977" width="4.77734375" style="905" customWidth="1"/>
    <col min="8978" max="8982" width="5.109375" style="905" customWidth="1"/>
    <col min="8983" max="8984" width="4.77734375" style="905" customWidth="1"/>
    <col min="8985" max="8988" width="5.21875" style="905" customWidth="1"/>
    <col min="8989" max="8991" width="6.6640625" style="905" customWidth="1"/>
    <col min="8992" max="8992" width="1.21875" style="905" customWidth="1"/>
    <col min="8993" max="8993" width="1.77734375" style="905" customWidth="1"/>
    <col min="8994" max="9216" width="3.44140625" style="905"/>
    <col min="9217" max="9217" width="1.77734375" style="905" customWidth="1"/>
    <col min="9218" max="9218" width="3" style="905" customWidth="1"/>
    <col min="9219" max="9221" width="4.88671875" style="905" customWidth="1"/>
    <col min="9222" max="9222" width="1.21875" style="905" customWidth="1"/>
    <col min="9223" max="9223" width="2.6640625" style="905" customWidth="1"/>
    <col min="9224" max="9229" width="6.21875" style="905" customWidth="1"/>
    <col min="9230" max="9232" width="5.21875" style="905" customWidth="1"/>
    <col min="9233" max="9233" width="4.77734375" style="905" customWidth="1"/>
    <col min="9234" max="9238" width="5.109375" style="905" customWidth="1"/>
    <col min="9239" max="9240" width="4.77734375" style="905" customWidth="1"/>
    <col min="9241" max="9244" width="5.21875" style="905" customWidth="1"/>
    <col min="9245" max="9247" width="6.6640625" style="905" customWidth="1"/>
    <col min="9248" max="9248" width="1.21875" style="905" customWidth="1"/>
    <col min="9249" max="9249" width="1.77734375" style="905" customWidth="1"/>
    <col min="9250" max="9472" width="3.44140625" style="905"/>
    <col min="9473" max="9473" width="1.77734375" style="905" customWidth="1"/>
    <col min="9474" max="9474" width="3" style="905" customWidth="1"/>
    <col min="9475" max="9477" width="4.88671875" style="905" customWidth="1"/>
    <col min="9478" max="9478" width="1.21875" style="905" customWidth="1"/>
    <col min="9479" max="9479" width="2.6640625" style="905" customWidth="1"/>
    <col min="9480" max="9485" width="6.21875" style="905" customWidth="1"/>
    <col min="9486" max="9488" width="5.21875" style="905" customWidth="1"/>
    <col min="9489" max="9489" width="4.77734375" style="905" customWidth="1"/>
    <col min="9490" max="9494" width="5.109375" style="905" customWidth="1"/>
    <col min="9495" max="9496" width="4.77734375" style="905" customWidth="1"/>
    <col min="9497" max="9500" width="5.21875" style="905" customWidth="1"/>
    <col min="9501" max="9503" width="6.6640625" style="905" customWidth="1"/>
    <col min="9504" max="9504" width="1.21875" style="905" customWidth="1"/>
    <col min="9505" max="9505" width="1.77734375" style="905" customWidth="1"/>
    <col min="9506" max="9728" width="3.44140625" style="905"/>
    <col min="9729" max="9729" width="1.77734375" style="905" customWidth="1"/>
    <col min="9730" max="9730" width="3" style="905" customWidth="1"/>
    <col min="9731" max="9733" width="4.88671875" style="905" customWidth="1"/>
    <col min="9734" max="9734" width="1.21875" style="905" customWidth="1"/>
    <col min="9735" max="9735" width="2.6640625" style="905" customWidth="1"/>
    <col min="9736" max="9741" width="6.21875" style="905" customWidth="1"/>
    <col min="9742" max="9744" width="5.21875" style="905" customWidth="1"/>
    <col min="9745" max="9745" width="4.77734375" style="905" customWidth="1"/>
    <col min="9746" max="9750" width="5.109375" style="905" customWidth="1"/>
    <col min="9751" max="9752" width="4.77734375" style="905" customWidth="1"/>
    <col min="9753" max="9756" width="5.21875" style="905" customWidth="1"/>
    <col min="9757" max="9759" width="6.6640625" style="905" customWidth="1"/>
    <col min="9760" max="9760" width="1.21875" style="905" customWidth="1"/>
    <col min="9761" max="9761" width="1.77734375" style="905" customWidth="1"/>
    <col min="9762" max="9984" width="3.44140625" style="905"/>
    <col min="9985" max="9985" width="1.77734375" style="905" customWidth="1"/>
    <col min="9986" max="9986" width="3" style="905" customWidth="1"/>
    <col min="9987" max="9989" width="4.88671875" style="905" customWidth="1"/>
    <col min="9990" max="9990" width="1.21875" style="905" customWidth="1"/>
    <col min="9991" max="9991" width="2.6640625" style="905" customWidth="1"/>
    <col min="9992" max="9997" width="6.21875" style="905" customWidth="1"/>
    <col min="9998" max="10000" width="5.21875" style="905" customWidth="1"/>
    <col min="10001" max="10001" width="4.77734375" style="905" customWidth="1"/>
    <col min="10002" max="10006" width="5.109375" style="905" customWidth="1"/>
    <col min="10007" max="10008" width="4.77734375" style="905" customWidth="1"/>
    <col min="10009" max="10012" width="5.21875" style="905" customWidth="1"/>
    <col min="10013" max="10015" width="6.6640625" style="905" customWidth="1"/>
    <col min="10016" max="10016" width="1.21875" style="905" customWidth="1"/>
    <col min="10017" max="10017" width="1.77734375" style="905" customWidth="1"/>
    <col min="10018" max="10240" width="3.44140625" style="905"/>
    <col min="10241" max="10241" width="1.77734375" style="905" customWidth="1"/>
    <col min="10242" max="10242" width="3" style="905" customWidth="1"/>
    <col min="10243" max="10245" width="4.88671875" style="905" customWidth="1"/>
    <col min="10246" max="10246" width="1.21875" style="905" customWidth="1"/>
    <col min="10247" max="10247" width="2.6640625" style="905" customWidth="1"/>
    <col min="10248" max="10253" width="6.21875" style="905" customWidth="1"/>
    <col min="10254" max="10256" width="5.21875" style="905" customWidth="1"/>
    <col min="10257" max="10257" width="4.77734375" style="905" customWidth="1"/>
    <col min="10258" max="10262" width="5.109375" style="905" customWidth="1"/>
    <col min="10263" max="10264" width="4.77734375" style="905" customWidth="1"/>
    <col min="10265" max="10268" width="5.21875" style="905" customWidth="1"/>
    <col min="10269" max="10271" width="6.6640625" style="905" customWidth="1"/>
    <col min="10272" max="10272" width="1.21875" style="905" customWidth="1"/>
    <col min="10273" max="10273" width="1.77734375" style="905" customWidth="1"/>
    <col min="10274" max="10496" width="3.44140625" style="905"/>
    <col min="10497" max="10497" width="1.77734375" style="905" customWidth="1"/>
    <col min="10498" max="10498" width="3" style="905" customWidth="1"/>
    <col min="10499" max="10501" width="4.88671875" style="905" customWidth="1"/>
    <col min="10502" max="10502" width="1.21875" style="905" customWidth="1"/>
    <col min="10503" max="10503" width="2.6640625" style="905" customWidth="1"/>
    <col min="10504" max="10509" width="6.21875" style="905" customWidth="1"/>
    <col min="10510" max="10512" width="5.21875" style="905" customWidth="1"/>
    <col min="10513" max="10513" width="4.77734375" style="905" customWidth="1"/>
    <col min="10514" max="10518" width="5.109375" style="905" customWidth="1"/>
    <col min="10519" max="10520" width="4.77734375" style="905" customWidth="1"/>
    <col min="10521" max="10524" width="5.21875" style="905" customWidth="1"/>
    <col min="10525" max="10527" width="6.6640625" style="905" customWidth="1"/>
    <col min="10528" max="10528" width="1.21875" style="905" customWidth="1"/>
    <col min="10529" max="10529" width="1.77734375" style="905" customWidth="1"/>
    <col min="10530" max="10752" width="3.44140625" style="905"/>
    <col min="10753" max="10753" width="1.77734375" style="905" customWidth="1"/>
    <col min="10754" max="10754" width="3" style="905" customWidth="1"/>
    <col min="10755" max="10757" width="4.88671875" style="905" customWidth="1"/>
    <col min="10758" max="10758" width="1.21875" style="905" customWidth="1"/>
    <col min="10759" max="10759" width="2.6640625" style="905" customWidth="1"/>
    <col min="10760" max="10765" width="6.21875" style="905" customWidth="1"/>
    <col min="10766" max="10768" width="5.21875" style="905" customWidth="1"/>
    <col min="10769" max="10769" width="4.77734375" style="905" customWidth="1"/>
    <col min="10770" max="10774" width="5.109375" style="905" customWidth="1"/>
    <col min="10775" max="10776" width="4.77734375" style="905" customWidth="1"/>
    <col min="10777" max="10780" width="5.21875" style="905" customWidth="1"/>
    <col min="10781" max="10783" width="6.6640625" style="905" customWidth="1"/>
    <col min="10784" max="10784" width="1.21875" style="905" customWidth="1"/>
    <col min="10785" max="10785" width="1.77734375" style="905" customWidth="1"/>
    <col min="10786" max="11008" width="3.44140625" style="905"/>
    <col min="11009" max="11009" width="1.77734375" style="905" customWidth="1"/>
    <col min="11010" max="11010" width="3" style="905" customWidth="1"/>
    <col min="11011" max="11013" width="4.88671875" style="905" customWidth="1"/>
    <col min="11014" max="11014" width="1.21875" style="905" customWidth="1"/>
    <col min="11015" max="11015" width="2.6640625" style="905" customWidth="1"/>
    <col min="11016" max="11021" width="6.21875" style="905" customWidth="1"/>
    <col min="11022" max="11024" width="5.21875" style="905" customWidth="1"/>
    <col min="11025" max="11025" width="4.77734375" style="905" customWidth="1"/>
    <col min="11026" max="11030" width="5.109375" style="905" customWidth="1"/>
    <col min="11031" max="11032" width="4.77734375" style="905" customWidth="1"/>
    <col min="11033" max="11036" width="5.21875" style="905" customWidth="1"/>
    <col min="11037" max="11039" width="6.6640625" style="905" customWidth="1"/>
    <col min="11040" max="11040" width="1.21875" style="905" customWidth="1"/>
    <col min="11041" max="11041" width="1.77734375" style="905" customWidth="1"/>
    <col min="11042" max="11264" width="3.44140625" style="905"/>
    <col min="11265" max="11265" width="1.77734375" style="905" customWidth="1"/>
    <col min="11266" max="11266" width="3" style="905" customWidth="1"/>
    <col min="11267" max="11269" width="4.88671875" style="905" customWidth="1"/>
    <col min="11270" max="11270" width="1.21875" style="905" customWidth="1"/>
    <col min="11271" max="11271" width="2.6640625" style="905" customWidth="1"/>
    <col min="11272" max="11277" width="6.21875" style="905" customWidth="1"/>
    <col min="11278" max="11280" width="5.21875" style="905" customWidth="1"/>
    <col min="11281" max="11281" width="4.77734375" style="905" customWidth="1"/>
    <col min="11282" max="11286" width="5.109375" style="905" customWidth="1"/>
    <col min="11287" max="11288" width="4.77734375" style="905" customWidth="1"/>
    <col min="11289" max="11292" width="5.21875" style="905" customWidth="1"/>
    <col min="11293" max="11295" width="6.6640625" style="905" customWidth="1"/>
    <col min="11296" max="11296" width="1.21875" style="905" customWidth="1"/>
    <col min="11297" max="11297" width="1.77734375" style="905" customWidth="1"/>
    <col min="11298" max="11520" width="3.44140625" style="905"/>
    <col min="11521" max="11521" width="1.77734375" style="905" customWidth="1"/>
    <col min="11522" max="11522" width="3" style="905" customWidth="1"/>
    <col min="11523" max="11525" width="4.88671875" style="905" customWidth="1"/>
    <col min="11526" max="11526" width="1.21875" style="905" customWidth="1"/>
    <col min="11527" max="11527" width="2.6640625" style="905" customWidth="1"/>
    <col min="11528" max="11533" width="6.21875" style="905" customWidth="1"/>
    <col min="11534" max="11536" width="5.21875" style="905" customWidth="1"/>
    <col min="11537" max="11537" width="4.77734375" style="905" customWidth="1"/>
    <col min="11538" max="11542" width="5.109375" style="905" customWidth="1"/>
    <col min="11543" max="11544" width="4.77734375" style="905" customWidth="1"/>
    <col min="11545" max="11548" width="5.21875" style="905" customWidth="1"/>
    <col min="11549" max="11551" width="6.6640625" style="905" customWidth="1"/>
    <col min="11552" max="11552" width="1.21875" style="905" customWidth="1"/>
    <col min="11553" max="11553" width="1.77734375" style="905" customWidth="1"/>
    <col min="11554" max="11776" width="3.44140625" style="905"/>
    <col min="11777" max="11777" width="1.77734375" style="905" customWidth="1"/>
    <col min="11778" max="11778" width="3" style="905" customWidth="1"/>
    <col min="11779" max="11781" width="4.88671875" style="905" customWidth="1"/>
    <col min="11782" max="11782" width="1.21875" style="905" customWidth="1"/>
    <col min="11783" max="11783" width="2.6640625" style="905" customWidth="1"/>
    <col min="11784" max="11789" width="6.21875" style="905" customWidth="1"/>
    <col min="11790" max="11792" width="5.21875" style="905" customWidth="1"/>
    <col min="11793" max="11793" width="4.77734375" style="905" customWidth="1"/>
    <col min="11794" max="11798" width="5.109375" style="905" customWidth="1"/>
    <col min="11799" max="11800" width="4.77734375" style="905" customWidth="1"/>
    <col min="11801" max="11804" width="5.21875" style="905" customWidth="1"/>
    <col min="11805" max="11807" width="6.6640625" style="905" customWidth="1"/>
    <col min="11808" max="11808" width="1.21875" style="905" customWidth="1"/>
    <col min="11809" max="11809" width="1.77734375" style="905" customWidth="1"/>
    <col min="11810" max="12032" width="3.44140625" style="905"/>
    <col min="12033" max="12033" width="1.77734375" style="905" customWidth="1"/>
    <col min="12034" max="12034" width="3" style="905" customWidth="1"/>
    <col min="12035" max="12037" width="4.88671875" style="905" customWidth="1"/>
    <col min="12038" max="12038" width="1.21875" style="905" customWidth="1"/>
    <col min="12039" max="12039" width="2.6640625" style="905" customWidth="1"/>
    <col min="12040" max="12045" width="6.21875" style="905" customWidth="1"/>
    <col min="12046" max="12048" width="5.21875" style="905" customWidth="1"/>
    <col min="12049" max="12049" width="4.77734375" style="905" customWidth="1"/>
    <col min="12050" max="12054" width="5.109375" style="905" customWidth="1"/>
    <col min="12055" max="12056" width="4.77734375" style="905" customWidth="1"/>
    <col min="12057" max="12060" width="5.21875" style="905" customWidth="1"/>
    <col min="12061" max="12063" width="6.6640625" style="905" customWidth="1"/>
    <col min="12064" max="12064" width="1.21875" style="905" customWidth="1"/>
    <col min="12065" max="12065" width="1.77734375" style="905" customWidth="1"/>
    <col min="12066" max="12288" width="3.44140625" style="905"/>
    <col min="12289" max="12289" width="1.77734375" style="905" customWidth="1"/>
    <col min="12290" max="12290" width="3" style="905" customWidth="1"/>
    <col min="12291" max="12293" width="4.88671875" style="905" customWidth="1"/>
    <col min="12294" max="12294" width="1.21875" style="905" customWidth="1"/>
    <col min="12295" max="12295" width="2.6640625" style="905" customWidth="1"/>
    <col min="12296" max="12301" width="6.21875" style="905" customWidth="1"/>
    <col min="12302" max="12304" width="5.21875" style="905" customWidth="1"/>
    <col min="12305" max="12305" width="4.77734375" style="905" customWidth="1"/>
    <col min="12306" max="12310" width="5.109375" style="905" customWidth="1"/>
    <col min="12311" max="12312" width="4.77734375" style="905" customWidth="1"/>
    <col min="12313" max="12316" width="5.21875" style="905" customWidth="1"/>
    <col min="12317" max="12319" width="6.6640625" style="905" customWidth="1"/>
    <col min="12320" max="12320" width="1.21875" style="905" customWidth="1"/>
    <col min="12321" max="12321" width="1.77734375" style="905" customWidth="1"/>
    <col min="12322" max="12544" width="3.44140625" style="905"/>
    <col min="12545" max="12545" width="1.77734375" style="905" customWidth="1"/>
    <col min="12546" max="12546" width="3" style="905" customWidth="1"/>
    <col min="12547" max="12549" width="4.88671875" style="905" customWidth="1"/>
    <col min="12550" max="12550" width="1.21875" style="905" customWidth="1"/>
    <col min="12551" max="12551" width="2.6640625" style="905" customWidth="1"/>
    <col min="12552" max="12557" width="6.21875" style="905" customWidth="1"/>
    <col min="12558" max="12560" width="5.21875" style="905" customWidth="1"/>
    <col min="12561" max="12561" width="4.77734375" style="905" customWidth="1"/>
    <col min="12562" max="12566" width="5.109375" style="905" customWidth="1"/>
    <col min="12567" max="12568" width="4.77734375" style="905" customWidth="1"/>
    <col min="12569" max="12572" width="5.21875" style="905" customWidth="1"/>
    <col min="12573" max="12575" width="6.6640625" style="905" customWidth="1"/>
    <col min="12576" max="12576" width="1.21875" style="905" customWidth="1"/>
    <col min="12577" max="12577" width="1.77734375" style="905" customWidth="1"/>
    <col min="12578" max="12800" width="3.44140625" style="905"/>
    <col min="12801" max="12801" width="1.77734375" style="905" customWidth="1"/>
    <col min="12802" max="12802" width="3" style="905" customWidth="1"/>
    <col min="12803" max="12805" width="4.88671875" style="905" customWidth="1"/>
    <col min="12806" max="12806" width="1.21875" style="905" customWidth="1"/>
    <col min="12807" max="12807" width="2.6640625" style="905" customWidth="1"/>
    <col min="12808" max="12813" width="6.21875" style="905" customWidth="1"/>
    <col min="12814" max="12816" width="5.21875" style="905" customWidth="1"/>
    <col min="12817" max="12817" width="4.77734375" style="905" customWidth="1"/>
    <col min="12818" max="12822" width="5.109375" style="905" customWidth="1"/>
    <col min="12823" max="12824" width="4.77734375" style="905" customWidth="1"/>
    <col min="12825" max="12828" width="5.21875" style="905" customWidth="1"/>
    <col min="12829" max="12831" width="6.6640625" style="905" customWidth="1"/>
    <col min="12832" max="12832" width="1.21875" style="905" customWidth="1"/>
    <col min="12833" max="12833" width="1.77734375" style="905" customWidth="1"/>
    <col min="12834" max="13056" width="3.44140625" style="905"/>
    <col min="13057" max="13057" width="1.77734375" style="905" customWidth="1"/>
    <col min="13058" max="13058" width="3" style="905" customWidth="1"/>
    <col min="13059" max="13061" width="4.88671875" style="905" customWidth="1"/>
    <col min="13062" max="13062" width="1.21875" style="905" customWidth="1"/>
    <col min="13063" max="13063" width="2.6640625" style="905" customWidth="1"/>
    <col min="13064" max="13069" width="6.21875" style="905" customWidth="1"/>
    <col min="13070" max="13072" width="5.21875" style="905" customWidth="1"/>
    <col min="13073" max="13073" width="4.77734375" style="905" customWidth="1"/>
    <col min="13074" max="13078" width="5.109375" style="905" customWidth="1"/>
    <col min="13079" max="13080" width="4.77734375" style="905" customWidth="1"/>
    <col min="13081" max="13084" width="5.21875" style="905" customWidth="1"/>
    <col min="13085" max="13087" width="6.6640625" style="905" customWidth="1"/>
    <col min="13088" max="13088" width="1.21875" style="905" customWidth="1"/>
    <col min="13089" max="13089" width="1.77734375" style="905" customWidth="1"/>
    <col min="13090" max="13312" width="3.44140625" style="905"/>
    <col min="13313" max="13313" width="1.77734375" style="905" customWidth="1"/>
    <col min="13314" max="13314" width="3" style="905" customWidth="1"/>
    <col min="13315" max="13317" width="4.88671875" style="905" customWidth="1"/>
    <col min="13318" max="13318" width="1.21875" style="905" customWidth="1"/>
    <col min="13319" max="13319" width="2.6640625" style="905" customWidth="1"/>
    <col min="13320" max="13325" width="6.21875" style="905" customWidth="1"/>
    <col min="13326" max="13328" width="5.21875" style="905" customWidth="1"/>
    <col min="13329" max="13329" width="4.77734375" style="905" customWidth="1"/>
    <col min="13330" max="13334" width="5.109375" style="905" customWidth="1"/>
    <col min="13335" max="13336" width="4.77734375" style="905" customWidth="1"/>
    <col min="13337" max="13340" width="5.21875" style="905" customWidth="1"/>
    <col min="13341" max="13343" width="6.6640625" style="905" customWidth="1"/>
    <col min="13344" max="13344" width="1.21875" style="905" customWidth="1"/>
    <col min="13345" max="13345" width="1.77734375" style="905" customWidth="1"/>
    <col min="13346" max="13568" width="3.44140625" style="905"/>
    <col min="13569" max="13569" width="1.77734375" style="905" customWidth="1"/>
    <col min="13570" max="13570" width="3" style="905" customWidth="1"/>
    <col min="13571" max="13573" width="4.88671875" style="905" customWidth="1"/>
    <col min="13574" max="13574" width="1.21875" style="905" customWidth="1"/>
    <col min="13575" max="13575" width="2.6640625" style="905" customWidth="1"/>
    <col min="13576" max="13581" width="6.21875" style="905" customWidth="1"/>
    <col min="13582" max="13584" width="5.21875" style="905" customWidth="1"/>
    <col min="13585" max="13585" width="4.77734375" style="905" customWidth="1"/>
    <col min="13586" max="13590" width="5.109375" style="905" customWidth="1"/>
    <col min="13591" max="13592" width="4.77734375" style="905" customWidth="1"/>
    <col min="13593" max="13596" width="5.21875" style="905" customWidth="1"/>
    <col min="13597" max="13599" width="6.6640625" style="905" customWidth="1"/>
    <col min="13600" max="13600" width="1.21875" style="905" customWidth="1"/>
    <col min="13601" max="13601" width="1.77734375" style="905" customWidth="1"/>
    <col min="13602" max="13824" width="3.44140625" style="905"/>
    <col min="13825" max="13825" width="1.77734375" style="905" customWidth="1"/>
    <col min="13826" max="13826" width="3" style="905" customWidth="1"/>
    <col min="13827" max="13829" width="4.88671875" style="905" customWidth="1"/>
    <col min="13830" max="13830" width="1.21875" style="905" customWidth="1"/>
    <col min="13831" max="13831" width="2.6640625" style="905" customWidth="1"/>
    <col min="13832" max="13837" width="6.21875" style="905" customWidth="1"/>
    <col min="13838" max="13840" width="5.21875" style="905" customWidth="1"/>
    <col min="13841" max="13841" width="4.77734375" style="905" customWidth="1"/>
    <col min="13842" max="13846" width="5.109375" style="905" customWidth="1"/>
    <col min="13847" max="13848" width="4.77734375" style="905" customWidth="1"/>
    <col min="13849" max="13852" width="5.21875" style="905" customWidth="1"/>
    <col min="13853" max="13855" width="6.6640625" style="905" customWidth="1"/>
    <col min="13856" max="13856" width="1.21875" style="905" customWidth="1"/>
    <col min="13857" max="13857" width="1.77734375" style="905" customWidth="1"/>
    <col min="13858" max="14080" width="3.44140625" style="905"/>
    <col min="14081" max="14081" width="1.77734375" style="905" customWidth="1"/>
    <col min="14082" max="14082" width="3" style="905" customWidth="1"/>
    <col min="14083" max="14085" width="4.88671875" style="905" customWidth="1"/>
    <col min="14086" max="14086" width="1.21875" style="905" customWidth="1"/>
    <col min="14087" max="14087" width="2.6640625" style="905" customWidth="1"/>
    <col min="14088" max="14093" width="6.21875" style="905" customWidth="1"/>
    <col min="14094" max="14096" width="5.21875" style="905" customWidth="1"/>
    <col min="14097" max="14097" width="4.77734375" style="905" customWidth="1"/>
    <col min="14098" max="14102" width="5.109375" style="905" customWidth="1"/>
    <col min="14103" max="14104" width="4.77734375" style="905" customWidth="1"/>
    <col min="14105" max="14108" width="5.21875" style="905" customWidth="1"/>
    <col min="14109" max="14111" width="6.6640625" style="905" customWidth="1"/>
    <col min="14112" max="14112" width="1.21875" style="905" customWidth="1"/>
    <col min="14113" max="14113" width="1.77734375" style="905" customWidth="1"/>
    <col min="14114" max="14336" width="3.44140625" style="905"/>
    <col min="14337" max="14337" width="1.77734375" style="905" customWidth="1"/>
    <col min="14338" max="14338" width="3" style="905" customWidth="1"/>
    <col min="14339" max="14341" width="4.88671875" style="905" customWidth="1"/>
    <col min="14342" max="14342" width="1.21875" style="905" customWidth="1"/>
    <col min="14343" max="14343" width="2.6640625" style="905" customWidth="1"/>
    <col min="14344" max="14349" width="6.21875" style="905" customWidth="1"/>
    <col min="14350" max="14352" width="5.21875" style="905" customWidth="1"/>
    <col min="14353" max="14353" width="4.77734375" style="905" customWidth="1"/>
    <col min="14354" max="14358" width="5.109375" style="905" customWidth="1"/>
    <col min="14359" max="14360" width="4.77734375" style="905" customWidth="1"/>
    <col min="14361" max="14364" width="5.21875" style="905" customWidth="1"/>
    <col min="14365" max="14367" width="6.6640625" style="905" customWidth="1"/>
    <col min="14368" max="14368" width="1.21875" style="905" customWidth="1"/>
    <col min="14369" max="14369" width="1.77734375" style="905" customWidth="1"/>
    <col min="14370" max="14592" width="3.44140625" style="905"/>
    <col min="14593" max="14593" width="1.77734375" style="905" customWidth="1"/>
    <col min="14594" max="14594" width="3" style="905" customWidth="1"/>
    <col min="14595" max="14597" width="4.88671875" style="905" customWidth="1"/>
    <col min="14598" max="14598" width="1.21875" style="905" customWidth="1"/>
    <col min="14599" max="14599" width="2.6640625" style="905" customWidth="1"/>
    <col min="14600" max="14605" width="6.21875" style="905" customWidth="1"/>
    <col min="14606" max="14608" width="5.21875" style="905" customWidth="1"/>
    <col min="14609" max="14609" width="4.77734375" style="905" customWidth="1"/>
    <col min="14610" max="14614" width="5.109375" style="905" customWidth="1"/>
    <col min="14615" max="14616" width="4.77734375" style="905" customWidth="1"/>
    <col min="14617" max="14620" width="5.21875" style="905" customWidth="1"/>
    <col min="14621" max="14623" width="6.6640625" style="905" customWidth="1"/>
    <col min="14624" max="14624" width="1.21875" style="905" customWidth="1"/>
    <col min="14625" max="14625" width="1.77734375" style="905" customWidth="1"/>
    <col min="14626" max="14848" width="3.44140625" style="905"/>
    <col min="14849" max="14849" width="1.77734375" style="905" customWidth="1"/>
    <col min="14850" max="14850" width="3" style="905" customWidth="1"/>
    <col min="14851" max="14853" width="4.88671875" style="905" customWidth="1"/>
    <col min="14854" max="14854" width="1.21875" style="905" customWidth="1"/>
    <col min="14855" max="14855" width="2.6640625" style="905" customWidth="1"/>
    <col min="14856" max="14861" width="6.21875" style="905" customWidth="1"/>
    <col min="14862" max="14864" width="5.21875" style="905" customWidth="1"/>
    <col min="14865" max="14865" width="4.77734375" style="905" customWidth="1"/>
    <col min="14866" max="14870" width="5.109375" style="905" customWidth="1"/>
    <col min="14871" max="14872" width="4.77734375" style="905" customWidth="1"/>
    <col min="14873" max="14876" width="5.21875" style="905" customWidth="1"/>
    <col min="14877" max="14879" width="6.6640625" style="905" customWidth="1"/>
    <col min="14880" max="14880" width="1.21875" style="905" customWidth="1"/>
    <col min="14881" max="14881" width="1.77734375" style="905" customWidth="1"/>
    <col min="14882" max="15104" width="3.44140625" style="905"/>
    <col min="15105" max="15105" width="1.77734375" style="905" customWidth="1"/>
    <col min="15106" max="15106" width="3" style="905" customWidth="1"/>
    <col min="15107" max="15109" width="4.88671875" style="905" customWidth="1"/>
    <col min="15110" max="15110" width="1.21875" style="905" customWidth="1"/>
    <col min="15111" max="15111" width="2.6640625" style="905" customWidth="1"/>
    <col min="15112" max="15117" width="6.21875" style="905" customWidth="1"/>
    <col min="15118" max="15120" width="5.21875" style="905" customWidth="1"/>
    <col min="15121" max="15121" width="4.77734375" style="905" customWidth="1"/>
    <col min="15122" max="15126" width="5.109375" style="905" customWidth="1"/>
    <col min="15127" max="15128" width="4.77734375" style="905" customWidth="1"/>
    <col min="15129" max="15132" width="5.21875" style="905" customWidth="1"/>
    <col min="15133" max="15135" width="6.6640625" style="905" customWidth="1"/>
    <col min="15136" max="15136" width="1.21875" style="905" customWidth="1"/>
    <col min="15137" max="15137" width="1.77734375" style="905" customWidth="1"/>
    <col min="15138" max="15360" width="3.44140625" style="905"/>
    <col min="15361" max="15361" width="1.77734375" style="905" customWidth="1"/>
    <col min="15362" max="15362" width="3" style="905" customWidth="1"/>
    <col min="15363" max="15365" width="4.88671875" style="905" customWidth="1"/>
    <col min="15366" max="15366" width="1.21875" style="905" customWidth="1"/>
    <col min="15367" max="15367" width="2.6640625" style="905" customWidth="1"/>
    <col min="15368" max="15373" width="6.21875" style="905" customWidth="1"/>
    <col min="15374" max="15376" width="5.21875" style="905" customWidth="1"/>
    <col min="15377" max="15377" width="4.77734375" style="905" customWidth="1"/>
    <col min="15378" max="15382" width="5.109375" style="905" customWidth="1"/>
    <col min="15383" max="15384" width="4.77734375" style="905" customWidth="1"/>
    <col min="15385" max="15388" width="5.21875" style="905" customWidth="1"/>
    <col min="15389" max="15391" width="6.6640625" style="905" customWidth="1"/>
    <col min="15392" max="15392" width="1.21875" style="905" customWidth="1"/>
    <col min="15393" max="15393" width="1.77734375" style="905" customWidth="1"/>
    <col min="15394" max="15616" width="3.44140625" style="905"/>
    <col min="15617" max="15617" width="1.77734375" style="905" customWidth="1"/>
    <col min="15618" max="15618" width="3" style="905" customWidth="1"/>
    <col min="15619" max="15621" width="4.88671875" style="905" customWidth="1"/>
    <col min="15622" max="15622" width="1.21875" style="905" customWidth="1"/>
    <col min="15623" max="15623" width="2.6640625" style="905" customWidth="1"/>
    <col min="15624" max="15629" width="6.21875" style="905" customWidth="1"/>
    <col min="15630" max="15632" width="5.21875" style="905" customWidth="1"/>
    <col min="15633" max="15633" width="4.77734375" style="905" customWidth="1"/>
    <col min="15634" max="15638" width="5.109375" style="905" customWidth="1"/>
    <col min="15639" max="15640" width="4.77734375" style="905" customWidth="1"/>
    <col min="15641" max="15644" width="5.21875" style="905" customWidth="1"/>
    <col min="15645" max="15647" width="6.6640625" style="905" customWidth="1"/>
    <col min="15648" max="15648" width="1.21875" style="905" customWidth="1"/>
    <col min="15649" max="15649" width="1.77734375" style="905" customWidth="1"/>
    <col min="15650" max="15872" width="3.44140625" style="905"/>
    <col min="15873" max="15873" width="1.77734375" style="905" customWidth="1"/>
    <col min="15874" max="15874" width="3" style="905" customWidth="1"/>
    <col min="15875" max="15877" width="4.88671875" style="905" customWidth="1"/>
    <col min="15878" max="15878" width="1.21875" style="905" customWidth="1"/>
    <col min="15879" max="15879" width="2.6640625" style="905" customWidth="1"/>
    <col min="15880" max="15885" width="6.21875" style="905" customWidth="1"/>
    <col min="15886" max="15888" width="5.21875" style="905" customWidth="1"/>
    <col min="15889" max="15889" width="4.77734375" style="905" customWidth="1"/>
    <col min="15890" max="15894" width="5.109375" style="905" customWidth="1"/>
    <col min="15895" max="15896" width="4.77734375" style="905" customWidth="1"/>
    <col min="15897" max="15900" width="5.21875" style="905" customWidth="1"/>
    <col min="15901" max="15903" width="6.6640625" style="905" customWidth="1"/>
    <col min="15904" max="15904" width="1.21875" style="905" customWidth="1"/>
    <col min="15905" max="15905" width="1.77734375" style="905" customWidth="1"/>
    <col min="15906" max="16128" width="3.44140625" style="905"/>
    <col min="16129" max="16129" width="1.77734375" style="905" customWidth="1"/>
    <col min="16130" max="16130" width="3" style="905" customWidth="1"/>
    <col min="16131" max="16133" width="4.88671875" style="905" customWidth="1"/>
    <col min="16134" max="16134" width="1.21875" style="905" customWidth="1"/>
    <col min="16135" max="16135" width="2.6640625" style="905" customWidth="1"/>
    <col min="16136" max="16141" width="6.21875" style="905" customWidth="1"/>
    <col min="16142" max="16144" width="5.21875" style="905" customWidth="1"/>
    <col min="16145" max="16145" width="4.77734375" style="905" customWidth="1"/>
    <col min="16146" max="16150" width="5.109375" style="905" customWidth="1"/>
    <col min="16151" max="16152" width="4.77734375" style="905" customWidth="1"/>
    <col min="16153" max="16156" width="5.21875" style="905" customWidth="1"/>
    <col min="16157" max="16159" width="6.6640625" style="905" customWidth="1"/>
    <col min="16160" max="16160" width="1.21875" style="905" customWidth="1"/>
    <col min="16161" max="16161" width="1.77734375" style="905" customWidth="1"/>
    <col min="16162" max="16384" width="3.44140625" style="905"/>
  </cols>
  <sheetData>
    <row r="1" spans="2:32" s="594" customFormat="1" ht="6.75" customHeight="1"/>
    <row r="2" spans="2:32" s="594" customFormat="1">
      <c r="B2" s="594" t="s">
        <v>1352</v>
      </c>
    </row>
    <row r="3" spans="2:32" s="594" customFormat="1">
      <c r="W3" s="901" t="s">
        <v>544</v>
      </c>
      <c r="X3" s="2000"/>
      <c r="Y3" s="2000"/>
      <c r="Z3" s="594" t="s">
        <v>34</v>
      </c>
      <c r="AA3" s="2000"/>
      <c r="AB3" s="2000"/>
      <c r="AC3" s="594" t="s">
        <v>392</v>
      </c>
      <c r="AD3" s="901"/>
      <c r="AE3" s="594" t="s">
        <v>241</v>
      </c>
    </row>
    <row r="4" spans="2:32" s="594" customFormat="1" ht="3.75" customHeight="1">
      <c r="W4" s="901"/>
      <c r="X4" s="867"/>
      <c r="Y4" s="867"/>
      <c r="AA4" s="867"/>
      <c r="AB4" s="867"/>
      <c r="AD4" s="901"/>
    </row>
    <row r="5" spans="2:32" s="594" customFormat="1" ht="26.25" customHeight="1">
      <c r="B5" s="1973" t="s">
        <v>1353</v>
      </c>
      <c r="C5" s="2000"/>
      <c r="D5" s="2000"/>
      <c r="E5" s="2000"/>
      <c r="F5" s="2000"/>
      <c r="G5" s="2000"/>
      <c r="H5" s="2000"/>
      <c r="I5" s="2000"/>
      <c r="J5" s="2000"/>
      <c r="K5" s="2000"/>
      <c r="L5" s="2000"/>
      <c r="M5" s="2000"/>
      <c r="N5" s="2000"/>
      <c r="O5" s="2000"/>
      <c r="P5" s="2000"/>
      <c r="Q5" s="2000"/>
      <c r="R5" s="2000"/>
      <c r="S5" s="2000"/>
      <c r="T5" s="2000"/>
      <c r="U5" s="2000"/>
      <c r="V5" s="2000"/>
      <c r="W5" s="2000"/>
      <c r="X5" s="2000"/>
      <c r="Y5" s="2000"/>
      <c r="Z5" s="2000"/>
      <c r="AA5" s="2000"/>
      <c r="AB5" s="2000"/>
      <c r="AC5" s="2000"/>
      <c r="AD5" s="2000"/>
    </row>
    <row r="6" spans="2:32" s="594" customFormat="1" ht="8.25" customHeight="1"/>
    <row r="7" spans="2:32" s="594" customFormat="1" ht="30" customHeight="1">
      <c r="B7" s="2005" t="s">
        <v>199</v>
      </c>
      <c r="C7" s="2006"/>
      <c r="D7" s="2006"/>
      <c r="E7" s="2007"/>
      <c r="F7" s="2008"/>
      <c r="G7" s="2008"/>
      <c r="H7" s="2008"/>
      <c r="I7" s="2008"/>
      <c r="J7" s="2008"/>
      <c r="K7" s="2008"/>
      <c r="L7" s="2008"/>
      <c r="M7" s="2008"/>
      <c r="N7" s="2008"/>
      <c r="O7" s="2008"/>
      <c r="P7" s="2008"/>
      <c r="Q7" s="2008"/>
      <c r="R7" s="2008"/>
      <c r="S7" s="2008"/>
      <c r="T7" s="2008"/>
      <c r="U7" s="2008"/>
      <c r="V7" s="2008"/>
      <c r="W7" s="2008"/>
      <c r="X7" s="2008"/>
      <c r="Y7" s="2008"/>
      <c r="Z7" s="2008"/>
      <c r="AA7" s="2008"/>
      <c r="AB7" s="2008"/>
      <c r="AC7" s="2008"/>
      <c r="AD7" s="2008"/>
      <c r="AE7" s="2008"/>
      <c r="AF7" s="2008"/>
    </row>
    <row r="8" spans="2:32" ht="30" customHeight="1">
      <c r="B8" s="2005" t="s">
        <v>200</v>
      </c>
      <c r="C8" s="2006"/>
      <c r="D8" s="2006"/>
      <c r="E8" s="2007"/>
      <c r="F8" s="895"/>
      <c r="G8" s="896"/>
      <c r="H8" s="902" t="s">
        <v>121</v>
      </c>
      <c r="I8" s="896" t="s">
        <v>1173</v>
      </c>
      <c r="J8" s="896"/>
      <c r="K8" s="896"/>
      <c r="L8" s="896"/>
      <c r="M8" s="903" t="s">
        <v>121</v>
      </c>
      <c r="N8" s="896" t="s">
        <v>1174</v>
      </c>
      <c r="O8" s="896"/>
      <c r="P8" s="896"/>
      <c r="Q8" s="896"/>
      <c r="R8" s="896"/>
      <c r="S8" s="902" t="s">
        <v>121</v>
      </c>
      <c r="T8" s="896" t="s">
        <v>1175</v>
      </c>
      <c r="U8" s="904"/>
      <c r="V8" s="896"/>
      <c r="W8" s="896"/>
      <c r="X8" s="896"/>
      <c r="Y8" s="896"/>
      <c r="Z8" s="896"/>
      <c r="AA8" s="896"/>
      <c r="AB8" s="896"/>
      <c r="AC8" s="896"/>
      <c r="AD8" s="896"/>
      <c r="AE8" s="896"/>
      <c r="AF8" s="897"/>
    </row>
    <row r="9" spans="2:32" ht="30" customHeight="1">
      <c r="B9" s="2005" t="s">
        <v>201</v>
      </c>
      <c r="C9" s="2006"/>
      <c r="D9" s="2006"/>
      <c r="E9" s="2007"/>
      <c r="F9" s="895"/>
      <c r="G9" s="896"/>
      <c r="H9" s="902" t="s">
        <v>121</v>
      </c>
      <c r="I9" s="906" t="s">
        <v>1354</v>
      </c>
      <c r="J9" s="896"/>
      <c r="K9" s="896"/>
      <c r="L9" s="896"/>
      <c r="M9" s="896"/>
      <c r="N9" s="896"/>
      <c r="O9" s="896"/>
      <c r="P9" s="896"/>
      <c r="Q9" s="896"/>
      <c r="R9" s="896"/>
      <c r="S9" s="903" t="s">
        <v>121</v>
      </c>
      <c r="T9" s="906" t="s">
        <v>1355</v>
      </c>
      <c r="U9" s="904"/>
      <c r="V9" s="896"/>
      <c r="W9" s="896"/>
      <c r="X9" s="896"/>
      <c r="Y9" s="896"/>
      <c r="Z9" s="896"/>
      <c r="AA9" s="896"/>
      <c r="AB9" s="896"/>
      <c r="AC9" s="896"/>
      <c r="AD9" s="896"/>
      <c r="AE9" s="896"/>
      <c r="AF9" s="897"/>
    </row>
    <row r="10" spans="2:32" ht="30" customHeight="1">
      <c r="B10" s="2009" t="s">
        <v>202</v>
      </c>
      <c r="C10" s="2010"/>
      <c r="D10" s="2010"/>
      <c r="E10" s="2011"/>
      <c r="F10" s="585"/>
      <c r="G10" s="907"/>
      <c r="H10" s="903" t="s">
        <v>121</v>
      </c>
      <c r="I10" s="906" t="s">
        <v>1356</v>
      </c>
      <c r="J10" s="907"/>
      <c r="K10" s="907"/>
      <c r="L10" s="907"/>
      <c r="M10" s="907"/>
      <c r="N10" s="907"/>
      <c r="O10" s="907"/>
      <c r="P10" s="907"/>
      <c r="Q10" s="907"/>
      <c r="R10" s="907"/>
      <c r="S10" s="907"/>
      <c r="T10" s="906"/>
      <c r="U10" s="908"/>
      <c r="V10" s="907"/>
      <c r="W10" s="907"/>
      <c r="X10" s="907"/>
      <c r="Y10" s="907"/>
      <c r="Z10" s="907"/>
      <c r="AA10" s="907"/>
      <c r="AB10" s="907"/>
      <c r="AC10" s="907"/>
      <c r="AD10" s="907"/>
      <c r="AE10" s="907"/>
      <c r="AF10" s="393"/>
    </row>
    <row r="11" spans="2:32" ht="30" customHeight="1">
      <c r="B11" s="2012"/>
      <c r="C11" s="2013"/>
      <c r="D11" s="2013"/>
      <c r="E11" s="2014"/>
      <c r="F11" s="898"/>
      <c r="G11" s="563"/>
      <c r="H11" s="909" t="s">
        <v>121</v>
      </c>
      <c r="I11" s="561" t="s">
        <v>1357</v>
      </c>
      <c r="J11" s="563"/>
      <c r="K11" s="563"/>
      <c r="L11" s="563"/>
      <c r="M11" s="563"/>
      <c r="N11" s="563"/>
      <c r="O11" s="563"/>
      <c r="P11" s="563"/>
      <c r="Q11" s="563"/>
      <c r="R11" s="563"/>
      <c r="S11" s="563"/>
      <c r="T11" s="561"/>
      <c r="U11" s="910"/>
      <c r="V11" s="563"/>
      <c r="W11" s="563"/>
      <c r="X11" s="563"/>
      <c r="Y11" s="563"/>
      <c r="Z11" s="563"/>
      <c r="AA11" s="563"/>
      <c r="AB11" s="563"/>
      <c r="AC11" s="563"/>
      <c r="AD11" s="563"/>
      <c r="AE11" s="563"/>
      <c r="AF11" s="899"/>
    </row>
    <row r="12" spans="2:32" s="594" customFormat="1" ht="15" customHeight="1">
      <c r="B12" s="906"/>
      <c r="C12" s="906"/>
      <c r="D12" s="906"/>
      <c r="E12" s="906"/>
      <c r="Q12" s="901"/>
    </row>
    <row r="13" spans="2:32" s="594" customFormat="1" ht="7.5" customHeight="1" thickBot="1">
      <c r="B13" s="225"/>
      <c r="C13" s="906"/>
      <c r="D13" s="906"/>
      <c r="E13" s="911"/>
      <c r="F13" s="906"/>
      <c r="G13" s="906"/>
      <c r="H13" s="906"/>
      <c r="I13" s="906"/>
      <c r="J13" s="906"/>
      <c r="K13" s="906"/>
      <c r="L13" s="906"/>
      <c r="M13" s="906"/>
      <c r="N13" s="906"/>
      <c r="O13" s="906"/>
      <c r="P13" s="906"/>
      <c r="Q13" s="912"/>
      <c r="R13" s="906"/>
      <c r="S13" s="906"/>
      <c r="T13" s="906"/>
      <c r="U13" s="906"/>
      <c r="V13" s="906"/>
      <c r="W13" s="906"/>
      <c r="X13" s="906"/>
      <c r="Y13" s="906"/>
      <c r="Z13" s="906"/>
      <c r="AA13" s="906"/>
      <c r="AB13" s="906"/>
      <c r="AC13" s="906"/>
      <c r="AD13" s="906"/>
      <c r="AE13" s="906"/>
      <c r="AF13" s="911"/>
    </row>
    <row r="14" spans="2:32" s="594" customFormat="1" ht="21" customHeight="1">
      <c r="B14" s="1944" t="s">
        <v>203</v>
      </c>
      <c r="C14" s="1942"/>
      <c r="D14" s="1942"/>
      <c r="E14" s="1945"/>
      <c r="AD14" s="2015" t="s">
        <v>204</v>
      </c>
      <c r="AE14" s="2016"/>
      <c r="AF14" s="913"/>
    </row>
    <row r="15" spans="2:32" s="594" customFormat="1" ht="21" customHeight="1">
      <c r="B15" s="1944"/>
      <c r="C15" s="1942"/>
      <c r="D15" s="1942"/>
      <c r="E15" s="1945"/>
      <c r="AD15" s="2017"/>
      <c r="AE15" s="2018"/>
      <c r="AF15" s="913"/>
    </row>
    <row r="16" spans="2:32" s="594" customFormat="1" ht="21" customHeight="1">
      <c r="B16" s="1944"/>
      <c r="C16" s="1942"/>
      <c r="D16" s="1942"/>
      <c r="E16" s="1945"/>
      <c r="G16" s="225" t="s">
        <v>205</v>
      </c>
      <c r="H16" s="906"/>
      <c r="I16" s="906"/>
      <c r="J16" s="906"/>
      <c r="K16" s="906"/>
      <c r="L16" s="906"/>
      <c r="M16" s="906"/>
      <c r="N16" s="906"/>
      <c r="O16" s="906"/>
      <c r="P16" s="906"/>
      <c r="Q16" s="906"/>
      <c r="R16" s="906"/>
      <c r="S16" s="906"/>
      <c r="T16" s="906"/>
      <c r="U16" s="906"/>
      <c r="V16" s="906"/>
      <c r="W16" s="906"/>
      <c r="X16" s="906"/>
      <c r="Y16" s="906"/>
      <c r="Z16" s="906"/>
      <c r="AA16" s="906"/>
      <c r="AB16" s="906"/>
      <c r="AC16" s="906"/>
      <c r="AD16" s="914"/>
      <c r="AE16" s="915"/>
      <c r="AF16" s="913"/>
    </row>
    <row r="17" spans="2:32" s="594" customFormat="1" ht="30" customHeight="1">
      <c r="B17" s="568"/>
      <c r="C17" s="106"/>
      <c r="D17" s="106"/>
      <c r="E17" s="356"/>
      <c r="G17" s="224"/>
      <c r="H17" s="894" t="s">
        <v>107</v>
      </c>
      <c r="I17" s="1980" t="s">
        <v>206</v>
      </c>
      <c r="J17" s="2002"/>
      <c r="K17" s="2002"/>
      <c r="L17" s="2002"/>
      <c r="M17" s="2003"/>
      <c r="N17" s="916"/>
      <c r="O17" s="917" t="s">
        <v>89</v>
      </c>
      <c r="P17" s="1962" t="s">
        <v>198</v>
      </c>
      <c r="Q17" s="1964" t="s">
        <v>207</v>
      </c>
      <c r="R17" s="1965" t="s">
        <v>767</v>
      </c>
      <c r="S17" s="1965"/>
      <c r="T17" s="1965"/>
      <c r="U17" s="1965"/>
      <c r="V17" s="1980"/>
      <c r="W17" s="1966"/>
      <c r="X17" s="2004" t="s">
        <v>60</v>
      </c>
      <c r="Y17" s="918" t="s">
        <v>198</v>
      </c>
      <c r="Z17" s="1955" t="s">
        <v>208</v>
      </c>
      <c r="AA17" s="1955"/>
      <c r="AB17" s="1955"/>
      <c r="AC17" s="1955"/>
      <c r="AD17" s="919" t="s">
        <v>121</v>
      </c>
      <c r="AE17" s="920">
        <v>20</v>
      </c>
      <c r="AF17" s="913"/>
    </row>
    <row r="18" spans="2:32" s="594" customFormat="1" ht="30" customHeight="1">
      <c r="B18" s="568"/>
      <c r="C18" s="106"/>
      <c r="D18" s="106"/>
      <c r="E18" s="356"/>
      <c r="G18" s="224"/>
      <c r="H18" s="894" t="s">
        <v>104</v>
      </c>
      <c r="I18" s="1980" t="s">
        <v>209</v>
      </c>
      <c r="J18" s="1981"/>
      <c r="K18" s="1981"/>
      <c r="L18" s="1981"/>
      <c r="M18" s="1982"/>
      <c r="N18" s="921"/>
      <c r="O18" s="922" t="s">
        <v>89</v>
      </c>
      <c r="P18" s="1962"/>
      <c r="Q18" s="1964"/>
      <c r="R18" s="1965"/>
      <c r="S18" s="1965"/>
      <c r="T18" s="1965"/>
      <c r="U18" s="1965"/>
      <c r="V18" s="1980"/>
      <c r="W18" s="1967"/>
      <c r="X18" s="2004"/>
      <c r="Y18" s="918" t="s">
        <v>198</v>
      </c>
      <c r="Z18" s="1955" t="s">
        <v>210</v>
      </c>
      <c r="AA18" s="1955"/>
      <c r="AB18" s="1955"/>
      <c r="AC18" s="1955"/>
      <c r="AD18" s="919" t="s">
        <v>121</v>
      </c>
      <c r="AE18" s="920">
        <v>10</v>
      </c>
      <c r="AF18" s="913"/>
    </row>
    <row r="19" spans="2:32" s="594" customFormat="1" ht="30" customHeight="1">
      <c r="B19" s="568"/>
      <c r="C19" s="106"/>
      <c r="D19" s="106"/>
      <c r="E19" s="356"/>
      <c r="G19" s="224"/>
      <c r="H19" s="894" t="s">
        <v>211</v>
      </c>
      <c r="I19" s="1980" t="s">
        <v>212</v>
      </c>
      <c r="J19" s="1981"/>
      <c r="K19" s="1981"/>
      <c r="L19" s="1981"/>
      <c r="M19" s="1982"/>
      <c r="N19" s="921"/>
      <c r="O19" s="922" t="s">
        <v>89</v>
      </c>
      <c r="P19" s="1962"/>
      <c r="Q19" s="1964"/>
      <c r="R19" s="1965"/>
      <c r="S19" s="1965"/>
      <c r="T19" s="1965"/>
      <c r="U19" s="1965"/>
      <c r="V19" s="1980"/>
      <c r="W19" s="1968"/>
      <c r="X19" s="2004"/>
      <c r="Y19" s="918" t="s">
        <v>198</v>
      </c>
      <c r="Z19" s="1955" t="s">
        <v>213</v>
      </c>
      <c r="AA19" s="1955"/>
      <c r="AB19" s="1955"/>
      <c r="AC19" s="1955"/>
      <c r="AD19" s="919" t="s">
        <v>121</v>
      </c>
      <c r="AE19" s="920">
        <v>0</v>
      </c>
      <c r="AF19" s="913"/>
    </row>
    <row r="20" spans="2:32" s="594" customFormat="1" ht="7.5" customHeight="1">
      <c r="B20" s="568"/>
      <c r="C20" s="106"/>
      <c r="D20" s="106"/>
      <c r="E20" s="356"/>
      <c r="G20" s="900"/>
      <c r="H20" s="561"/>
      <c r="I20" s="923"/>
      <c r="J20" s="923"/>
      <c r="K20" s="923"/>
      <c r="L20" s="923"/>
      <c r="M20" s="923"/>
      <c r="N20" s="923"/>
      <c r="O20" s="923"/>
      <c r="P20" s="923"/>
      <c r="Q20" s="923"/>
      <c r="R20" s="923"/>
      <c r="S20" s="923"/>
      <c r="T20" s="923"/>
      <c r="U20" s="923"/>
      <c r="V20" s="923"/>
      <c r="W20" s="561"/>
      <c r="X20" s="924"/>
      <c r="Y20" s="924"/>
      <c r="Z20" s="561"/>
      <c r="AA20" s="561"/>
      <c r="AB20" s="561"/>
      <c r="AC20" s="561"/>
      <c r="AD20" s="925"/>
      <c r="AE20" s="926"/>
      <c r="AF20" s="913"/>
    </row>
    <row r="21" spans="2:32" s="594" customFormat="1" ht="21" customHeight="1">
      <c r="B21" s="568"/>
      <c r="C21" s="106"/>
      <c r="D21" s="106"/>
      <c r="E21" s="356"/>
      <c r="G21" s="225" t="s">
        <v>214</v>
      </c>
      <c r="H21" s="906"/>
      <c r="I21" s="927"/>
      <c r="J21" s="927"/>
      <c r="K21" s="927"/>
      <c r="L21" s="927"/>
      <c r="M21" s="927"/>
      <c r="N21" s="927"/>
      <c r="O21" s="927"/>
      <c r="P21" s="927"/>
      <c r="Q21" s="927"/>
      <c r="R21" s="927"/>
      <c r="S21" s="927"/>
      <c r="T21" s="927"/>
      <c r="U21" s="927"/>
      <c r="V21" s="927"/>
      <c r="W21" s="906"/>
      <c r="X21" s="928"/>
      <c r="Y21" s="928"/>
      <c r="Z21" s="906"/>
      <c r="AA21" s="906"/>
      <c r="AB21" s="906"/>
      <c r="AC21" s="906"/>
      <c r="AD21" s="929"/>
      <c r="AE21" s="930"/>
      <c r="AF21" s="913"/>
    </row>
    <row r="22" spans="2:32" s="594" customFormat="1" ht="23.25" customHeight="1">
      <c r="B22" s="931"/>
      <c r="C22" s="932"/>
      <c r="D22" s="932"/>
      <c r="E22" s="933"/>
      <c r="G22" s="224"/>
      <c r="H22" s="894" t="s">
        <v>107</v>
      </c>
      <c r="I22" s="1980" t="s">
        <v>215</v>
      </c>
      <c r="J22" s="1981"/>
      <c r="K22" s="1981"/>
      <c r="L22" s="1981"/>
      <c r="M22" s="1982"/>
      <c r="N22" s="916"/>
      <c r="O22" s="917" t="s">
        <v>89</v>
      </c>
      <c r="P22" s="1962" t="s">
        <v>198</v>
      </c>
      <c r="Q22" s="1964" t="s">
        <v>207</v>
      </c>
      <c r="R22" s="1965" t="s">
        <v>768</v>
      </c>
      <c r="S22" s="1965"/>
      <c r="T22" s="1965"/>
      <c r="U22" s="1965"/>
      <c r="V22" s="1965"/>
      <c r="W22" s="1966"/>
      <c r="X22" s="1969" t="s">
        <v>60</v>
      </c>
      <c r="Y22" s="918" t="s">
        <v>198</v>
      </c>
      <c r="Z22" s="1955" t="s">
        <v>216</v>
      </c>
      <c r="AA22" s="1955"/>
      <c r="AB22" s="1955"/>
      <c r="AC22" s="1955"/>
      <c r="AD22" s="919" t="s">
        <v>121</v>
      </c>
      <c r="AE22" s="920">
        <v>20</v>
      </c>
      <c r="AF22" s="913"/>
    </row>
    <row r="23" spans="2:32" s="594" customFormat="1" ht="30" customHeight="1">
      <c r="B23" s="931"/>
      <c r="C23" s="932"/>
      <c r="D23" s="932"/>
      <c r="E23" s="933"/>
      <c r="G23" s="224"/>
      <c r="H23" s="894" t="s">
        <v>104</v>
      </c>
      <c r="I23" s="1980" t="s">
        <v>217</v>
      </c>
      <c r="J23" s="1981"/>
      <c r="K23" s="1981"/>
      <c r="L23" s="1981"/>
      <c r="M23" s="1982"/>
      <c r="N23" s="921"/>
      <c r="O23" s="922" t="s">
        <v>89</v>
      </c>
      <c r="P23" s="1962"/>
      <c r="Q23" s="1964"/>
      <c r="R23" s="1965"/>
      <c r="S23" s="1965"/>
      <c r="T23" s="1965"/>
      <c r="U23" s="1965"/>
      <c r="V23" s="1965"/>
      <c r="W23" s="1967"/>
      <c r="X23" s="1970"/>
      <c r="Y23" s="918" t="s">
        <v>198</v>
      </c>
      <c r="Z23" s="1955" t="s">
        <v>218</v>
      </c>
      <c r="AA23" s="1955"/>
      <c r="AB23" s="1955"/>
      <c r="AC23" s="1955"/>
      <c r="AD23" s="919" t="s">
        <v>121</v>
      </c>
      <c r="AE23" s="920">
        <v>10</v>
      </c>
      <c r="AF23" s="913"/>
    </row>
    <row r="24" spans="2:32" s="594" customFormat="1" ht="24.75" customHeight="1">
      <c r="B24" s="931"/>
      <c r="C24" s="932"/>
      <c r="D24" s="932"/>
      <c r="E24" s="933"/>
      <c r="G24" s="224"/>
      <c r="H24" s="894" t="s">
        <v>211</v>
      </c>
      <c r="I24" s="1980" t="s">
        <v>219</v>
      </c>
      <c r="J24" s="1981"/>
      <c r="K24" s="1981"/>
      <c r="L24" s="1981"/>
      <c r="M24" s="1982"/>
      <c r="N24" s="921"/>
      <c r="O24" s="922" t="s">
        <v>89</v>
      </c>
      <c r="P24" s="1962"/>
      <c r="Q24" s="1964"/>
      <c r="R24" s="1965"/>
      <c r="S24" s="1965"/>
      <c r="T24" s="1965"/>
      <c r="U24" s="1965"/>
      <c r="V24" s="1965"/>
      <c r="W24" s="1968"/>
      <c r="X24" s="1971"/>
      <c r="Y24" s="918" t="s">
        <v>198</v>
      </c>
      <c r="Z24" s="1955" t="s">
        <v>220</v>
      </c>
      <c r="AA24" s="1955"/>
      <c r="AB24" s="1955"/>
      <c r="AC24" s="1955"/>
      <c r="AD24" s="919" t="s">
        <v>121</v>
      </c>
      <c r="AE24" s="920">
        <v>0</v>
      </c>
      <c r="AF24" s="892"/>
    </row>
    <row r="25" spans="2:32" s="594" customFormat="1" ht="7.5" customHeight="1">
      <c r="B25" s="931"/>
      <c r="C25" s="932"/>
      <c r="D25" s="932"/>
      <c r="E25" s="933"/>
      <c r="G25" s="900"/>
      <c r="H25" s="561"/>
      <c r="I25" s="934"/>
      <c r="J25" s="935"/>
      <c r="K25" s="935"/>
      <c r="L25" s="935"/>
      <c r="M25" s="935"/>
      <c r="N25" s="923"/>
      <c r="O25" s="936"/>
      <c r="P25" s="937"/>
      <c r="Q25" s="937"/>
      <c r="R25" s="923"/>
      <c r="S25" s="923"/>
      <c r="T25" s="923"/>
      <c r="U25" s="923"/>
      <c r="V25" s="923"/>
      <c r="W25" s="561"/>
      <c r="X25" s="924"/>
      <c r="Y25" s="924"/>
      <c r="Z25" s="561"/>
      <c r="AA25" s="561"/>
      <c r="AB25" s="561"/>
      <c r="AC25" s="561"/>
      <c r="AD25" s="925"/>
      <c r="AE25" s="926"/>
      <c r="AF25" s="913"/>
    </row>
    <row r="26" spans="2:32" s="594" customFormat="1" ht="21" customHeight="1">
      <c r="B26" s="224"/>
      <c r="E26" s="913"/>
      <c r="G26" s="224" t="s">
        <v>221</v>
      </c>
      <c r="I26" s="932"/>
      <c r="J26" s="932"/>
      <c r="K26" s="932"/>
      <c r="L26" s="932"/>
      <c r="M26" s="932"/>
      <c r="N26" s="932"/>
      <c r="O26" s="932"/>
      <c r="P26" s="932"/>
      <c r="Q26" s="932"/>
      <c r="R26" s="932"/>
      <c r="S26" s="932"/>
      <c r="T26" s="932"/>
      <c r="U26" s="932"/>
      <c r="V26" s="932"/>
      <c r="X26" s="867"/>
      <c r="Y26" s="867"/>
      <c r="AD26" s="929"/>
      <c r="AE26" s="930"/>
      <c r="AF26" s="913"/>
    </row>
    <row r="27" spans="2:32" s="594" customFormat="1" ht="30.75" customHeight="1">
      <c r="B27" s="568"/>
      <c r="C27" s="106"/>
      <c r="D27" s="106"/>
      <c r="E27" s="356"/>
      <c r="G27" s="224"/>
      <c r="H27" s="1956" t="s">
        <v>107</v>
      </c>
      <c r="I27" s="1974" t="s">
        <v>769</v>
      </c>
      <c r="J27" s="1975"/>
      <c r="K27" s="1975"/>
      <c r="L27" s="1975"/>
      <c r="M27" s="1976"/>
      <c r="N27" s="1958"/>
      <c r="O27" s="1960" t="s">
        <v>89</v>
      </c>
      <c r="P27" s="1972" t="s">
        <v>198</v>
      </c>
      <c r="Q27" s="1992" t="s">
        <v>207</v>
      </c>
      <c r="R27" s="1992" t="s">
        <v>770</v>
      </c>
      <c r="S27" s="1993"/>
      <c r="T27" s="1993"/>
      <c r="U27" s="1993"/>
      <c r="V27" s="1994"/>
      <c r="W27" s="1999"/>
      <c r="X27" s="1969" t="s">
        <v>60</v>
      </c>
      <c r="Y27" s="867" t="s">
        <v>198</v>
      </c>
      <c r="Z27" s="1955" t="s">
        <v>222</v>
      </c>
      <c r="AA27" s="1955"/>
      <c r="AB27" s="1955"/>
      <c r="AC27" s="1955"/>
      <c r="AD27" s="919" t="s">
        <v>121</v>
      </c>
      <c r="AE27" s="920">
        <v>10</v>
      </c>
      <c r="AF27" s="913"/>
    </row>
    <row r="28" spans="2:32" s="594" customFormat="1" ht="30.75" customHeight="1">
      <c r="B28" s="568"/>
      <c r="C28" s="106"/>
      <c r="D28" s="106"/>
      <c r="E28" s="356"/>
      <c r="G28" s="224"/>
      <c r="H28" s="1956"/>
      <c r="I28" s="1977"/>
      <c r="J28" s="1978"/>
      <c r="K28" s="1978"/>
      <c r="L28" s="1978"/>
      <c r="M28" s="1979"/>
      <c r="N28" s="1959"/>
      <c r="O28" s="1961"/>
      <c r="P28" s="1972"/>
      <c r="Q28" s="1995"/>
      <c r="R28" s="1995"/>
      <c r="S28" s="1983"/>
      <c r="T28" s="1983"/>
      <c r="U28" s="1983"/>
      <c r="V28" s="1996"/>
      <c r="W28" s="2000"/>
      <c r="X28" s="1970"/>
      <c r="Y28" s="867" t="s">
        <v>198</v>
      </c>
      <c r="Z28" s="1955" t="s">
        <v>223</v>
      </c>
      <c r="AA28" s="1955"/>
      <c r="AB28" s="1955"/>
      <c r="AC28" s="1955"/>
      <c r="AD28" s="919" t="s">
        <v>121</v>
      </c>
      <c r="AE28" s="920">
        <v>5</v>
      </c>
      <c r="AF28" s="913"/>
    </row>
    <row r="29" spans="2:32" s="594" customFormat="1" ht="27" customHeight="1">
      <c r="B29" s="568"/>
      <c r="C29" s="106"/>
      <c r="D29" s="106"/>
      <c r="E29" s="356"/>
      <c r="G29" s="224"/>
      <c r="H29" s="894" t="s">
        <v>104</v>
      </c>
      <c r="I29" s="1980" t="s">
        <v>224</v>
      </c>
      <c r="J29" s="1981"/>
      <c r="K29" s="1981"/>
      <c r="L29" s="1981"/>
      <c r="M29" s="1982"/>
      <c r="N29" s="921"/>
      <c r="O29" s="922" t="s">
        <v>89</v>
      </c>
      <c r="P29" s="590"/>
      <c r="Q29" s="1990"/>
      <c r="R29" s="1990"/>
      <c r="S29" s="1997"/>
      <c r="T29" s="1997"/>
      <c r="U29" s="1997"/>
      <c r="V29" s="1998"/>
      <c r="W29" s="2001"/>
      <c r="X29" s="1971"/>
      <c r="Y29" s="867" t="s">
        <v>198</v>
      </c>
      <c r="Z29" s="1955" t="s">
        <v>225</v>
      </c>
      <c r="AA29" s="1955"/>
      <c r="AB29" s="1955"/>
      <c r="AC29" s="1955"/>
      <c r="AD29" s="919" t="s">
        <v>121</v>
      </c>
      <c r="AE29" s="920">
        <v>0</v>
      </c>
      <c r="AF29" s="913"/>
    </row>
    <row r="30" spans="2:32" s="594" customFormat="1" ht="7.5" customHeight="1">
      <c r="B30" s="568"/>
      <c r="C30" s="106"/>
      <c r="D30" s="106"/>
      <c r="E30" s="356"/>
      <c r="G30" s="900"/>
      <c r="H30" s="893"/>
      <c r="I30" s="935"/>
      <c r="J30" s="935"/>
      <c r="K30" s="935"/>
      <c r="L30" s="935"/>
      <c r="M30" s="935"/>
      <c r="N30" s="923"/>
      <c r="O30" s="936"/>
      <c r="P30" s="923"/>
      <c r="Q30" s="923"/>
      <c r="R30" s="923"/>
      <c r="S30" s="923"/>
      <c r="T30" s="923"/>
      <c r="U30" s="923"/>
      <c r="V30" s="923"/>
      <c r="W30" s="561"/>
      <c r="X30" s="924"/>
      <c r="Y30" s="924"/>
      <c r="Z30" s="935"/>
      <c r="AA30" s="935"/>
      <c r="AB30" s="561"/>
      <c r="AC30" s="561"/>
      <c r="AD30" s="938"/>
      <c r="AE30" s="926"/>
      <c r="AF30" s="913"/>
    </row>
    <row r="31" spans="2:32" s="594" customFormat="1" ht="21" customHeight="1">
      <c r="B31" s="931"/>
      <c r="C31" s="932"/>
      <c r="D31" s="932"/>
      <c r="E31" s="933"/>
      <c r="G31" s="225" t="s">
        <v>226</v>
      </c>
      <c r="H31" s="906"/>
      <c r="I31" s="927"/>
      <c r="J31" s="927"/>
      <c r="K31" s="927"/>
      <c r="L31" s="927"/>
      <c r="M31" s="927"/>
      <c r="N31" s="927"/>
      <c r="O31" s="927"/>
      <c r="P31" s="927"/>
      <c r="Q31" s="927"/>
      <c r="R31" s="927"/>
      <c r="S31" s="927"/>
      <c r="T31" s="927"/>
      <c r="U31" s="927"/>
      <c r="V31" s="927"/>
      <c r="W31" s="906"/>
      <c r="X31" s="928"/>
      <c r="Y31" s="928"/>
      <c r="AD31" s="929"/>
      <c r="AE31" s="930"/>
      <c r="AF31" s="913"/>
    </row>
    <row r="32" spans="2:32" s="594" customFormat="1" ht="31.5" customHeight="1">
      <c r="B32" s="224"/>
      <c r="E32" s="913"/>
      <c r="G32" s="224"/>
      <c r="H32" s="1991" t="s">
        <v>107</v>
      </c>
      <c r="I32" s="1974" t="s">
        <v>771</v>
      </c>
      <c r="J32" s="1975"/>
      <c r="K32" s="1975"/>
      <c r="L32" s="1975"/>
      <c r="M32" s="1976"/>
      <c r="N32" s="1958"/>
      <c r="O32" s="1960" t="s">
        <v>89</v>
      </c>
      <c r="P32" s="1962" t="s">
        <v>198</v>
      </c>
      <c r="Q32" s="1964" t="s">
        <v>207</v>
      </c>
      <c r="R32" s="1964" t="s">
        <v>772</v>
      </c>
      <c r="S32" s="1964"/>
      <c r="T32" s="1964"/>
      <c r="U32" s="1964"/>
      <c r="V32" s="1964"/>
      <c r="W32" s="1966"/>
      <c r="X32" s="1969" t="s">
        <v>60</v>
      </c>
      <c r="Y32" s="867" t="s">
        <v>198</v>
      </c>
      <c r="Z32" s="1955" t="s">
        <v>222</v>
      </c>
      <c r="AA32" s="1955"/>
      <c r="AB32" s="1955"/>
      <c r="AC32" s="1955"/>
      <c r="AD32" s="919" t="s">
        <v>121</v>
      </c>
      <c r="AE32" s="920">
        <v>10</v>
      </c>
      <c r="AF32" s="913"/>
    </row>
    <row r="33" spans="2:37" s="594" customFormat="1" ht="31.5" customHeight="1">
      <c r="B33" s="224"/>
      <c r="E33" s="913"/>
      <c r="G33" s="224"/>
      <c r="H33" s="1988"/>
      <c r="I33" s="1977"/>
      <c r="J33" s="1978"/>
      <c r="K33" s="1978"/>
      <c r="L33" s="1978"/>
      <c r="M33" s="1979"/>
      <c r="N33" s="1959"/>
      <c r="O33" s="1961"/>
      <c r="P33" s="1962"/>
      <c r="Q33" s="1964"/>
      <c r="R33" s="1964"/>
      <c r="S33" s="1964"/>
      <c r="T33" s="1964"/>
      <c r="U33" s="1964"/>
      <c r="V33" s="1964"/>
      <c r="W33" s="1967"/>
      <c r="X33" s="1970"/>
      <c r="Y33" s="867" t="s">
        <v>198</v>
      </c>
      <c r="Z33" s="1955" t="s">
        <v>227</v>
      </c>
      <c r="AA33" s="1955"/>
      <c r="AB33" s="1955"/>
      <c r="AC33" s="1955"/>
      <c r="AD33" s="919" t="s">
        <v>121</v>
      </c>
      <c r="AE33" s="920">
        <v>5</v>
      </c>
      <c r="AF33" s="892"/>
    </row>
    <row r="34" spans="2:37" s="594" customFormat="1" ht="30.75" customHeight="1">
      <c r="B34" s="224"/>
      <c r="E34" s="913"/>
      <c r="G34" s="224"/>
      <c r="H34" s="894" t="s">
        <v>104</v>
      </c>
      <c r="I34" s="1980" t="s">
        <v>228</v>
      </c>
      <c r="J34" s="1981"/>
      <c r="K34" s="1981"/>
      <c r="L34" s="1981"/>
      <c r="M34" s="1982"/>
      <c r="N34" s="921"/>
      <c r="O34" s="922" t="s">
        <v>89</v>
      </c>
      <c r="P34" s="1962"/>
      <c r="Q34" s="1964"/>
      <c r="R34" s="1964"/>
      <c r="S34" s="1964"/>
      <c r="T34" s="1964"/>
      <c r="U34" s="1964"/>
      <c r="V34" s="1964"/>
      <c r="W34" s="1968"/>
      <c r="X34" s="1971"/>
      <c r="Y34" s="867" t="s">
        <v>198</v>
      </c>
      <c r="Z34" s="1955" t="s">
        <v>229</v>
      </c>
      <c r="AA34" s="1955"/>
      <c r="AB34" s="1955"/>
      <c r="AC34" s="1955"/>
      <c r="AD34" s="919" t="s">
        <v>121</v>
      </c>
      <c r="AE34" s="920">
        <v>0</v>
      </c>
      <c r="AF34" s="892"/>
    </row>
    <row r="35" spans="2:37" s="594" customFormat="1" ht="7.5" customHeight="1">
      <c r="B35" s="224"/>
      <c r="E35" s="913"/>
      <c r="G35" s="900"/>
      <c r="H35" s="561"/>
      <c r="I35" s="923"/>
      <c r="J35" s="923"/>
      <c r="K35" s="923"/>
      <c r="L35" s="923"/>
      <c r="M35" s="923"/>
      <c r="N35" s="923"/>
      <c r="O35" s="923"/>
      <c r="P35" s="923"/>
      <c r="Q35" s="923"/>
      <c r="R35" s="923"/>
      <c r="S35" s="923"/>
      <c r="T35" s="923"/>
      <c r="U35" s="923"/>
      <c r="V35" s="923"/>
      <c r="W35" s="561"/>
      <c r="X35" s="924"/>
      <c r="Y35" s="924"/>
      <c r="Z35" s="924"/>
      <c r="AA35" s="924"/>
      <c r="AB35" s="561"/>
      <c r="AC35" s="561"/>
      <c r="AD35" s="925"/>
      <c r="AE35" s="926"/>
      <c r="AF35" s="892"/>
    </row>
    <row r="36" spans="2:37" s="594" customFormat="1" ht="21" customHeight="1">
      <c r="B36" s="224"/>
      <c r="E36" s="913"/>
      <c r="G36" s="225" t="s">
        <v>230</v>
      </c>
      <c r="H36" s="906"/>
      <c r="I36" s="927"/>
      <c r="J36" s="927"/>
      <c r="K36" s="927"/>
      <c r="L36" s="927"/>
      <c r="M36" s="927"/>
      <c r="N36" s="927"/>
      <c r="O36" s="927"/>
      <c r="P36" s="927"/>
      <c r="Q36" s="927"/>
      <c r="R36" s="927"/>
      <c r="S36" s="927"/>
      <c r="T36" s="927"/>
      <c r="U36" s="927"/>
      <c r="V36" s="927"/>
      <c r="W36" s="906"/>
      <c r="X36" s="928"/>
      <c r="Y36" s="928"/>
      <c r="Z36" s="867"/>
      <c r="AA36" s="867"/>
      <c r="AD36" s="929"/>
      <c r="AE36" s="930"/>
      <c r="AF36" s="913"/>
    </row>
    <row r="37" spans="2:37" s="594" customFormat="1" ht="19.5" customHeight="1">
      <c r="B37" s="224"/>
      <c r="E37" s="913"/>
      <c r="G37" s="224"/>
      <c r="H37" s="1956" t="s">
        <v>107</v>
      </c>
      <c r="I37" s="1974" t="s">
        <v>231</v>
      </c>
      <c r="J37" s="1975"/>
      <c r="K37" s="1975"/>
      <c r="L37" s="1975"/>
      <c r="M37" s="1975"/>
      <c r="N37" s="1975"/>
      <c r="O37" s="1975"/>
      <c r="P37" s="1975"/>
      <c r="Q37" s="1975"/>
      <c r="R37" s="1975"/>
      <c r="S37" s="1975"/>
      <c r="T37" s="1975"/>
      <c r="U37" s="1976"/>
      <c r="V37" s="1972" t="s">
        <v>198</v>
      </c>
      <c r="W37" s="1964"/>
      <c r="X37" s="1964"/>
      <c r="Y37" s="867" t="s">
        <v>198</v>
      </c>
      <c r="Z37" s="1983" t="s">
        <v>232</v>
      </c>
      <c r="AA37" s="1983"/>
      <c r="AD37" s="919" t="s">
        <v>121</v>
      </c>
      <c r="AE37" s="920">
        <v>5</v>
      </c>
      <c r="AF37" s="913"/>
    </row>
    <row r="38" spans="2:37" s="594" customFormat="1" ht="30.75" customHeight="1">
      <c r="B38" s="568"/>
      <c r="C38" s="106"/>
      <c r="D38" s="106"/>
      <c r="E38" s="356"/>
      <c r="G38" s="224"/>
      <c r="H38" s="1956"/>
      <c r="I38" s="1977"/>
      <c r="J38" s="1978"/>
      <c r="K38" s="1978"/>
      <c r="L38" s="1978"/>
      <c r="M38" s="1978"/>
      <c r="N38" s="1978"/>
      <c r="O38" s="1978"/>
      <c r="P38" s="1978"/>
      <c r="Q38" s="1978"/>
      <c r="R38" s="1978"/>
      <c r="S38" s="1978"/>
      <c r="T38" s="1978"/>
      <c r="U38" s="1979"/>
      <c r="V38" s="1959"/>
      <c r="W38" s="1964"/>
      <c r="X38" s="1964"/>
      <c r="Y38" s="867" t="s">
        <v>198</v>
      </c>
      <c r="Z38" s="1955" t="s">
        <v>776</v>
      </c>
      <c r="AA38" s="1955"/>
      <c r="AB38" s="1955"/>
      <c r="AC38" s="1986"/>
      <c r="AD38" s="919" t="s">
        <v>121</v>
      </c>
      <c r="AE38" s="920">
        <v>3</v>
      </c>
      <c r="AF38" s="913"/>
    </row>
    <row r="39" spans="2:37" s="594" customFormat="1" ht="38.25" customHeight="1">
      <c r="B39" s="568"/>
      <c r="C39" s="106"/>
      <c r="D39" s="106"/>
      <c r="E39" s="356"/>
      <c r="G39" s="939"/>
      <c r="H39" s="1988"/>
      <c r="I39" s="1984"/>
      <c r="J39" s="1955"/>
      <c r="K39" s="1955"/>
      <c r="L39" s="1955"/>
      <c r="M39" s="1955"/>
      <c r="N39" s="1955"/>
      <c r="O39" s="1955"/>
      <c r="P39" s="1955"/>
      <c r="Q39" s="1955"/>
      <c r="R39" s="1955"/>
      <c r="S39" s="1955"/>
      <c r="T39" s="1955"/>
      <c r="U39" s="1985"/>
      <c r="V39" s="1972"/>
      <c r="W39" s="1989"/>
      <c r="X39" s="1990"/>
      <c r="Y39" s="918" t="s">
        <v>198</v>
      </c>
      <c r="Z39" s="1955" t="s">
        <v>777</v>
      </c>
      <c r="AA39" s="1955"/>
      <c r="AB39" s="1955"/>
      <c r="AC39" s="1986"/>
      <c r="AD39" s="919" t="s">
        <v>121</v>
      </c>
      <c r="AE39" s="920" t="s">
        <v>1891</v>
      </c>
      <c r="AF39" s="913"/>
    </row>
    <row r="40" spans="2:37" s="594" customFormat="1" ht="19.5" customHeight="1">
      <c r="B40" s="568"/>
      <c r="C40" s="106"/>
      <c r="D40" s="106"/>
      <c r="E40" s="356"/>
      <c r="G40" s="224"/>
      <c r="H40" s="1956"/>
      <c r="I40" s="1977"/>
      <c r="J40" s="1978"/>
      <c r="K40" s="1978"/>
      <c r="L40" s="1978"/>
      <c r="M40" s="1978"/>
      <c r="N40" s="1978"/>
      <c r="O40" s="1978"/>
      <c r="P40" s="1978"/>
      <c r="Q40" s="1978"/>
      <c r="R40" s="1978"/>
      <c r="S40" s="1978"/>
      <c r="T40" s="1978"/>
      <c r="U40" s="1979"/>
      <c r="V40" s="1972"/>
      <c r="W40" s="1964"/>
      <c r="X40" s="1964"/>
      <c r="Y40" s="867" t="s">
        <v>198</v>
      </c>
      <c r="Z40" s="1955" t="s">
        <v>778</v>
      </c>
      <c r="AA40" s="1955"/>
      <c r="AB40" s="1955"/>
      <c r="AD40" s="919" t="s">
        <v>121</v>
      </c>
      <c r="AE40" s="920">
        <v>0</v>
      </c>
      <c r="AF40" s="913"/>
    </row>
    <row r="41" spans="2:37" s="594" customFormat="1" ht="7.5" customHeight="1">
      <c r="B41" s="568"/>
      <c r="C41" s="106"/>
      <c r="D41" s="106"/>
      <c r="E41" s="356"/>
      <c r="G41" s="900"/>
      <c r="H41" s="561"/>
      <c r="I41" s="923"/>
      <c r="J41" s="923"/>
      <c r="K41" s="923"/>
      <c r="L41" s="923"/>
      <c r="M41" s="923"/>
      <c r="N41" s="923"/>
      <c r="O41" s="923"/>
      <c r="P41" s="923"/>
      <c r="Q41" s="923"/>
      <c r="R41" s="923"/>
      <c r="S41" s="923"/>
      <c r="T41" s="923"/>
      <c r="U41" s="923"/>
      <c r="V41" s="923"/>
      <c r="W41" s="561"/>
      <c r="X41" s="561"/>
      <c r="Y41" s="924"/>
      <c r="Z41" s="934"/>
      <c r="AA41" s="934"/>
      <c r="AB41" s="561"/>
      <c r="AC41" s="561"/>
      <c r="AD41" s="938"/>
      <c r="AE41" s="926"/>
      <c r="AF41" s="913"/>
    </row>
    <row r="42" spans="2:37" s="594" customFormat="1" ht="21" customHeight="1">
      <c r="B42" s="931"/>
      <c r="C42" s="932"/>
      <c r="D42" s="932"/>
      <c r="E42" s="933"/>
      <c r="G42" s="225" t="s">
        <v>233</v>
      </c>
      <c r="H42" s="906"/>
      <c r="I42" s="927"/>
      <c r="J42" s="927"/>
      <c r="K42" s="927"/>
      <c r="L42" s="927"/>
      <c r="M42" s="927"/>
      <c r="N42" s="927"/>
      <c r="O42" s="927"/>
      <c r="P42" s="927"/>
      <c r="Q42" s="927"/>
      <c r="R42" s="927"/>
      <c r="S42" s="927"/>
      <c r="T42" s="927"/>
      <c r="U42" s="927"/>
      <c r="V42" s="927"/>
      <c r="W42" s="906"/>
      <c r="X42" s="906"/>
      <c r="Y42" s="928"/>
      <c r="Z42" s="928"/>
      <c r="AA42" s="928"/>
      <c r="AB42" s="906"/>
      <c r="AC42" s="906"/>
      <c r="AD42" s="929"/>
      <c r="AE42" s="930"/>
      <c r="AF42" s="913"/>
    </row>
    <row r="43" spans="2:37" s="594" customFormat="1" ht="42" customHeight="1">
      <c r="B43" s="931"/>
      <c r="C43" s="932"/>
      <c r="D43" s="932"/>
      <c r="E43" s="933"/>
      <c r="G43" s="224"/>
      <c r="H43" s="894" t="s">
        <v>107</v>
      </c>
      <c r="I43" s="1965" t="s">
        <v>234</v>
      </c>
      <c r="J43" s="1965"/>
      <c r="K43" s="1965"/>
      <c r="L43" s="1965"/>
      <c r="M43" s="1965"/>
      <c r="N43" s="916"/>
      <c r="O43" s="917" t="s">
        <v>235</v>
      </c>
      <c r="P43" s="1962" t="s">
        <v>198</v>
      </c>
      <c r="Q43" s="1964" t="s">
        <v>236</v>
      </c>
      <c r="R43" s="1965" t="s">
        <v>773</v>
      </c>
      <c r="S43" s="1965"/>
      <c r="T43" s="1965"/>
      <c r="U43" s="1965"/>
      <c r="V43" s="1965"/>
      <c r="W43" s="1949"/>
      <c r="X43" s="1949"/>
      <c r="Y43" s="867" t="s">
        <v>198</v>
      </c>
      <c r="Z43" s="1955" t="s">
        <v>779</v>
      </c>
      <c r="AA43" s="1955"/>
      <c r="AB43" s="1955"/>
      <c r="AC43" s="1986"/>
      <c r="AD43" s="919" t="s">
        <v>121</v>
      </c>
      <c r="AE43" s="920">
        <v>5</v>
      </c>
      <c r="AF43" s="913"/>
    </row>
    <row r="44" spans="2:37" s="594" customFormat="1" ht="40.5" customHeight="1">
      <c r="B44" s="224"/>
      <c r="E44" s="913"/>
      <c r="G44" s="224"/>
      <c r="H44" s="894" t="s">
        <v>104</v>
      </c>
      <c r="I44" s="1965" t="s">
        <v>1892</v>
      </c>
      <c r="J44" s="1965"/>
      <c r="K44" s="1965"/>
      <c r="L44" s="1965"/>
      <c r="M44" s="1965"/>
      <c r="N44" s="923"/>
      <c r="O44" s="922" t="s">
        <v>235</v>
      </c>
      <c r="P44" s="1962"/>
      <c r="Q44" s="1964"/>
      <c r="R44" s="1965"/>
      <c r="S44" s="1965"/>
      <c r="T44" s="1965"/>
      <c r="U44" s="1965"/>
      <c r="V44" s="1965"/>
      <c r="W44" s="1949"/>
      <c r="X44" s="1949"/>
      <c r="Y44" s="867" t="s">
        <v>198</v>
      </c>
      <c r="Z44" s="1955" t="s">
        <v>237</v>
      </c>
      <c r="AA44" s="1955"/>
      <c r="AB44" s="1955"/>
      <c r="AC44" s="1986"/>
      <c r="AD44" s="919" t="s">
        <v>121</v>
      </c>
      <c r="AE44" s="920">
        <v>3</v>
      </c>
      <c r="AF44" s="913"/>
    </row>
    <row r="45" spans="2:37" s="594" customFormat="1" ht="30" customHeight="1">
      <c r="B45" s="224"/>
      <c r="E45" s="913"/>
      <c r="G45" s="224"/>
      <c r="H45" s="894" t="s">
        <v>211</v>
      </c>
      <c r="I45" s="1980" t="s">
        <v>781</v>
      </c>
      <c r="J45" s="1981"/>
      <c r="K45" s="1981"/>
      <c r="L45" s="1981"/>
      <c r="M45" s="1982"/>
      <c r="N45" s="916"/>
      <c r="O45" s="917" t="s">
        <v>89</v>
      </c>
      <c r="P45" s="1962"/>
      <c r="Q45" s="1964"/>
      <c r="R45" s="1965"/>
      <c r="S45" s="1965"/>
      <c r="T45" s="1965"/>
      <c r="U45" s="1965"/>
      <c r="V45" s="1965"/>
      <c r="W45" s="1949"/>
      <c r="X45" s="1949"/>
      <c r="Y45" s="867" t="s">
        <v>198</v>
      </c>
      <c r="Z45" s="1987" t="s">
        <v>238</v>
      </c>
      <c r="AA45" s="1987"/>
      <c r="AD45" s="919" t="s">
        <v>121</v>
      </c>
      <c r="AE45" s="920">
        <v>2</v>
      </c>
      <c r="AF45" s="913"/>
    </row>
    <row r="46" spans="2:37" s="594" customFormat="1" ht="21" customHeight="1">
      <c r="B46" s="224"/>
      <c r="E46" s="913"/>
      <c r="G46" s="224"/>
      <c r="H46" s="894" t="s">
        <v>207</v>
      </c>
      <c r="I46" s="1980" t="s">
        <v>240</v>
      </c>
      <c r="J46" s="1981"/>
      <c r="K46" s="1981"/>
      <c r="L46" s="1981"/>
      <c r="M46" s="1982"/>
      <c r="N46" s="921"/>
      <c r="O46" s="922" t="s">
        <v>241</v>
      </c>
      <c r="P46" s="1962"/>
      <c r="Q46" s="1964"/>
      <c r="R46" s="1965"/>
      <c r="S46" s="1965"/>
      <c r="T46" s="1965"/>
      <c r="U46" s="1965"/>
      <c r="V46" s="1965"/>
      <c r="W46" s="1949"/>
      <c r="X46" s="1949"/>
      <c r="Y46" s="867" t="s">
        <v>198</v>
      </c>
      <c r="Z46" s="1955" t="s">
        <v>239</v>
      </c>
      <c r="AA46" s="1955"/>
      <c r="AB46" s="1955"/>
      <c r="AD46" s="919" t="s">
        <v>121</v>
      </c>
      <c r="AE46" s="920">
        <v>0</v>
      </c>
      <c r="AF46" s="913"/>
    </row>
    <row r="47" spans="2:37" s="594" customFormat="1" ht="7.5" customHeight="1">
      <c r="B47" s="224"/>
      <c r="E47" s="913"/>
      <c r="G47" s="900"/>
      <c r="H47" s="561"/>
      <c r="I47" s="923"/>
      <c r="J47" s="923"/>
      <c r="K47" s="923"/>
      <c r="L47" s="923"/>
      <c r="M47" s="923"/>
      <c r="N47" s="923"/>
      <c r="O47" s="923"/>
      <c r="P47" s="923"/>
      <c r="Q47" s="923"/>
      <c r="R47" s="923"/>
      <c r="S47" s="923"/>
      <c r="T47" s="923"/>
      <c r="U47" s="923"/>
      <c r="V47" s="923"/>
      <c r="W47" s="561"/>
      <c r="X47" s="561"/>
      <c r="Y47" s="924"/>
      <c r="Z47" s="924"/>
      <c r="AA47" s="924"/>
      <c r="AB47" s="561"/>
      <c r="AC47" s="561"/>
      <c r="AD47" s="925"/>
      <c r="AE47" s="926"/>
      <c r="AF47" s="940"/>
      <c r="AH47" s="941"/>
      <c r="AI47" s="941"/>
      <c r="AJ47" s="867"/>
      <c r="AK47" s="867"/>
    </row>
    <row r="48" spans="2:37" s="594" customFormat="1" ht="21" customHeight="1">
      <c r="B48" s="568"/>
      <c r="C48" s="106"/>
      <c r="D48" s="106"/>
      <c r="E48" s="356"/>
      <c r="G48" s="225" t="s">
        <v>242</v>
      </c>
      <c r="H48" s="906"/>
      <c r="I48" s="927"/>
      <c r="J48" s="927"/>
      <c r="K48" s="927"/>
      <c r="L48" s="927"/>
      <c r="M48" s="927"/>
      <c r="N48" s="927"/>
      <c r="O48" s="927"/>
      <c r="P48" s="927"/>
      <c r="Q48" s="927"/>
      <c r="R48" s="927"/>
      <c r="S48" s="927"/>
      <c r="T48" s="927"/>
      <c r="U48" s="927"/>
      <c r="V48" s="927"/>
      <c r="W48" s="906"/>
      <c r="X48" s="906"/>
      <c r="Y48" s="928"/>
      <c r="Z48" s="928"/>
      <c r="AA48" s="928"/>
      <c r="AB48" s="906"/>
      <c r="AC48" s="906"/>
      <c r="AD48" s="929"/>
      <c r="AE48" s="930"/>
      <c r="AF48" s="913"/>
    </row>
    <row r="49" spans="2:32" s="594" customFormat="1" ht="43.5" customHeight="1">
      <c r="B49" s="568"/>
      <c r="C49" s="106"/>
      <c r="D49" s="106"/>
      <c r="E49" s="356"/>
      <c r="G49" s="224"/>
      <c r="H49" s="894" t="s">
        <v>107</v>
      </c>
      <c r="I49" s="1965" t="s">
        <v>782</v>
      </c>
      <c r="J49" s="1965"/>
      <c r="K49" s="1965"/>
      <c r="L49" s="1965"/>
      <c r="M49" s="1965"/>
      <c r="N49" s="916"/>
      <c r="O49" s="917" t="s">
        <v>235</v>
      </c>
      <c r="P49" s="1962" t="s">
        <v>198</v>
      </c>
      <c r="Q49" s="1964" t="s">
        <v>236</v>
      </c>
      <c r="R49" s="1965" t="s">
        <v>773</v>
      </c>
      <c r="S49" s="1965"/>
      <c r="T49" s="1965"/>
      <c r="U49" s="1965"/>
      <c r="V49" s="1965"/>
      <c r="W49" s="1949"/>
      <c r="X49" s="1949"/>
      <c r="Y49" s="867" t="s">
        <v>198</v>
      </c>
      <c r="Z49" s="1955" t="s">
        <v>243</v>
      </c>
      <c r="AA49" s="1955"/>
      <c r="AB49" s="1955"/>
      <c r="AC49" s="1955"/>
      <c r="AD49" s="919" t="s">
        <v>121</v>
      </c>
      <c r="AE49" s="920">
        <v>5</v>
      </c>
      <c r="AF49" s="913"/>
    </row>
    <row r="50" spans="2:32" s="594" customFormat="1" ht="42" customHeight="1">
      <c r="B50" s="931"/>
      <c r="C50" s="932"/>
      <c r="D50" s="932"/>
      <c r="E50" s="933"/>
      <c r="G50" s="224"/>
      <c r="H50" s="894" t="s">
        <v>104</v>
      </c>
      <c r="I50" s="1965" t="s">
        <v>783</v>
      </c>
      <c r="J50" s="1965"/>
      <c r="K50" s="1965"/>
      <c r="L50" s="1965"/>
      <c r="M50" s="1965"/>
      <c r="N50" s="921"/>
      <c r="O50" s="922" t="s">
        <v>235</v>
      </c>
      <c r="P50" s="1962"/>
      <c r="Q50" s="1964"/>
      <c r="R50" s="1965"/>
      <c r="S50" s="1965"/>
      <c r="T50" s="1965"/>
      <c r="U50" s="1965"/>
      <c r="V50" s="1965"/>
      <c r="W50" s="1949"/>
      <c r="X50" s="1949"/>
      <c r="Y50" s="867" t="s">
        <v>198</v>
      </c>
      <c r="Z50" s="1955" t="s">
        <v>244</v>
      </c>
      <c r="AA50" s="1955"/>
      <c r="AB50" s="1955"/>
      <c r="AC50" s="1955"/>
      <c r="AD50" s="919" t="s">
        <v>121</v>
      </c>
      <c r="AE50" s="920">
        <v>3</v>
      </c>
      <c r="AF50" s="913"/>
    </row>
    <row r="51" spans="2:32" s="594" customFormat="1" ht="30" customHeight="1">
      <c r="B51" s="931"/>
      <c r="C51" s="932"/>
      <c r="D51" s="932"/>
      <c r="E51" s="933"/>
      <c r="G51" s="224"/>
      <c r="H51" s="894" t="s">
        <v>211</v>
      </c>
      <c r="I51" s="1980" t="s">
        <v>784</v>
      </c>
      <c r="J51" s="1981"/>
      <c r="K51" s="1981"/>
      <c r="L51" s="1981"/>
      <c r="M51" s="1982"/>
      <c r="N51" s="916"/>
      <c r="O51" s="917" t="s">
        <v>89</v>
      </c>
      <c r="P51" s="1962"/>
      <c r="Q51" s="1964"/>
      <c r="R51" s="1965"/>
      <c r="S51" s="1965"/>
      <c r="T51" s="1965"/>
      <c r="U51" s="1965"/>
      <c r="V51" s="1965"/>
      <c r="W51" s="1949"/>
      <c r="X51" s="1949"/>
      <c r="Y51" s="867" t="s">
        <v>198</v>
      </c>
      <c r="Z51" s="1955" t="s">
        <v>245</v>
      </c>
      <c r="AA51" s="1955"/>
      <c r="AB51" s="1955"/>
      <c r="AC51" s="1955"/>
      <c r="AD51" s="919" t="s">
        <v>121</v>
      </c>
      <c r="AE51" s="920">
        <v>0</v>
      </c>
      <c r="AF51" s="913"/>
    </row>
    <row r="52" spans="2:32" s="594" customFormat="1" ht="25.5" customHeight="1">
      <c r="B52" s="931"/>
      <c r="C52" s="932"/>
      <c r="D52" s="932"/>
      <c r="E52" s="933"/>
      <c r="G52" s="224"/>
      <c r="H52" s="894" t="s">
        <v>207</v>
      </c>
      <c r="I52" s="1980" t="s">
        <v>246</v>
      </c>
      <c r="J52" s="1981"/>
      <c r="K52" s="1981"/>
      <c r="L52" s="1981"/>
      <c r="M52" s="1982"/>
      <c r="N52" s="921"/>
      <c r="O52" s="922" t="s">
        <v>241</v>
      </c>
      <c r="P52" s="1962"/>
      <c r="Q52" s="1964"/>
      <c r="R52" s="1965"/>
      <c r="S52" s="1965"/>
      <c r="T52" s="1965"/>
      <c r="U52" s="1965"/>
      <c r="V52" s="1965"/>
      <c r="W52" s="1949"/>
      <c r="X52" s="1949"/>
      <c r="Y52" s="867"/>
      <c r="Z52" s="1983"/>
      <c r="AA52" s="1983"/>
      <c r="AD52" s="942"/>
      <c r="AE52" s="920"/>
      <c r="AF52" s="913"/>
    </row>
    <row r="53" spans="2:32" s="594" customFormat="1" ht="6.75" customHeight="1">
      <c r="B53" s="931"/>
      <c r="C53" s="932"/>
      <c r="D53" s="932"/>
      <c r="E53" s="933"/>
      <c r="G53" s="900"/>
      <c r="H53" s="561"/>
      <c r="I53" s="923"/>
      <c r="J53" s="923"/>
      <c r="K53" s="923"/>
      <c r="L53" s="923"/>
      <c r="M53" s="923"/>
      <c r="N53" s="923"/>
      <c r="O53" s="923"/>
      <c r="P53" s="923"/>
      <c r="Q53" s="923"/>
      <c r="R53" s="923"/>
      <c r="S53" s="923"/>
      <c r="T53" s="923"/>
      <c r="U53" s="923"/>
      <c r="V53" s="923"/>
      <c r="W53" s="561"/>
      <c r="X53" s="561"/>
      <c r="Y53" s="924"/>
      <c r="Z53" s="924"/>
      <c r="AA53" s="924"/>
      <c r="AB53" s="561"/>
      <c r="AC53" s="561"/>
      <c r="AD53" s="925"/>
      <c r="AE53" s="926"/>
      <c r="AF53" s="913"/>
    </row>
    <row r="54" spans="2:32" s="594" customFormat="1" ht="21" customHeight="1">
      <c r="B54" s="931"/>
      <c r="C54" s="932"/>
      <c r="D54" s="932"/>
      <c r="E54" s="933"/>
      <c r="G54" s="225" t="s">
        <v>247</v>
      </c>
      <c r="H54" s="906"/>
      <c r="I54" s="927"/>
      <c r="J54" s="927"/>
      <c r="K54" s="927"/>
      <c r="L54" s="927"/>
      <c r="M54" s="927"/>
      <c r="N54" s="927"/>
      <c r="O54" s="927"/>
      <c r="P54" s="927"/>
      <c r="Q54" s="927"/>
      <c r="R54" s="927"/>
      <c r="S54" s="927"/>
      <c r="T54" s="927"/>
      <c r="U54" s="927"/>
      <c r="V54" s="927"/>
      <c r="W54" s="906"/>
      <c r="X54" s="906"/>
      <c r="Y54" s="928"/>
      <c r="Z54" s="928"/>
      <c r="AA54" s="928"/>
      <c r="AB54" s="906"/>
      <c r="AC54" s="906"/>
      <c r="AD54" s="929"/>
      <c r="AE54" s="930"/>
      <c r="AF54" s="913"/>
    </row>
    <row r="55" spans="2:32" s="594" customFormat="1" ht="30" customHeight="1">
      <c r="B55" s="224"/>
      <c r="E55" s="913"/>
      <c r="G55" s="224"/>
      <c r="H55" s="894" t="s">
        <v>107</v>
      </c>
      <c r="I55" s="1965" t="s">
        <v>248</v>
      </c>
      <c r="J55" s="1965"/>
      <c r="K55" s="1965"/>
      <c r="L55" s="1965"/>
      <c r="M55" s="1965"/>
      <c r="N55" s="943"/>
      <c r="O55" s="917" t="s">
        <v>241</v>
      </c>
      <c r="P55" s="1972" t="s">
        <v>198</v>
      </c>
      <c r="Q55" s="1964" t="s">
        <v>211</v>
      </c>
      <c r="R55" s="1974" t="s">
        <v>774</v>
      </c>
      <c r="S55" s="1975"/>
      <c r="T55" s="1975"/>
      <c r="U55" s="1975"/>
      <c r="V55" s="1976"/>
      <c r="W55" s="1966"/>
      <c r="X55" s="1969" t="s">
        <v>60</v>
      </c>
      <c r="Y55" s="867" t="s">
        <v>198</v>
      </c>
      <c r="Z55" s="1955" t="s">
        <v>249</v>
      </c>
      <c r="AA55" s="1955"/>
      <c r="AB55" s="1955"/>
      <c r="AC55" s="1955"/>
      <c r="AD55" s="919" t="s">
        <v>121</v>
      </c>
      <c r="AE55" s="920">
        <v>5</v>
      </c>
      <c r="AF55" s="913"/>
    </row>
    <row r="56" spans="2:32" s="594" customFormat="1" ht="19.5" customHeight="1">
      <c r="B56" s="224"/>
      <c r="E56" s="913"/>
      <c r="G56" s="224"/>
      <c r="H56" s="1956" t="s">
        <v>104</v>
      </c>
      <c r="I56" s="1974" t="s">
        <v>250</v>
      </c>
      <c r="J56" s="1975"/>
      <c r="K56" s="1975"/>
      <c r="L56" s="1975"/>
      <c r="M56" s="1976"/>
      <c r="N56" s="1958"/>
      <c r="O56" s="1960" t="s">
        <v>241</v>
      </c>
      <c r="P56" s="1973"/>
      <c r="Q56" s="1964"/>
      <c r="R56" s="1984"/>
      <c r="S56" s="1955"/>
      <c r="T56" s="1955"/>
      <c r="U56" s="1955"/>
      <c r="V56" s="1985"/>
      <c r="W56" s="1967"/>
      <c r="X56" s="1970"/>
      <c r="Y56" s="867" t="s">
        <v>198</v>
      </c>
      <c r="Z56" s="1955" t="s">
        <v>251</v>
      </c>
      <c r="AA56" s="1955"/>
      <c r="AB56" s="1955"/>
      <c r="AC56" s="1955"/>
      <c r="AD56" s="919" t="s">
        <v>121</v>
      </c>
      <c r="AE56" s="920">
        <v>3</v>
      </c>
      <c r="AF56" s="913"/>
    </row>
    <row r="57" spans="2:32" s="594" customFormat="1" ht="19.5" customHeight="1">
      <c r="B57" s="224"/>
      <c r="E57" s="913"/>
      <c r="G57" s="224"/>
      <c r="H57" s="1956"/>
      <c r="I57" s="1977"/>
      <c r="J57" s="1978"/>
      <c r="K57" s="1978"/>
      <c r="L57" s="1978"/>
      <c r="M57" s="1979"/>
      <c r="N57" s="1959"/>
      <c r="O57" s="1961"/>
      <c r="P57" s="590"/>
      <c r="Q57" s="1964"/>
      <c r="R57" s="1977"/>
      <c r="S57" s="1978"/>
      <c r="T57" s="1978"/>
      <c r="U57" s="1978"/>
      <c r="V57" s="1979"/>
      <c r="W57" s="1968"/>
      <c r="X57" s="1971"/>
      <c r="Y57" s="867" t="s">
        <v>198</v>
      </c>
      <c r="Z57" s="1955" t="s">
        <v>252</v>
      </c>
      <c r="AA57" s="1955"/>
      <c r="AB57" s="1955"/>
      <c r="AC57" s="1955"/>
      <c r="AD57" s="919" t="s">
        <v>121</v>
      </c>
      <c r="AE57" s="920">
        <v>0</v>
      </c>
      <c r="AF57" s="913"/>
    </row>
    <row r="58" spans="2:32" s="594" customFormat="1" ht="7.5" customHeight="1">
      <c r="B58" s="224"/>
      <c r="E58" s="913"/>
      <c r="G58" s="900"/>
      <c r="H58" s="893"/>
      <c r="I58" s="935"/>
      <c r="J58" s="935"/>
      <c r="K58" s="935"/>
      <c r="L58" s="935"/>
      <c r="M58" s="935"/>
      <c r="N58" s="923"/>
      <c r="O58" s="936"/>
      <c r="P58" s="923"/>
      <c r="Q58" s="923"/>
      <c r="R58" s="923"/>
      <c r="S58" s="923"/>
      <c r="T58" s="923"/>
      <c r="U58" s="923"/>
      <c r="V58" s="923"/>
      <c r="W58" s="561"/>
      <c r="X58" s="561"/>
      <c r="Y58" s="924"/>
      <c r="Z58" s="934"/>
      <c r="AA58" s="934"/>
      <c r="AB58" s="561"/>
      <c r="AC58" s="561"/>
      <c r="AD58" s="938"/>
      <c r="AE58" s="926"/>
      <c r="AF58" s="913"/>
    </row>
    <row r="59" spans="2:32" s="594" customFormat="1" ht="21" customHeight="1">
      <c r="B59" s="568"/>
      <c r="C59" s="106"/>
      <c r="D59" s="106"/>
      <c r="E59" s="356"/>
      <c r="G59" s="225" t="s">
        <v>253</v>
      </c>
      <c r="H59" s="891"/>
      <c r="I59" s="944"/>
      <c r="J59" s="944"/>
      <c r="K59" s="944"/>
      <c r="L59" s="944"/>
      <c r="M59" s="944"/>
      <c r="N59" s="945"/>
      <c r="O59" s="927"/>
      <c r="P59" s="927"/>
      <c r="Q59" s="927"/>
      <c r="R59" s="927"/>
      <c r="S59" s="927"/>
      <c r="T59" s="927"/>
      <c r="U59" s="927"/>
      <c r="V59" s="927"/>
      <c r="W59" s="906"/>
      <c r="X59" s="906"/>
      <c r="Y59" s="928"/>
      <c r="Z59" s="928"/>
      <c r="AA59" s="928"/>
      <c r="AB59" s="906"/>
      <c r="AC59" s="906"/>
      <c r="AD59" s="929"/>
      <c r="AE59" s="930"/>
      <c r="AF59" s="913"/>
    </row>
    <row r="60" spans="2:32" s="594" customFormat="1" ht="48.75" customHeight="1">
      <c r="B60" s="568"/>
      <c r="C60" s="106"/>
      <c r="D60" s="106"/>
      <c r="E60" s="356"/>
      <c r="G60" s="224"/>
      <c r="H60" s="894" t="s">
        <v>107</v>
      </c>
      <c r="I60" s="1957" t="s">
        <v>1893</v>
      </c>
      <c r="J60" s="1957"/>
      <c r="K60" s="1957"/>
      <c r="L60" s="1957"/>
      <c r="M60" s="1957"/>
      <c r="N60" s="943"/>
      <c r="O60" s="917" t="s">
        <v>89</v>
      </c>
      <c r="P60" s="1972" t="s">
        <v>198</v>
      </c>
      <c r="Q60" s="1964" t="s">
        <v>211</v>
      </c>
      <c r="R60" s="1965" t="s">
        <v>774</v>
      </c>
      <c r="S60" s="1965"/>
      <c r="T60" s="1965"/>
      <c r="U60" s="1965"/>
      <c r="V60" s="1965"/>
      <c r="W60" s="1966"/>
      <c r="X60" s="1969" t="s">
        <v>60</v>
      </c>
      <c r="Y60" s="867" t="s">
        <v>198</v>
      </c>
      <c r="Z60" s="1955" t="s">
        <v>216</v>
      </c>
      <c r="AA60" s="1955"/>
      <c r="AB60" s="1955"/>
      <c r="AC60" s="1955"/>
      <c r="AD60" s="919" t="s">
        <v>121</v>
      </c>
      <c r="AE60" s="920">
        <v>5</v>
      </c>
      <c r="AF60" s="913"/>
    </row>
    <row r="61" spans="2:32" s="594" customFormat="1" ht="19.5" customHeight="1">
      <c r="B61" s="568"/>
      <c r="C61" s="106"/>
      <c r="D61" s="106"/>
      <c r="E61" s="356"/>
      <c r="G61" s="224"/>
      <c r="H61" s="1956" t="s">
        <v>104</v>
      </c>
      <c r="I61" s="1957" t="s">
        <v>254</v>
      </c>
      <c r="J61" s="1957"/>
      <c r="K61" s="1957"/>
      <c r="L61" s="1957"/>
      <c r="M61" s="1957"/>
      <c r="N61" s="1958"/>
      <c r="O61" s="1960" t="s">
        <v>89</v>
      </c>
      <c r="P61" s="1973"/>
      <c r="Q61" s="1964"/>
      <c r="R61" s="1965"/>
      <c r="S61" s="1965"/>
      <c r="T61" s="1965"/>
      <c r="U61" s="1965"/>
      <c r="V61" s="1965"/>
      <c r="W61" s="1967"/>
      <c r="X61" s="1970"/>
      <c r="Y61" s="867" t="s">
        <v>198</v>
      </c>
      <c r="Z61" s="1955" t="s">
        <v>218</v>
      </c>
      <c r="AA61" s="1955"/>
      <c r="AB61" s="1955"/>
      <c r="AC61" s="1955"/>
      <c r="AD61" s="919" t="s">
        <v>121</v>
      </c>
      <c r="AE61" s="920">
        <v>3</v>
      </c>
      <c r="AF61" s="913"/>
    </row>
    <row r="62" spans="2:32" s="594" customFormat="1" ht="19.5" customHeight="1">
      <c r="B62" s="568"/>
      <c r="C62" s="106"/>
      <c r="D62" s="106"/>
      <c r="E62" s="356"/>
      <c r="G62" s="224"/>
      <c r="H62" s="1956"/>
      <c r="I62" s="1957"/>
      <c r="J62" s="1957"/>
      <c r="K62" s="1957"/>
      <c r="L62" s="1957"/>
      <c r="M62" s="1957"/>
      <c r="N62" s="1959"/>
      <c r="O62" s="1961"/>
      <c r="P62" s="590"/>
      <c r="Q62" s="1964"/>
      <c r="R62" s="1965"/>
      <c r="S62" s="1965"/>
      <c r="T62" s="1965"/>
      <c r="U62" s="1965"/>
      <c r="V62" s="1965"/>
      <c r="W62" s="1968"/>
      <c r="X62" s="1971"/>
      <c r="Y62" s="867" t="s">
        <v>198</v>
      </c>
      <c r="Z62" s="1955" t="s">
        <v>220</v>
      </c>
      <c r="AA62" s="1955"/>
      <c r="AB62" s="1955"/>
      <c r="AC62" s="1955"/>
      <c r="AD62" s="919" t="s">
        <v>121</v>
      </c>
      <c r="AE62" s="920">
        <v>0</v>
      </c>
      <c r="AF62" s="913"/>
    </row>
    <row r="63" spans="2:32" s="594" customFormat="1" ht="7.5" customHeight="1">
      <c r="B63" s="568"/>
      <c r="C63" s="106"/>
      <c r="D63" s="106"/>
      <c r="E63" s="356"/>
      <c r="G63" s="900"/>
      <c r="H63" s="893"/>
      <c r="I63" s="935"/>
      <c r="J63" s="935"/>
      <c r="K63" s="935"/>
      <c r="L63" s="935"/>
      <c r="M63" s="935"/>
      <c r="N63" s="923"/>
      <c r="O63" s="936"/>
      <c r="P63" s="923"/>
      <c r="Q63" s="934"/>
      <c r="R63" s="935"/>
      <c r="S63" s="935"/>
      <c r="T63" s="935"/>
      <c r="U63" s="935"/>
      <c r="V63" s="935"/>
      <c r="W63" s="561"/>
      <c r="X63" s="924"/>
      <c r="Y63" s="561"/>
      <c r="Z63" s="561"/>
      <c r="AA63" s="561"/>
      <c r="AB63" s="561"/>
      <c r="AC63" s="561"/>
      <c r="AD63" s="946"/>
      <c r="AE63" s="926"/>
      <c r="AF63" s="913"/>
    </row>
    <row r="64" spans="2:32" s="594" customFormat="1" ht="21" customHeight="1">
      <c r="B64" s="931"/>
      <c r="C64" s="932"/>
      <c r="D64" s="932"/>
      <c r="E64" s="933"/>
      <c r="G64" s="225" t="s">
        <v>255</v>
      </c>
      <c r="H64" s="906"/>
      <c r="I64" s="927"/>
      <c r="J64" s="927"/>
      <c r="K64" s="927"/>
      <c r="L64" s="927"/>
      <c r="M64" s="927"/>
      <c r="N64" s="927"/>
      <c r="O64" s="927"/>
      <c r="P64" s="927"/>
      <c r="Q64" s="927"/>
      <c r="R64" s="927"/>
      <c r="S64" s="927"/>
      <c r="T64" s="927"/>
      <c r="U64" s="927"/>
      <c r="V64" s="927"/>
      <c r="W64" s="906"/>
      <c r="X64" s="906"/>
      <c r="Y64" s="906"/>
      <c r="Z64" s="906"/>
      <c r="AA64" s="906"/>
      <c r="AB64" s="906"/>
      <c r="AC64" s="906"/>
      <c r="AD64" s="947"/>
      <c r="AE64" s="930"/>
      <c r="AF64" s="913"/>
    </row>
    <row r="65" spans="2:32" s="594" customFormat="1" ht="48.75" customHeight="1">
      <c r="B65" s="931"/>
      <c r="C65" s="932"/>
      <c r="D65" s="932"/>
      <c r="E65" s="933"/>
      <c r="G65" s="224"/>
      <c r="H65" s="894" t="s">
        <v>107</v>
      </c>
      <c r="I65" s="1957" t="s">
        <v>786</v>
      </c>
      <c r="J65" s="1957"/>
      <c r="K65" s="1957"/>
      <c r="L65" s="1957"/>
      <c r="M65" s="1957"/>
      <c r="N65" s="943"/>
      <c r="O65" s="917" t="s">
        <v>89</v>
      </c>
      <c r="P65" s="1962" t="s">
        <v>198</v>
      </c>
      <c r="Q65" s="1964" t="s">
        <v>211</v>
      </c>
      <c r="R65" s="1965" t="s">
        <v>774</v>
      </c>
      <c r="S65" s="1965"/>
      <c r="T65" s="1965"/>
      <c r="U65" s="1965"/>
      <c r="V65" s="1965"/>
      <c r="W65" s="1966"/>
      <c r="X65" s="1969" t="s">
        <v>60</v>
      </c>
      <c r="Y65" s="867" t="s">
        <v>198</v>
      </c>
      <c r="Z65" s="1955" t="s">
        <v>216</v>
      </c>
      <c r="AA65" s="1955"/>
      <c r="AB65" s="1955"/>
      <c r="AC65" s="1955"/>
      <c r="AD65" s="919" t="s">
        <v>121</v>
      </c>
      <c r="AE65" s="920">
        <v>5</v>
      </c>
      <c r="AF65" s="913"/>
    </row>
    <row r="66" spans="2:32" s="594" customFormat="1" ht="19.5" customHeight="1">
      <c r="B66" s="931"/>
      <c r="C66" s="932"/>
      <c r="D66" s="932"/>
      <c r="E66" s="933"/>
      <c r="G66" s="224"/>
      <c r="H66" s="1956" t="s">
        <v>104</v>
      </c>
      <c r="I66" s="1957" t="s">
        <v>254</v>
      </c>
      <c r="J66" s="1957"/>
      <c r="K66" s="1957"/>
      <c r="L66" s="1957"/>
      <c r="M66" s="1957"/>
      <c r="N66" s="1958"/>
      <c r="O66" s="1960" t="s">
        <v>89</v>
      </c>
      <c r="P66" s="1963"/>
      <c r="Q66" s="1964"/>
      <c r="R66" s="1965"/>
      <c r="S66" s="1965"/>
      <c r="T66" s="1965"/>
      <c r="U66" s="1965"/>
      <c r="V66" s="1965"/>
      <c r="W66" s="1967"/>
      <c r="X66" s="1970"/>
      <c r="Y66" s="918" t="s">
        <v>198</v>
      </c>
      <c r="Z66" s="1955" t="s">
        <v>218</v>
      </c>
      <c r="AA66" s="1955"/>
      <c r="AB66" s="1955"/>
      <c r="AC66" s="1955"/>
      <c r="AD66" s="919" t="s">
        <v>121</v>
      </c>
      <c r="AE66" s="920">
        <v>3</v>
      </c>
      <c r="AF66" s="913"/>
    </row>
    <row r="67" spans="2:32" s="594" customFormat="1" ht="19.5" customHeight="1">
      <c r="B67" s="931"/>
      <c r="C67" s="932"/>
      <c r="D67" s="932"/>
      <c r="E67" s="933"/>
      <c r="G67" s="224"/>
      <c r="H67" s="1956"/>
      <c r="I67" s="1957"/>
      <c r="J67" s="1957"/>
      <c r="K67" s="1957"/>
      <c r="L67" s="1957"/>
      <c r="M67" s="1957"/>
      <c r="N67" s="1959"/>
      <c r="O67" s="1961"/>
      <c r="P67" s="590"/>
      <c r="Q67" s="1964"/>
      <c r="R67" s="1965"/>
      <c r="S67" s="1965"/>
      <c r="T67" s="1965"/>
      <c r="U67" s="1965"/>
      <c r="V67" s="1965"/>
      <c r="W67" s="1968"/>
      <c r="X67" s="1971"/>
      <c r="Y67" s="918" t="s">
        <v>198</v>
      </c>
      <c r="Z67" s="1955" t="s">
        <v>220</v>
      </c>
      <c r="AA67" s="1955"/>
      <c r="AB67" s="1955"/>
      <c r="AC67" s="1955"/>
      <c r="AD67" s="919" t="s">
        <v>121</v>
      </c>
      <c r="AE67" s="920">
        <v>0</v>
      </c>
      <c r="AF67" s="913"/>
    </row>
    <row r="68" spans="2:32" s="594" customFormat="1" ht="7.5" customHeight="1" thickBot="1">
      <c r="B68" s="931"/>
      <c r="C68" s="932"/>
      <c r="D68" s="932"/>
      <c r="E68" s="933"/>
      <c r="G68" s="900"/>
      <c r="H68" s="893"/>
      <c r="I68" s="935"/>
      <c r="J68" s="935"/>
      <c r="K68" s="935"/>
      <c r="L68" s="935"/>
      <c r="M68" s="935"/>
      <c r="N68" s="561"/>
      <c r="O68" s="924"/>
      <c r="P68" s="561"/>
      <c r="Q68" s="893"/>
      <c r="R68" s="935"/>
      <c r="S68" s="935"/>
      <c r="T68" s="935"/>
      <c r="U68" s="935"/>
      <c r="V68" s="935"/>
      <c r="W68" s="924"/>
      <c r="X68" s="924"/>
      <c r="Y68" s="924"/>
      <c r="Z68" s="934"/>
      <c r="AA68" s="934"/>
      <c r="AB68" s="561"/>
      <c r="AC68" s="561"/>
      <c r="AD68" s="948"/>
      <c r="AE68" s="949"/>
      <c r="AF68" s="913"/>
    </row>
    <row r="69" spans="2:32" s="594" customFormat="1" ht="24.75" customHeight="1" thickBot="1">
      <c r="B69" s="931"/>
      <c r="C69" s="932"/>
      <c r="D69" s="932"/>
      <c r="E69" s="933"/>
      <c r="H69" s="87"/>
      <c r="I69" s="941"/>
      <c r="J69" s="941"/>
      <c r="K69" s="941"/>
      <c r="L69" s="941"/>
      <c r="M69" s="941"/>
      <c r="O69" s="867"/>
      <c r="Q69" s="87"/>
      <c r="R69" s="941"/>
      <c r="S69" s="941"/>
      <c r="T69" s="941"/>
      <c r="U69" s="941"/>
      <c r="V69" s="941"/>
      <c r="W69" s="867"/>
      <c r="X69" s="867"/>
      <c r="Y69" s="867"/>
      <c r="Z69" s="950"/>
      <c r="AA69" s="950"/>
      <c r="AB69" s="924"/>
      <c r="AC69" s="924"/>
      <c r="AD69" s="1948" t="s">
        <v>256</v>
      </c>
      <c r="AE69" s="1948"/>
      <c r="AF69" s="913"/>
    </row>
    <row r="70" spans="2:32" s="594" customFormat="1" ht="15" customHeight="1">
      <c r="B70" s="224"/>
      <c r="E70" s="913"/>
      <c r="I70" s="1949" t="s">
        <v>257</v>
      </c>
      <c r="J70" s="1949"/>
      <c r="K70" s="1949"/>
      <c r="L70" s="1949"/>
      <c r="M70" s="1949"/>
      <c r="N70" s="1949"/>
      <c r="O70" s="1949"/>
      <c r="P70" s="1949"/>
      <c r="Q70" s="1949"/>
      <c r="R70" s="1949"/>
      <c r="S70" s="1949"/>
      <c r="T70" s="1949"/>
      <c r="U70" s="1949"/>
      <c r="V70" s="1949"/>
      <c r="W70" s="1949"/>
      <c r="X70" s="1949"/>
      <c r="Y70" s="1949"/>
      <c r="Z70" s="1949"/>
      <c r="AA70" s="1949"/>
      <c r="AB70" s="1949" t="s">
        <v>664</v>
      </c>
      <c r="AC70" s="1950"/>
      <c r="AD70" s="1951"/>
      <c r="AE70" s="1952"/>
      <c r="AF70" s="913"/>
    </row>
    <row r="71" spans="2:32" s="594" customFormat="1" ht="15" customHeight="1" thickBot="1">
      <c r="B71" s="224"/>
      <c r="E71" s="913"/>
      <c r="H71" s="87"/>
      <c r="I71" s="1949"/>
      <c r="J71" s="1949"/>
      <c r="K71" s="1949"/>
      <c r="L71" s="1949"/>
      <c r="M71" s="1949"/>
      <c r="N71" s="1949"/>
      <c r="O71" s="1949"/>
      <c r="P71" s="1949"/>
      <c r="Q71" s="1949"/>
      <c r="R71" s="1949"/>
      <c r="S71" s="1949"/>
      <c r="T71" s="1949"/>
      <c r="U71" s="1949"/>
      <c r="V71" s="1949"/>
      <c r="W71" s="1949"/>
      <c r="X71" s="1949"/>
      <c r="Y71" s="1949"/>
      <c r="Z71" s="1949"/>
      <c r="AA71" s="1949"/>
      <c r="AB71" s="1949"/>
      <c r="AC71" s="1950"/>
      <c r="AD71" s="1953"/>
      <c r="AE71" s="1954"/>
      <c r="AF71" s="913"/>
    </row>
    <row r="72" spans="2:32" s="594" customFormat="1" ht="7.5" customHeight="1">
      <c r="B72" s="900"/>
      <c r="C72" s="561"/>
      <c r="D72" s="561"/>
      <c r="E72" s="562"/>
      <c r="F72" s="561"/>
      <c r="G72" s="561"/>
      <c r="H72" s="893"/>
      <c r="I72" s="893"/>
      <c r="J72" s="893"/>
      <c r="K72" s="561"/>
      <c r="L72" s="935"/>
      <c r="M72" s="935"/>
      <c r="N72" s="924"/>
      <c r="O72" s="924"/>
      <c r="P72" s="924"/>
      <c r="Q72" s="924"/>
      <c r="R72" s="924"/>
      <c r="S72" s="924"/>
      <c r="T72" s="924"/>
      <c r="U72" s="924"/>
      <c r="V72" s="924"/>
      <c r="W72" s="924"/>
      <c r="X72" s="924"/>
      <c r="Y72" s="924"/>
      <c r="Z72" s="924"/>
      <c r="AA72" s="924"/>
      <c r="AB72" s="924"/>
      <c r="AC72" s="924"/>
      <c r="AD72" s="951"/>
      <c r="AE72" s="924"/>
      <c r="AF72" s="562"/>
    </row>
    <row r="73" spans="2:32" s="594" customFormat="1" ht="5.25" customHeight="1"/>
    <row r="74" spans="2:32" s="594" customFormat="1" ht="22.5" customHeight="1">
      <c r="B74" s="225" t="s">
        <v>258</v>
      </c>
      <c r="C74" s="906"/>
      <c r="D74" s="906"/>
      <c r="E74" s="906"/>
      <c r="F74" s="906"/>
      <c r="G74" s="906"/>
      <c r="H74" s="906"/>
      <c r="I74" s="906"/>
      <c r="J74" s="906"/>
      <c r="K74" s="906"/>
      <c r="L74" s="906"/>
      <c r="M74" s="906"/>
      <c r="N74" s="906"/>
      <c r="O74" s="906"/>
      <c r="P74" s="906"/>
      <c r="Q74" s="906"/>
      <c r="R74" s="906"/>
      <c r="S74" s="906"/>
      <c r="T74" s="906"/>
      <c r="U74" s="906"/>
      <c r="V74" s="906"/>
      <c r="W74" s="906"/>
      <c r="X74" s="906"/>
      <c r="Y74" s="906"/>
      <c r="Z74" s="906"/>
      <c r="AA74" s="906"/>
      <c r="AB74" s="906"/>
      <c r="AC74" s="906"/>
      <c r="AD74" s="906"/>
      <c r="AE74" s="906"/>
      <c r="AF74" s="911"/>
    </row>
    <row r="75" spans="2:32" s="594" customFormat="1" ht="7.5" customHeight="1">
      <c r="B75" s="224"/>
      <c r="C75" s="225"/>
      <c r="D75" s="906"/>
      <c r="E75" s="906"/>
      <c r="F75" s="911"/>
      <c r="G75" s="906"/>
      <c r="H75" s="906"/>
      <c r="I75" s="906"/>
      <c r="J75" s="906"/>
      <c r="K75" s="906"/>
      <c r="L75" s="906"/>
      <c r="M75" s="906"/>
      <c r="N75" s="906"/>
      <c r="O75" s="906"/>
      <c r="P75" s="906"/>
      <c r="Q75" s="906"/>
      <c r="R75" s="906"/>
      <c r="S75" s="906"/>
      <c r="T75" s="906"/>
      <c r="U75" s="906"/>
      <c r="V75" s="906"/>
      <c r="W75" s="906"/>
      <c r="X75" s="906"/>
      <c r="Y75" s="906"/>
      <c r="Z75" s="906"/>
      <c r="AA75" s="906"/>
      <c r="AB75" s="906"/>
      <c r="AC75" s="225"/>
      <c r="AD75" s="906"/>
      <c r="AE75" s="911"/>
      <c r="AF75" s="913"/>
    </row>
    <row r="76" spans="2:32" s="594" customFormat="1" ht="17.25" customHeight="1">
      <c r="B76" s="224"/>
      <c r="C76" s="224"/>
      <c r="F76" s="913"/>
      <c r="J76" s="561"/>
      <c r="K76" s="561"/>
      <c r="L76" s="561"/>
      <c r="M76" s="561"/>
      <c r="N76" s="561"/>
      <c r="O76" s="561"/>
      <c r="P76" s="561"/>
      <c r="Q76" s="561"/>
      <c r="R76" s="561"/>
      <c r="S76" s="561"/>
      <c r="T76" s="561"/>
      <c r="U76" s="561"/>
      <c r="V76" s="561"/>
      <c r="W76" s="561"/>
      <c r="X76" s="561"/>
      <c r="Y76" s="561"/>
      <c r="Z76" s="561"/>
      <c r="AA76" s="561"/>
      <c r="AC76" s="952" t="s">
        <v>1118</v>
      </c>
      <c r="AD76" s="953" t="s">
        <v>440</v>
      </c>
      <c r="AE76" s="954" t="s">
        <v>674</v>
      </c>
      <c r="AF76" s="913"/>
    </row>
    <row r="77" spans="2:32" s="594" customFormat="1" ht="27" customHeight="1">
      <c r="B77" s="224"/>
      <c r="C77" s="1944" t="s">
        <v>259</v>
      </c>
      <c r="D77" s="1942"/>
      <c r="E77" s="1942"/>
      <c r="F77" s="1945"/>
      <c r="G77" s="106"/>
      <c r="H77" s="106"/>
      <c r="J77" s="894" t="s">
        <v>107</v>
      </c>
      <c r="K77" s="1943" t="s">
        <v>260</v>
      </c>
      <c r="L77" s="1943"/>
      <c r="M77" s="1943"/>
      <c r="N77" s="1943"/>
      <c r="O77" s="1943"/>
      <c r="P77" s="1943"/>
      <c r="Q77" s="1943"/>
      <c r="R77" s="1943"/>
      <c r="S77" s="1943"/>
      <c r="T77" s="1943"/>
      <c r="U77" s="1943"/>
      <c r="V77" s="1943"/>
      <c r="W77" s="1943"/>
      <c r="X77" s="1943"/>
      <c r="Y77" s="1943"/>
      <c r="Z77" s="1943"/>
      <c r="AA77" s="1943"/>
      <c r="AB77" s="100"/>
      <c r="AC77" s="955" t="s">
        <v>121</v>
      </c>
      <c r="AD77" s="903" t="s">
        <v>440</v>
      </c>
      <c r="AE77" s="956" t="s">
        <v>121</v>
      </c>
      <c r="AF77" s="913"/>
    </row>
    <row r="78" spans="2:32" s="594" customFormat="1" ht="27" customHeight="1">
      <c r="B78" s="224"/>
      <c r="C78" s="931"/>
      <c r="D78" s="932"/>
      <c r="E78" s="932"/>
      <c r="F78" s="933"/>
      <c r="G78" s="106"/>
      <c r="H78" s="106"/>
      <c r="J78" s="894" t="s">
        <v>104</v>
      </c>
      <c r="K78" s="1943" t="s">
        <v>787</v>
      </c>
      <c r="L78" s="1943"/>
      <c r="M78" s="1943"/>
      <c r="N78" s="1943"/>
      <c r="O78" s="1943"/>
      <c r="P78" s="1943"/>
      <c r="Q78" s="1943"/>
      <c r="R78" s="1943"/>
      <c r="S78" s="1943"/>
      <c r="T78" s="1943"/>
      <c r="U78" s="1943"/>
      <c r="V78" s="1943"/>
      <c r="W78" s="1943"/>
      <c r="X78" s="1943"/>
      <c r="Y78" s="1943"/>
      <c r="Z78" s="1943"/>
      <c r="AA78" s="1943"/>
      <c r="AB78" s="100"/>
      <c r="AC78" s="955" t="s">
        <v>121</v>
      </c>
      <c r="AD78" s="903" t="s">
        <v>440</v>
      </c>
      <c r="AE78" s="956" t="s">
        <v>121</v>
      </c>
      <c r="AF78" s="566"/>
    </row>
    <row r="79" spans="2:32" s="594" customFormat="1" ht="27" customHeight="1">
      <c r="B79" s="224"/>
      <c r="C79" s="931"/>
      <c r="D79" s="932"/>
      <c r="E79" s="932"/>
      <c r="F79" s="933"/>
      <c r="G79" s="106"/>
      <c r="H79" s="106"/>
      <c r="J79" s="894" t="s">
        <v>211</v>
      </c>
      <c r="K79" s="1943" t="s">
        <v>788</v>
      </c>
      <c r="L79" s="1943"/>
      <c r="M79" s="1943"/>
      <c r="N79" s="1943"/>
      <c r="O79" s="1943"/>
      <c r="P79" s="1943"/>
      <c r="Q79" s="1943"/>
      <c r="R79" s="1943"/>
      <c r="S79" s="1943"/>
      <c r="T79" s="1943"/>
      <c r="U79" s="1943"/>
      <c r="V79" s="1943"/>
      <c r="W79" s="1943"/>
      <c r="X79" s="1943"/>
      <c r="Y79" s="1943"/>
      <c r="Z79" s="1943"/>
      <c r="AA79" s="1943"/>
      <c r="AB79" s="100"/>
      <c r="AC79" s="955" t="s">
        <v>121</v>
      </c>
      <c r="AD79" s="903" t="s">
        <v>440</v>
      </c>
      <c r="AE79" s="956" t="s">
        <v>121</v>
      </c>
      <c r="AF79" s="566"/>
    </row>
    <row r="80" spans="2:32" s="594" customFormat="1" ht="26.25" customHeight="1">
      <c r="B80" s="224"/>
      <c r="C80" s="931"/>
      <c r="D80" s="932"/>
      <c r="E80" s="932"/>
      <c r="F80" s="933"/>
      <c r="G80" s="106"/>
      <c r="H80" s="106"/>
      <c r="J80" s="894" t="s">
        <v>207</v>
      </c>
      <c r="K80" s="1943" t="s">
        <v>1358</v>
      </c>
      <c r="L80" s="1943"/>
      <c r="M80" s="1943"/>
      <c r="N80" s="1943"/>
      <c r="O80" s="1943"/>
      <c r="P80" s="1943"/>
      <c r="Q80" s="1943"/>
      <c r="R80" s="1943"/>
      <c r="S80" s="1943"/>
      <c r="T80" s="1943"/>
      <c r="U80" s="1943"/>
      <c r="V80" s="1943"/>
      <c r="W80" s="1943"/>
      <c r="X80" s="1943"/>
      <c r="Y80" s="1943"/>
      <c r="Z80" s="1943"/>
      <c r="AA80" s="1943"/>
      <c r="AB80" s="100"/>
      <c r="AC80" s="955" t="s">
        <v>121</v>
      </c>
      <c r="AD80" s="903" t="s">
        <v>440</v>
      </c>
      <c r="AE80" s="956" t="s">
        <v>121</v>
      </c>
      <c r="AF80" s="566"/>
    </row>
    <row r="81" spans="2:32" s="594" customFormat="1" ht="8.25" customHeight="1">
      <c r="B81" s="224"/>
      <c r="C81" s="900"/>
      <c r="D81" s="561"/>
      <c r="E81" s="561"/>
      <c r="F81" s="562"/>
      <c r="G81" s="561"/>
      <c r="H81" s="561"/>
      <c r="I81" s="561"/>
      <c r="J81" s="561"/>
      <c r="K81" s="561"/>
      <c r="L81" s="561"/>
      <c r="M81" s="561"/>
      <c r="N81" s="561"/>
      <c r="O81" s="561"/>
      <c r="P81" s="561"/>
      <c r="Q81" s="561"/>
      <c r="R81" s="561"/>
      <c r="S81" s="561"/>
      <c r="T81" s="561"/>
      <c r="U81" s="561"/>
      <c r="V81" s="561"/>
      <c r="W81" s="561"/>
      <c r="X81" s="561"/>
      <c r="Y81" s="561"/>
      <c r="Z81" s="561"/>
      <c r="AA81" s="561"/>
      <c r="AB81" s="561"/>
      <c r="AC81" s="900"/>
      <c r="AD81" s="561"/>
      <c r="AE81" s="562"/>
      <c r="AF81" s="913"/>
    </row>
    <row r="82" spans="2:32" s="594" customFormat="1" ht="8.25" customHeight="1">
      <c r="B82" s="224"/>
      <c r="C82" s="225"/>
      <c r="D82" s="906"/>
      <c r="E82" s="906"/>
      <c r="F82" s="911"/>
      <c r="G82" s="906"/>
      <c r="H82" s="906"/>
      <c r="I82" s="906"/>
      <c r="J82" s="906"/>
      <c r="K82" s="906"/>
      <c r="L82" s="906"/>
      <c r="M82" s="906"/>
      <c r="N82" s="906"/>
      <c r="O82" s="906"/>
      <c r="P82" s="906"/>
      <c r="Q82" s="906"/>
      <c r="R82" s="906"/>
      <c r="S82" s="906"/>
      <c r="T82" s="906"/>
      <c r="U82" s="906"/>
      <c r="V82" s="906"/>
      <c r="W82" s="906"/>
      <c r="X82" s="906"/>
      <c r="Y82" s="906"/>
      <c r="Z82" s="906"/>
      <c r="AA82" s="906"/>
      <c r="AB82" s="906"/>
      <c r="AC82" s="225"/>
      <c r="AD82" s="906"/>
      <c r="AE82" s="911"/>
      <c r="AF82" s="913"/>
    </row>
    <row r="83" spans="2:32" s="594" customFormat="1" ht="28.5" customHeight="1">
      <c r="B83" s="224"/>
      <c r="C83" s="224"/>
      <c r="F83" s="913"/>
      <c r="J83" s="561"/>
      <c r="K83" s="561"/>
      <c r="L83" s="957"/>
      <c r="M83" s="561"/>
      <c r="N83" s="561"/>
      <c r="O83" s="561"/>
      <c r="P83" s="561"/>
      <c r="Q83" s="561"/>
      <c r="R83" s="561"/>
      <c r="S83" s="561"/>
      <c r="T83" s="561"/>
      <c r="U83" s="561"/>
      <c r="V83" s="561"/>
      <c r="W83" s="561"/>
      <c r="X83" s="561"/>
      <c r="Y83" s="561"/>
      <c r="Z83" s="561"/>
      <c r="AA83" s="561"/>
      <c r="AC83" s="952" t="s">
        <v>1118</v>
      </c>
      <c r="AD83" s="953" t="s">
        <v>440</v>
      </c>
      <c r="AE83" s="954" t="s">
        <v>674</v>
      </c>
      <c r="AF83" s="913"/>
    </row>
    <row r="84" spans="2:32" s="594" customFormat="1" ht="24.75" customHeight="1">
      <c r="B84" s="224"/>
      <c r="C84" s="1944" t="s">
        <v>261</v>
      </c>
      <c r="D84" s="1942"/>
      <c r="E84" s="1942"/>
      <c r="F84" s="1945"/>
      <c r="G84" s="106"/>
      <c r="H84" s="106"/>
      <c r="J84" s="894" t="s">
        <v>107</v>
      </c>
      <c r="K84" s="1943" t="s">
        <v>262</v>
      </c>
      <c r="L84" s="1947"/>
      <c r="M84" s="1943"/>
      <c r="N84" s="1943"/>
      <c r="O84" s="1943"/>
      <c r="P84" s="1943"/>
      <c r="Q84" s="1943"/>
      <c r="R84" s="1943"/>
      <c r="S84" s="1943"/>
      <c r="T84" s="1943"/>
      <c r="U84" s="1943"/>
      <c r="V84" s="1943"/>
      <c r="W84" s="1943"/>
      <c r="X84" s="1943"/>
      <c r="Y84" s="1943"/>
      <c r="Z84" s="1943"/>
      <c r="AA84" s="1943"/>
      <c r="AB84" s="100"/>
      <c r="AC84" s="955" t="s">
        <v>121</v>
      </c>
      <c r="AD84" s="903" t="s">
        <v>440</v>
      </c>
      <c r="AE84" s="956" t="s">
        <v>121</v>
      </c>
      <c r="AF84" s="913"/>
    </row>
    <row r="85" spans="2:32" s="594" customFormat="1" ht="24.75" customHeight="1">
      <c r="B85" s="224"/>
      <c r="C85" s="568"/>
      <c r="D85" s="106"/>
      <c r="E85" s="106"/>
      <c r="F85" s="356"/>
      <c r="G85" s="106"/>
      <c r="H85" s="106"/>
      <c r="J85" s="894" t="s">
        <v>104</v>
      </c>
      <c r="K85" s="1943" t="s">
        <v>787</v>
      </c>
      <c r="L85" s="1943"/>
      <c r="M85" s="1943"/>
      <c r="N85" s="1943"/>
      <c r="O85" s="1943"/>
      <c r="P85" s="1943"/>
      <c r="Q85" s="1943"/>
      <c r="R85" s="1943"/>
      <c r="S85" s="1943"/>
      <c r="T85" s="1943"/>
      <c r="U85" s="1943"/>
      <c r="V85" s="1943"/>
      <c r="W85" s="1943"/>
      <c r="X85" s="1943"/>
      <c r="Y85" s="1943"/>
      <c r="Z85" s="1943"/>
      <c r="AA85" s="1943"/>
      <c r="AB85" s="100"/>
      <c r="AC85" s="955" t="s">
        <v>121</v>
      </c>
      <c r="AD85" s="903" t="s">
        <v>440</v>
      </c>
      <c r="AE85" s="956" t="s">
        <v>121</v>
      </c>
      <c r="AF85" s="913"/>
    </row>
    <row r="86" spans="2:32" s="594" customFormat="1" ht="24.75" customHeight="1">
      <c r="B86" s="224"/>
      <c r="C86" s="568"/>
      <c r="D86" s="106"/>
      <c r="E86" s="106"/>
      <c r="F86" s="356"/>
      <c r="G86" s="106"/>
      <c r="H86" s="106"/>
      <c r="J86" s="894" t="s">
        <v>211</v>
      </c>
      <c r="K86" s="1943" t="s">
        <v>788</v>
      </c>
      <c r="L86" s="1943"/>
      <c r="M86" s="1943"/>
      <c r="N86" s="1943"/>
      <c r="O86" s="1943"/>
      <c r="P86" s="1943"/>
      <c r="Q86" s="1943"/>
      <c r="R86" s="1943"/>
      <c r="S86" s="1943"/>
      <c r="T86" s="1943"/>
      <c r="U86" s="1943"/>
      <c r="V86" s="1943"/>
      <c r="W86" s="1943"/>
      <c r="X86" s="1943"/>
      <c r="Y86" s="1943"/>
      <c r="Z86" s="1943"/>
      <c r="AA86" s="1943"/>
      <c r="AB86" s="100"/>
      <c r="AC86" s="955" t="s">
        <v>121</v>
      </c>
      <c r="AD86" s="903" t="s">
        <v>440</v>
      </c>
      <c r="AE86" s="956" t="s">
        <v>121</v>
      </c>
      <c r="AF86" s="913"/>
    </row>
    <row r="87" spans="2:32" s="594" customFormat="1" ht="27" customHeight="1">
      <c r="B87" s="224"/>
      <c r="C87" s="568"/>
      <c r="D87" s="106"/>
      <c r="E87" s="106"/>
      <c r="F87" s="356"/>
      <c r="G87" s="106"/>
      <c r="H87" s="106"/>
      <c r="J87" s="894" t="s">
        <v>207</v>
      </c>
      <c r="K87" s="1943" t="s">
        <v>1358</v>
      </c>
      <c r="L87" s="1943"/>
      <c r="M87" s="1943"/>
      <c r="N87" s="1943"/>
      <c r="O87" s="1943"/>
      <c r="P87" s="1943"/>
      <c r="Q87" s="1943"/>
      <c r="R87" s="1943"/>
      <c r="S87" s="1943"/>
      <c r="T87" s="1943"/>
      <c r="U87" s="1943"/>
      <c r="V87" s="1943"/>
      <c r="W87" s="1943"/>
      <c r="X87" s="1943"/>
      <c r="Y87" s="1943"/>
      <c r="Z87" s="1943"/>
      <c r="AA87" s="1943"/>
      <c r="AB87" s="100"/>
      <c r="AC87" s="955" t="s">
        <v>121</v>
      </c>
      <c r="AD87" s="903" t="s">
        <v>440</v>
      </c>
      <c r="AE87" s="956" t="s">
        <v>121</v>
      </c>
      <c r="AF87" s="913"/>
    </row>
    <row r="88" spans="2:32" s="594" customFormat="1" ht="24" customHeight="1">
      <c r="B88" s="224"/>
      <c r="C88" s="568"/>
      <c r="D88" s="106"/>
      <c r="E88" s="106"/>
      <c r="F88" s="356"/>
      <c r="G88" s="106"/>
      <c r="H88" s="106"/>
      <c r="J88" s="894" t="s">
        <v>236</v>
      </c>
      <c r="K88" s="1943" t="s">
        <v>775</v>
      </c>
      <c r="L88" s="1943"/>
      <c r="M88" s="1943"/>
      <c r="N88" s="1943"/>
      <c r="O88" s="1943"/>
      <c r="P88" s="1943"/>
      <c r="Q88" s="1943"/>
      <c r="R88" s="1943"/>
      <c r="S88" s="1943"/>
      <c r="T88" s="1943"/>
      <c r="U88" s="1943"/>
      <c r="V88" s="1943"/>
      <c r="W88" s="1943"/>
      <c r="X88" s="1943"/>
      <c r="Y88" s="1943"/>
      <c r="Z88" s="1943"/>
      <c r="AA88" s="1943"/>
      <c r="AB88" s="100"/>
      <c r="AC88" s="955" t="s">
        <v>121</v>
      </c>
      <c r="AD88" s="903" t="s">
        <v>440</v>
      </c>
      <c r="AE88" s="956" t="s">
        <v>121</v>
      </c>
      <c r="AF88" s="913"/>
    </row>
    <row r="89" spans="2:32" s="594" customFormat="1" ht="24.75" customHeight="1">
      <c r="B89" s="224"/>
      <c r="C89" s="568"/>
      <c r="D89" s="106"/>
      <c r="E89" s="106"/>
      <c r="F89" s="356"/>
      <c r="G89" s="106"/>
      <c r="H89" s="106"/>
      <c r="J89" s="894" t="s">
        <v>325</v>
      </c>
      <c r="K89" s="1943" t="s">
        <v>790</v>
      </c>
      <c r="L89" s="1943"/>
      <c r="M89" s="1943"/>
      <c r="N89" s="1943"/>
      <c r="O89" s="1943"/>
      <c r="P89" s="1943"/>
      <c r="Q89" s="1943"/>
      <c r="R89" s="1943"/>
      <c r="S89" s="1943"/>
      <c r="T89" s="1943"/>
      <c r="U89" s="1943"/>
      <c r="V89" s="1943"/>
      <c r="W89" s="1943"/>
      <c r="X89" s="1943"/>
      <c r="Y89" s="1943"/>
      <c r="Z89" s="1943"/>
      <c r="AA89" s="1943"/>
      <c r="AB89" s="100"/>
      <c r="AC89" s="955" t="s">
        <v>121</v>
      </c>
      <c r="AD89" s="903" t="s">
        <v>440</v>
      </c>
      <c r="AE89" s="956" t="s">
        <v>121</v>
      </c>
      <c r="AF89" s="913"/>
    </row>
    <row r="90" spans="2:32" s="594" customFormat="1" ht="8.25" customHeight="1">
      <c r="B90" s="224"/>
      <c r="C90" s="900"/>
      <c r="D90" s="561"/>
      <c r="E90" s="561"/>
      <c r="F90" s="562"/>
      <c r="G90" s="561"/>
      <c r="H90" s="561"/>
      <c r="I90" s="561"/>
      <c r="J90" s="561"/>
      <c r="K90" s="561"/>
      <c r="L90" s="561"/>
      <c r="M90" s="561"/>
      <c r="N90" s="561"/>
      <c r="O90" s="561"/>
      <c r="P90" s="561"/>
      <c r="Q90" s="561"/>
      <c r="R90" s="561"/>
      <c r="S90" s="561"/>
      <c r="T90" s="561"/>
      <c r="U90" s="561"/>
      <c r="V90" s="561"/>
      <c r="W90" s="561"/>
      <c r="X90" s="561"/>
      <c r="Y90" s="561"/>
      <c r="Z90" s="561"/>
      <c r="AA90" s="561"/>
      <c r="AB90" s="561"/>
      <c r="AC90" s="900"/>
      <c r="AD90" s="561"/>
      <c r="AE90" s="562"/>
      <c r="AF90" s="913"/>
    </row>
    <row r="91" spans="2:32" s="594" customFormat="1" ht="8.25" customHeight="1">
      <c r="B91" s="224"/>
      <c r="H91" s="87"/>
      <c r="I91" s="87"/>
      <c r="J91" s="87"/>
      <c r="L91" s="941"/>
      <c r="M91" s="941"/>
      <c r="N91" s="867"/>
      <c r="O91" s="867"/>
      <c r="P91" s="867"/>
      <c r="Q91" s="867"/>
      <c r="R91" s="867"/>
      <c r="S91" s="867"/>
      <c r="T91" s="867"/>
      <c r="U91" s="867"/>
      <c r="V91" s="867"/>
      <c r="W91" s="867"/>
      <c r="X91" s="867"/>
      <c r="Y91" s="867"/>
      <c r="Z91" s="867"/>
      <c r="AA91" s="867"/>
      <c r="AB91" s="867"/>
      <c r="AC91" s="867"/>
      <c r="AD91" s="958"/>
      <c r="AE91" s="867"/>
      <c r="AF91" s="913"/>
    </row>
    <row r="92" spans="2:32" s="594" customFormat="1" ht="27" customHeight="1">
      <c r="B92" s="224" t="s">
        <v>263</v>
      </c>
      <c r="AF92" s="913"/>
    </row>
    <row r="93" spans="2:32" s="594" customFormat="1" ht="22.5" customHeight="1">
      <c r="B93" s="224"/>
      <c r="C93" s="225"/>
      <c r="D93" s="906"/>
      <c r="E93" s="906"/>
      <c r="F93" s="911"/>
      <c r="G93" s="906"/>
      <c r="H93" s="906"/>
      <c r="I93" s="906"/>
      <c r="J93" s="906"/>
      <c r="K93" s="906"/>
      <c r="L93" s="906"/>
      <c r="M93" s="906"/>
      <c r="N93" s="906"/>
      <c r="O93" s="906"/>
      <c r="P93" s="906"/>
      <c r="Q93" s="906"/>
      <c r="R93" s="906"/>
      <c r="S93" s="906"/>
      <c r="T93" s="906"/>
      <c r="U93" s="906"/>
      <c r="V93" s="906"/>
      <c r="W93" s="906"/>
      <c r="X93" s="906"/>
      <c r="Y93" s="906"/>
      <c r="Z93" s="906"/>
      <c r="AA93" s="906"/>
      <c r="AB93" s="906"/>
      <c r="AC93" s="225"/>
      <c r="AD93" s="906"/>
      <c r="AE93" s="911"/>
      <c r="AF93" s="913"/>
    </row>
    <row r="94" spans="2:32" s="594" customFormat="1" ht="25.5" customHeight="1">
      <c r="B94" s="224"/>
      <c r="C94" s="224"/>
      <c r="F94" s="913"/>
      <c r="J94" s="561"/>
      <c r="K94" s="561"/>
      <c r="L94" s="561"/>
      <c r="M94" s="561"/>
      <c r="N94" s="561"/>
      <c r="O94" s="561"/>
      <c r="P94" s="561"/>
      <c r="Q94" s="561"/>
      <c r="R94" s="561"/>
      <c r="S94" s="561"/>
      <c r="T94" s="561"/>
      <c r="U94" s="561"/>
      <c r="V94" s="561"/>
      <c r="W94" s="561"/>
      <c r="X94" s="561"/>
      <c r="Y94" s="561"/>
      <c r="Z94" s="561"/>
      <c r="AA94" s="561"/>
      <c r="AC94" s="952" t="s">
        <v>1118</v>
      </c>
      <c r="AD94" s="953" t="s">
        <v>440</v>
      </c>
      <c r="AE94" s="954" t="s">
        <v>674</v>
      </c>
      <c r="AF94" s="913"/>
    </row>
    <row r="95" spans="2:32" s="594" customFormat="1" ht="24.75" customHeight="1">
      <c r="B95" s="224"/>
      <c r="C95" s="1944" t="s">
        <v>264</v>
      </c>
      <c r="D95" s="1942"/>
      <c r="E95" s="1942"/>
      <c r="F95" s="1945"/>
      <c r="J95" s="894" t="s">
        <v>107</v>
      </c>
      <c r="K95" s="1943" t="s">
        <v>265</v>
      </c>
      <c r="L95" s="1943"/>
      <c r="M95" s="1943"/>
      <c r="N95" s="1943"/>
      <c r="O95" s="1943"/>
      <c r="P95" s="1943"/>
      <c r="Q95" s="1943"/>
      <c r="R95" s="1943"/>
      <c r="S95" s="1943"/>
      <c r="T95" s="1943"/>
      <c r="U95" s="1943"/>
      <c r="V95" s="1943"/>
      <c r="W95" s="1943"/>
      <c r="X95" s="1943"/>
      <c r="Y95" s="1943"/>
      <c r="Z95" s="1943"/>
      <c r="AA95" s="1943"/>
      <c r="AC95" s="955" t="s">
        <v>121</v>
      </c>
      <c r="AD95" s="903" t="s">
        <v>440</v>
      </c>
      <c r="AE95" s="956" t="s">
        <v>121</v>
      </c>
      <c r="AF95" s="913"/>
    </row>
    <row r="96" spans="2:32" s="594" customFormat="1" ht="24" customHeight="1">
      <c r="B96" s="224"/>
      <c r="C96" s="1944"/>
      <c r="D96" s="1942"/>
      <c r="E96" s="1942"/>
      <c r="F96" s="1945"/>
      <c r="G96" s="106"/>
      <c r="H96" s="106"/>
      <c r="J96" s="894" t="s">
        <v>104</v>
      </c>
      <c r="K96" s="1943" t="s">
        <v>266</v>
      </c>
      <c r="L96" s="1943"/>
      <c r="M96" s="1943"/>
      <c r="N96" s="1943"/>
      <c r="O96" s="1943"/>
      <c r="P96" s="1943"/>
      <c r="Q96" s="1943"/>
      <c r="R96" s="1943"/>
      <c r="S96" s="1943"/>
      <c r="T96" s="1943"/>
      <c r="U96" s="1943"/>
      <c r="V96" s="1943"/>
      <c r="W96" s="1943"/>
      <c r="X96" s="1943"/>
      <c r="Y96" s="1943"/>
      <c r="Z96" s="1943"/>
      <c r="AA96" s="1943"/>
      <c r="AB96" s="100"/>
      <c r="AC96" s="955" t="s">
        <v>121</v>
      </c>
      <c r="AD96" s="903" t="s">
        <v>440</v>
      </c>
      <c r="AE96" s="956" t="s">
        <v>121</v>
      </c>
      <c r="AF96" s="913"/>
    </row>
    <row r="97" spans="1:32" s="594" customFormat="1" ht="24" customHeight="1">
      <c r="B97" s="224"/>
      <c r="C97" s="931"/>
      <c r="D97" s="932"/>
      <c r="E97" s="932"/>
      <c r="F97" s="933"/>
      <c r="G97" s="106"/>
      <c r="H97" s="106"/>
      <c r="J97" s="894" t="s">
        <v>211</v>
      </c>
      <c r="K97" s="1943" t="s">
        <v>775</v>
      </c>
      <c r="L97" s="1943"/>
      <c r="M97" s="1943"/>
      <c r="N97" s="1943"/>
      <c r="O97" s="1943"/>
      <c r="P97" s="1943"/>
      <c r="Q97" s="1943"/>
      <c r="R97" s="1943"/>
      <c r="S97" s="1943"/>
      <c r="T97" s="1943"/>
      <c r="U97" s="1943"/>
      <c r="V97" s="1943"/>
      <c r="W97" s="1943"/>
      <c r="X97" s="1943"/>
      <c r="Y97" s="1943"/>
      <c r="Z97" s="1943"/>
      <c r="AA97" s="1943"/>
      <c r="AB97" s="100"/>
      <c r="AC97" s="955" t="s">
        <v>121</v>
      </c>
      <c r="AD97" s="903" t="s">
        <v>440</v>
      </c>
      <c r="AE97" s="956" t="s">
        <v>121</v>
      </c>
      <c r="AF97" s="566"/>
    </row>
    <row r="98" spans="1:32" s="594" customFormat="1" ht="9" customHeight="1">
      <c r="B98" s="224"/>
      <c r="C98" s="900"/>
      <c r="D98" s="561"/>
      <c r="E98" s="561"/>
      <c r="F98" s="562"/>
      <c r="G98" s="561"/>
      <c r="H98" s="561"/>
      <c r="I98" s="561"/>
      <c r="J98" s="561"/>
      <c r="K98" s="561"/>
      <c r="L98" s="561"/>
      <c r="M98" s="561"/>
      <c r="N98" s="561"/>
      <c r="O98" s="561"/>
      <c r="P98" s="561"/>
      <c r="Q98" s="561"/>
      <c r="R98" s="561"/>
      <c r="S98" s="561"/>
      <c r="T98" s="561"/>
      <c r="U98" s="561"/>
      <c r="V98" s="561"/>
      <c r="W98" s="561"/>
      <c r="X98" s="561"/>
      <c r="Y98" s="561"/>
      <c r="Z98" s="561"/>
      <c r="AA98" s="561"/>
      <c r="AB98" s="561"/>
      <c r="AC98" s="900"/>
      <c r="AD98" s="561"/>
      <c r="AE98" s="562"/>
      <c r="AF98" s="913"/>
    </row>
    <row r="99" spans="1:32" s="594" customFormat="1" ht="9" customHeight="1">
      <c r="B99" s="224"/>
      <c r="C99" s="225"/>
      <c r="D99" s="906"/>
      <c r="E99" s="906"/>
      <c r="F99" s="911"/>
      <c r="G99" s="906"/>
      <c r="H99" s="906"/>
      <c r="I99" s="906"/>
      <c r="J99" s="906"/>
      <c r="K99" s="906"/>
      <c r="L99" s="906"/>
      <c r="M99" s="906"/>
      <c r="N99" s="906"/>
      <c r="O99" s="906"/>
      <c r="P99" s="906"/>
      <c r="Q99" s="906"/>
      <c r="R99" s="906"/>
      <c r="S99" s="906"/>
      <c r="T99" s="906"/>
      <c r="U99" s="906"/>
      <c r="V99" s="906"/>
      <c r="W99" s="906"/>
      <c r="X99" s="906"/>
      <c r="Y99" s="906"/>
      <c r="Z99" s="906"/>
      <c r="AA99" s="906"/>
      <c r="AB99" s="906"/>
      <c r="AC99" s="225"/>
      <c r="AD99" s="906"/>
      <c r="AE99" s="911"/>
      <c r="AF99" s="913"/>
    </row>
    <row r="100" spans="1:32" s="594" customFormat="1" ht="24.75" customHeight="1">
      <c r="B100" s="224"/>
      <c r="C100" s="224"/>
      <c r="F100" s="913"/>
      <c r="J100" s="561"/>
      <c r="K100" s="561"/>
      <c r="L100" s="561"/>
      <c r="M100" s="561"/>
      <c r="N100" s="561"/>
      <c r="O100" s="561"/>
      <c r="P100" s="561"/>
      <c r="Q100" s="561"/>
      <c r="R100" s="561"/>
      <c r="S100" s="561"/>
      <c r="T100" s="561"/>
      <c r="U100" s="561"/>
      <c r="V100" s="561"/>
      <c r="W100" s="561"/>
      <c r="X100" s="561"/>
      <c r="Y100" s="561"/>
      <c r="Z100" s="561"/>
      <c r="AA100" s="561"/>
      <c r="AC100" s="952" t="s">
        <v>1118</v>
      </c>
      <c r="AD100" s="953" t="s">
        <v>440</v>
      </c>
      <c r="AE100" s="954" t="s">
        <v>674</v>
      </c>
      <c r="AF100" s="913"/>
    </row>
    <row r="101" spans="1:32" s="594" customFormat="1" ht="36.75" customHeight="1">
      <c r="B101" s="224"/>
      <c r="C101" s="1944" t="s">
        <v>267</v>
      </c>
      <c r="D101" s="1942"/>
      <c r="E101" s="1942"/>
      <c r="F101" s="1945"/>
      <c r="J101" s="894" t="s">
        <v>107</v>
      </c>
      <c r="K101" s="1943" t="s">
        <v>268</v>
      </c>
      <c r="L101" s="1943"/>
      <c r="M101" s="1943"/>
      <c r="N101" s="1943"/>
      <c r="O101" s="1943"/>
      <c r="P101" s="1943"/>
      <c r="Q101" s="1943"/>
      <c r="R101" s="1943"/>
      <c r="S101" s="1943"/>
      <c r="T101" s="1943"/>
      <c r="U101" s="1943"/>
      <c r="V101" s="1943"/>
      <c r="W101" s="1943"/>
      <c r="X101" s="1943"/>
      <c r="Y101" s="1943"/>
      <c r="Z101" s="1943"/>
      <c r="AA101" s="1943"/>
      <c r="AC101" s="955" t="s">
        <v>121</v>
      </c>
      <c r="AD101" s="903" t="s">
        <v>440</v>
      </c>
      <c r="AE101" s="956" t="s">
        <v>121</v>
      </c>
      <c r="AF101" s="913"/>
    </row>
    <row r="102" spans="1:32" s="594" customFormat="1" ht="36.75" customHeight="1">
      <c r="B102" s="224"/>
      <c r="C102" s="1944"/>
      <c r="D102" s="1942"/>
      <c r="E102" s="1942"/>
      <c r="F102" s="1945"/>
      <c r="G102" s="106"/>
      <c r="H102" s="106"/>
      <c r="J102" s="894" t="s">
        <v>104</v>
      </c>
      <c r="K102" s="1943" t="s">
        <v>269</v>
      </c>
      <c r="L102" s="1943"/>
      <c r="M102" s="1943"/>
      <c r="N102" s="1943"/>
      <c r="O102" s="1943"/>
      <c r="P102" s="1943"/>
      <c r="Q102" s="1943"/>
      <c r="R102" s="1943"/>
      <c r="S102" s="1943"/>
      <c r="T102" s="1943"/>
      <c r="U102" s="1943"/>
      <c r="V102" s="1943"/>
      <c r="W102" s="1943"/>
      <c r="X102" s="1943"/>
      <c r="Y102" s="1943"/>
      <c r="Z102" s="1943"/>
      <c r="AA102" s="1943"/>
      <c r="AB102" s="100"/>
      <c r="AC102" s="955" t="s">
        <v>121</v>
      </c>
      <c r="AD102" s="903" t="s">
        <v>440</v>
      </c>
      <c r="AE102" s="956" t="s">
        <v>121</v>
      </c>
      <c r="AF102" s="913"/>
    </row>
    <row r="103" spans="1:32" s="594" customFormat="1" ht="7.5" customHeight="1">
      <c r="B103" s="224"/>
      <c r="C103" s="900"/>
      <c r="D103" s="561"/>
      <c r="E103" s="561"/>
      <c r="F103" s="562"/>
      <c r="G103" s="561"/>
      <c r="H103" s="561"/>
      <c r="I103" s="561"/>
      <c r="J103" s="561"/>
      <c r="K103" s="561"/>
      <c r="L103" s="561"/>
      <c r="M103" s="561"/>
      <c r="N103" s="561"/>
      <c r="O103" s="561"/>
      <c r="P103" s="561"/>
      <c r="Q103" s="561"/>
      <c r="R103" s="561"/>
      <c r="S103" s="561"/>
      <c r="T103" s="561"/>
      <c r="U103" s="561"/>
      <c r="V103" s="561"/>
      <c r="W103" s="561"/>
      <c r="X103" s="561"/>
      <c r="Y103" s="561"/>
      <c r="Z103" s="561"/>
      <c r="AA103" s="561"/>
      <c r="AB103" s="561"/>
      <c r="AC103" s="900"/>
      <c r="AD103" s="561"/>
      <c r="AE103" s="562"/>
      <c r="AF103" s="913"/>
    </row>
    <row r="104" spans="1:32" s="959" customFormat="1" ht="24.75" customHeight="1">
      <c r="A104" s="594"/>
      <c r="B104" s="900"/>
      <c r="C104" s="561"/>
      <c r="D104" s="561"/>
      <c r="E104" s="561"/>
      <c r="F104" s="561"/>
      <c r="G104" s="561"/>
      <c r="H104" s="561"/>
      <c r="I104" s="561"/>
      <c r="J104" s="561"/>
      <c r="K104" s="561"/>
      <c r="L104" s="561"/>
      <c r="M104" s="561"/>
      <c r="N104" s="561"/>
      <c r="O104" s="561"/>
      <c r="P104" s="561"/>
      <c r="Q104" s="561"/>
      <c r="R104" s="561"/>
      <c r="S104" s="561"/>
      <c r="T104" s="561"/>
      <c r="U104" s="561"/>
      <c r="V104" s="561"/>
      <c r="W104" s="561"/>
      <c r="X104" s="561"/>
      <c r="Y104" s="561"/>
      <c r="Z104" s="561"/>
      <c r="AA104" s="561"/>
      <c r="AB104" s="561"/>
      <c r="AC104" s="561"/>
      <c r="AD104" s="561"/>
      <c r="AE104" s="561"/>
      <c r="AF104" s="562"/>
    </row>
    <row r="105" spans="1:32" s="959" customFormat="1" ht="8.25" customHeight="1">
      <c r="A105" s="594"/>
      <c r="B105" s="594"/>
      <c r="C105" s="594"/>
      <c r="D105" s="594"/>
      <c r="E105" s="594"/>
      <c r="F105" s="594"/>
      <c r="G105" s="594"/>
      <c r="H105" s="594"/>
      <c r="I105" s="594"/>
      <c r="J105" s="594"/>
      <c r="K105" s="594"/>
      <c r="L105" s="594"/>
      <c r="M105" s="594"/>
      <c r="N105" s="594"/>
      <c r="O105" s="594"/>
      <c r="P105" s="594"/>
      <c r="Q105" s="594"/>
      <c r="R105" s="594"/>
      <c r="S105" s="594"/>
      <c r="T105" s="594"/>
      <c r="U105" s="594"/>
      <c r="V105" s="594"/>
      <c r="W105" s="594"/>
      <c r="X105" s="594"/>
      <c r="Y105" s="594"/>
      <c r="Z105" s="594"/>
      <c r="AA105" s="594"/>
      <c r="AB105" s="594"/>
      <c r="AC105" s="594"/>
      <c r="AD105" s="594"/>
      <c r="AE105" s="594"/>
      <c r="AF105" s="594"/>
    </row>
    <row r="106" spans="1:32" s="960" customFormat="1" ht="409.5" customHeight="1">
      <c r="A106" s="959"/>
      <c r="B106" s="1946" t="s">
        <v>1894</v>
      </c>
      <c r="C106" s="1946"/>
      <c r="D106" s="1946"/>
      <c r="E106" s="1946"/>
      <c r="F106" s="1946"/>
      <c r="G106" s="1946"/>
      <c r="H106" s="1946"/>
      <c r="I106" s="1946"/>
      <c r="J106" s="1946"/>
      <c r="K106" s="1946"/>
      <c r="L106" s="1946"/>
      <c r="M106" s="1946"/>
      <c r="N106" s="1946"/>
      <c r="O106" s="1946"/>
      <c r="P106" s="1946"/>
      <c r="Q106" s="1946"/>
      <c r="R106" s="1946"/>
      <c r="S106" s="1946"/>
      <c r="T106" s="1946"/>
      <c r="U106" s="1946"/>
      <c r="V106" s="1946"/>
      <c r="W106" s="1946"/>
      <c r="X106" s="1946"/>
      <c r="Y106" s="1946"/>
      <c r="Z106" s="1946"/>
      <c r="AA106" s="1946"/>
      <c r="AB106" s="1946"/>
      <c r="AC106" s="1946"/>
      <c r="AD106" s="1946"/>
      <c r="AE106" s="1946"/>
      <c r="AF106" s="959"/>
    </row>
    <row r="107" spans="1:32" ht="163.5" customHeight="1">
      <c r="A107" s="959"/>
      <c r="B107" s="1946" t="s">
        <v>1895</v>
      </c>
      <c r="C107" s="1946"/>
      <c r="D107" s="1946"/>
      <c r="E107" s="1946"/>
      <c r="F107" s="1946"/>
      <c r="G107" s="1946"/>
      <c r="H107" s="1946"/>
      <c r="I107" s="1946"/>
      <c r="J107" s="1946"/>
      <c r="K107" s="1946"/>
      <c r="L107" s="1946"/>
      <c r="M107" s="1946"/>
      <c r="N107" s="1946"/>
      <c r="O107" s="1946"/>
      <c r="P107" s="1946"/>
      <c r="Q107" s="1946"/>
      <c r="R107" s="1946"/>
      <c r="S107" s="1946"/>
      <c r="T107" s="1946"/>
      <c r="U107" s="1946"/>
      <c r="V107" s="1946"/>
      <c r="W107" s="1946"/>
      <c r="X107" s="1946"/>
      <c r="Y107" s="1946"/>
      <c r="Z107" s="1946"/>
      <c r="AA107" s="1946"/>
      <c r="AB107" s="1946"/>
      <c r="AC107" s="1946"/>
      <c r="AD107" s="1946"/>
      <c r="AE107" s="1946"/>
      <c r="AF107" s="959"/>
    </row>
    <row r="108" spans="1:32" ht="33.75" customHeight="1">
      <c r="A108" s="960"/>
      <c r="B108" s="1942" t="s">
        <v>1896</v>
      </c>
      <c r="C108" s="1942"/>
      <c r="D108" s="1942"/>
      <c r="E108" s="1942"/>
      <c r="F108" s="1942"/>
      <c r="G108" s="1942"/>
      <c r="H108" s="1942"/>
      <c r="I108" s="1942"/>
      <c r="J108" s="1942"/>
      <c r="K108" s="1942"/>
      <c r="L108" s="1942"/>
      <c r="M108" s="1942"/>
      <c r="N108" s="1942"/>
      <c r="O108" s="1942"/>
      <c r="P108" s="1942"/>
      <c r="Q108" s="1942"/>
      <c r="R108" s="1942"/>
      <c r="S108" s="1942"/>
      <c r="T108" s="1942"/>
      <c r="U108" s="1942"/>
      <c r="V108" s="1942"/>
      <c r="W108" s="1942"/>
      <c r="X108" s="1942"/>
      <c r="Y108" s="1942"/>
      <c r="Z108" s="1942"/>
      <c r="AA108" s="1942"/>
      <c r="AB108" s="1942"/>
      <c r="AC108" s="1942"/>
      <c r="AD108" s="1942"/>
      <c r="AE108" s="1942"/>
      <c r="AF108" s="960"/>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3"/>
  <printOptions horizontalCentered="1"/>
  <pageMargins left="0.70866141732283472" right="0.39370078740157483" top="0.51181102362204722" bottom="0.35433070866141736" header="0.31496062992125984" footer="0.31496062992125984"/>
  <pageSetup paperSize="9" scale="51"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434176EC-01A1-4AF3-9F85-02370C24CDE4}">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E9CB3-1E5A-4CB8-B003-DF593C8F03BF}">
  <sheetPr>
    <tabColor rgb="FFFFFF00"/>
  </sheetPr>
  <dimension ref="B1:AK108"/>
  <sheetViews>
    <sheetView view="pageBreakPreview" zoomScale="70" zoomScaleNormal="120" zoomScaleSheetLayoutView="70" workbookViewId="0"/>
  </sheetViews>
  <sheetFormatPr defaultColWidth="3.44140625" defaultRowHeight="13.2"/>
  <cols>
    <col min="1" max="1" width="1.77734375" style="3" customWidth="1"/>
    <col min="2" max="2" width="3" style="61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256" width="3.44140625" style="3"/>
    <col min="257" max="257" width="1.77734375" style="3" customWidth="1"/>
    <col min="258" max="258" width="3" style="3" customWidth="1"/>
    <col min="259" max="261" width="4.88671875" style="3" customWidth="1"/>
    <col min="262" max="262" width="1.21875" style="3" customWidth="1"/>
    <col min="263" max="263" width="2.6640625" style="3" customWidth="1"/>
    <col min="264" max="269" width="6.21875" style="3" customWidth="1"/>
    <col min="270" max="272" width="5.21875" style="3" customWidth="1"/>
    <col min="273" max="273" width="4.77734375" style="3" customWidth="1"/>
    <col min="274" max="278" width="5.109375" style="3" customWidth="1"/>
    <col min="279" max="280" width="4.77734375" style="3" customWidth="1"/>
    <col min="281" max="284" width="5.21875" style="3" customWidth="1"/>
    <col min="285" max="287" width="6.6640625" style="3" customWidth="1"/>
    <col min="288" max="288" width="1.21875" style="3" customWidth="1"/>
    <col min="289" max="289" width="1.77734375" style="3" customWidth="1"/>
    <col min="290" max="512" width="3.44140625" style="3"/>
    <col min="513" max="513" width="1.77734375" style="3" customWidth="1"/>
    <col min="514" max="514" width="3" style="3" customWidth="1"/>
    <col min="515" max="517" width="4.88671875" style="3" customWidth="1"/>
    <col min="518" max="518" width="1.21875" style="3" customWidth="1"/>
    <col min="519" max="519" width="2.6640625" style="3" customWidth="1"/>
    <col min="520" max="525" width="6.21875" style="3" customWidth="1"/>
    <col min="526" max="528" width="5.21875" style="3" customWidth="1"/>
    <col min="529" max="529" width="4.77734375" style="3" customWidth="1"/>
    <col min="530" max="534" width="5.109375" style="3" customWidth="1"/>
    <col min="535" max="536" width="4.77734375" style="3" customWidth="1"/>
    <col min="537" max="540" width="5.21875" style="3" customWidth="1"/>
    <col min="541" max="543" width="6.6640625" style="3" customWidth="1"/>
    <col min="544" max="544" width="1.21875" style="3" customWidth="1"/>
    <col min="545" max="545" width="1.77734375" style="3" customWidth="1"/>
    <col min="546" max="768" width="3.44140625" style="3"/>
    <col min="769" max="769" width="1.77734375" style="3" customWidth="1"/>
    <col min="770" max="770" width="3" style="3" customWidth="1"/>
    <col min="771" max="773" width="4.88671875" style="3" customWidth="1"/>
    <col min="774" max="774" width="1.21875" style="3" customWidth="1"/>
    <col min="775" max="775" width="2.6640625" style="3" customWidth="1"/>
    <col min="776" max="781" width="6.21875" style="3" customWidth="1"/>
    <col min="782" max="784" width="5.21875" style="3" customWidth="1"/>
    <col min="785" max="785" width="4.77734375" style="3" customWidth="1"/>
    <col min="786" max="790" width="5.109375" style="3" customWidth="1"/>
    <col min="791" max="792" width="4.77734375" style="3" customWidth="1"/>
    <col min="793" max="796" width="5.21875" style="3" customWidth="1"/>
    <col min="797" max="799" width="6.6640625" style="3" customWidth="1"/>
    <col min="800" max="800" width="1.21875" style="3" customWidth="1"/>
    <col min="801" max="801" width="1.77734375" style="3" customWidth="1"/>
    <col min="802" max="1024" width="3.44140625" style="3"/>
    <col min="1025" max="1025" width="1.77734375" style="3" customWidth="1"/>
    <col min="1026" max="1026" width="3" style="3" customWidth="1"/>
    <col min="1027" max="1029" width="4.88671875" style="3" customWidth="1"/>
    <col min="1030" max="1030" width="1.21875" style="3" customWidth="1"/>
    <col min="1031" max="1031" width="2.6640625" style="3" customWidth="1"/>
    <col min="1032" max="1037" width="6.21875" style="3" customWidth="1"/>
    <col min="1038" max="1040" width="5.21875" style="3" customWidth="1"/>
    <col min="1041" max="1041" width="4.77734375" style="3" customWidth="1"/>
    <col min="1042" max="1046" width="5.109375" style="3" customWidth="1"/>
    <col min="1047" max="1048" width="4.77734375" style="3" customWidth="1"/>
    <col min="1049" max="1052" width="5.21875" style="3" customWidth="1"/>
    <col min="1053" max="1055" width="6.6640625" style="3" customWidth="1"/>
    <col min="1056" max="1056" width="1.21875" style="3" customWidth="1"/>
    <col min="1057" max="1057" width="1.77734375" style="3" customWidth="1"/>
    <col min="1058" max="1280" width="3.44140625" style="3"/>
    <col min="1281" max="1281" width="1.77734375" style="3" customWidth="1"/>
    <col min="1282" max="1282" width="3" style="3" customWidth="1"/>
    <col min="1283" max="1285" width="4.88671875" style="3" customWidth="1"/>
    <col min="1286" max="1286" width="1.21875" style="3" customWidth="1"/>
    <col min="1287" max="1287" width="2.6640625" style="3" customWidth="1"/>
    <col min="1288" max="1293" width="6.21875" style="3" customWidth="1"/>
    <col min="1294" max="1296" width="5.21875" style="3" customWidth="1"/>
    <col min="1297" max="1297" width="4.77734375" style="3" customWidth="1"/>
    <col min="1298" max="1302" width="5.109375" style="3" customWidth="1"/>
    <col min="1303" max="1304" width="4.77734375" style="3" customWidth="1"/>
    <col min="1305" max="1308" width="5.21875" style="3" customWidth="1"/>
    <col min="1309" max="1311" width="6.6640625" style="3" customWidth="1"/>
    <col min="1312" max="1312" width="1.21875" style="3" customWidth="1"/>
    <col min="1313" max="1313" width="1.77734375" style="3" customWidth="1"/>
    <col min="1314" max="1536" width="3.44140625" style="3"/>
    <col min="1537" max="1537" width="1.77734375" style="3" customWidth="1"/>
    <col min="1538" max="1538" width="3" style="3" customWidth="1"/>
    <col min="1539" max="1541" width="4.88671875" style="3" customWidth="1"/>
    <col min="1542" max="1542" width="1.21875" style="3" customWidth="1"/>
    <col min="1543" max="1543" width="2.6640625" style="3" customWidth="1"/>
    <col min="1544" max="1549" width="6.21875" style="3" customWidth="1"/>
    <col min="1550" max="1552" width="5.21875" style="3" customWidth="1"/>
    <col min="1553" max="1553" width="4.77734375" style="3" customWidth="1"/>
    <col min="1554" max="1558" width="5.109375" style="3" customWidth="1"/>
    <col min="1559" max="1560" width="4.77734375" style="3" customWidth="1"/>
    <col min="1561" max="1564" width="5.21875" style="3" customWidth="1"/>
    <col min="1565" max="1567" width="6.6640625" style="3" customWidth="1"/>
    <col min="1568" max="1568" width="1.21875" style="3" customWidth="1"/>
    <col min="1569" max="1569" width="1.77734375" style="3" customWidth="1"/>
    <col min="1570" max="1792" width="3.44140625" style="3"/>
    <col min="1793" max="1793" width="1.77734375" style="3" customWidth="1"/>
    <col min="1794" max="1794" width="3" style="3" customWidth="1"/>
    <col min="1795" max="1797" width="4.88671875" style="3" customWidth="1"/>
    <col min="1798" max="1798" width="1.21875" style="3" customWidth="1"/>
    <col min="1799" max="1799" width="2.6640625" style="3" customWidth="1"/>
    <col min="1800" max="1805" width="6.21875" style="3" customWidth="1"/>
    <col min="1806" max="1808" width="5.21875" style="3" customWidth="1"/>
    <col min="1809" max="1809" width="4.77734375" style="3" customWidth="1"/>
    <col min="1810" max="1814" width="5.109375" style="3" customWidth="1"/>
    <col min="1815" max="1816" width="4.77734375" style="3" customWidth="1"/>
    <col min="1817" max="1820" width="5.21875" style="3" customWidth="1"/>
    <col min="1821" max="1823" width="6.6640625" style="3" customWidth="1"/>
    <col min="1824" max="1824" width="1.21875" style="3" customWidth="1"/>
    <col min="1825" max="1825" width="1.77734375" style="3" customWidth="1"/>
    <col min="1826" max="2048" width="3.44140625" style="3"/>
    <col min="2049" max="2049" width="1.77734375" style="3" customWidth="1"/>
    <col min="2050" max="2050" width="3" style="3" customWidth="1"/>
    <col min="2051" max="2053" width="4.88671875" style="3" customWidth="1"/>
    <col min="2054" max="2054" width="1.21875" style="3" customWidth="1"/>
    <col min="2055" max="2055" width="2.6640625" style="3" customWidth="1"/>
    <col min="2056" max="2061" width="6.21875" style="3" customWidth="1"/>
    <col min="2062" max="2064" width="5.21875" style="3" customWidth="1"/>
    <col min="2065" max="2065" width="4.77734375" style="3" customWidth="1"/>
    <col min="2066" max="2070" width="5.109375" style="3" customWidth="1"/>
    <col min="2071" max="2072" width="4.77734375" style="3" customWidth="1"/>
    <col min="2073" max="2076" width="5.21875" style="3" customWidth="1"/>
    <col min="2077" max="2079" width="6.6640625" style="3" customWidth="1"/>
    <col min="2080" max="2080" width="1.21875" style="3" customWidth="1"/>
    <col min="2081" max="2081" width="1.77734375" style="3" customWidth="1"/>
    <col min="2082" max="2304" width="3.44140625" style="3"/>
    <col min="2305" max="2305" width="1.77734375" style="3" customWidth="1"/>
    <col min="2306" max="2306" width="3" style="3" customWidth="1"/>
    <col min="2307" max="2309" width="4.88671875" style="3" customWidth="1"/>
    <col min="2310" max="2310" width="1.21875" style="3" customWidth="1"/>
    <col min="2311" max="2311" width="2.6640625" style="3" customWidth="1"/>
    <col min="2312" max="2317" width="6.21875" style="3" customWidth="1"/>
    <col min="2318" max="2320" width="5.21875" style="3" customWidth="1"/>
    <col min="2321" max="2321" width="4.77734375" style="3" customWidth="1"/>
    <col min="2322" max="2326" width="5.109375" style="3" customWidth="1"/>
    <col min="2327" max="2328" width="4.77734375" style="3" customWidth="1"/>
    <col min="2329" max="2332" width="5.21875" style="3" customWidth="1"/>
    <col min="2333" max="2335" width="6.6640625" style="3" customWidth="1"/>
    <col min="2336" max="2336" width="1.21875" style="3" customWidth="1"/>
    <col min="2337" max="2337" width="1.77734375" style="3" customWidth="1"/>
    <col min="2338" max="2560" width="3.44140625" style="3"/>
    <col min="2561" max="2561" width="1.77734375" style="3" customWidth="1"/>
    <col min="2562" max="2562" width="3" style="3" customWidth="1"/>
    <col min="2563" max="2565" width="4.88671875" style="3" customWidth="1"/>
    <col min="2566" max="2566" width="1.21875" style="3" customWidth="1"/>
    <col min="2567" max="2567" width="2.6640625" style="3" customWidth="1"/>
    <col min="2568" max="2573" width="6.21875" style="3" customWidth="1"/>
    <col min="2574" max="2576" width="5.21875" style="3" customWidth="1"/>
    <col min="2577" max="2577" width="4.77734375" style="3" customWidth="1"/>
    <col min="2578" max="2582" width="5.109375" style="3" customWidth="1"/>
    <col min="2583" max="2584" width="4.77734375" style="3" customWidth="1"/>
    <col min="2585" max="2588" width="5.21875" style="3" customWidth="1"/>
    <col min="2589" max="2591" width="6.6640625" style="3" customWidth="1"/>
    <col min="2592" max="2592" width="1.21875" style="3" customWidth="1"/>
    <col min="2593" max="2593" width="1.77734375" style="3" customWidth="1"/>
    <col min="2594" max="2816" width="3.44140625" style="3"/>
    <col min="2817" max="2817" width="1.77734375" style="3" customWidth="1"/>
    <col min="2818" max="2818" width="3" style="3" customWidth="1"/>
    <col min="2819" max="2821" width="4.88671875" style="3" customWidth="1"/>
    <col min="2822" max="2822" width="1.21875" style="3" customWidth="1"/>
    <col min="2823" max="2823" width="2.6640625" style="3" customWidth="1"/>
    <col min="2824" max="2829" width="6.21875" style="3" customWidth="1"/>
    <col min="2830" max="2832" width="5.21875" style="3" customWidth="1"/>
    <col min="2833" max="2833" width="4.77734375" style="3" customWidth="1"/>
    <col min="2834" max="2838" width="5.109375" style="3" customWidth="1"/>
    <col min="2839" max="2840" width="4.77734375" style="3" customWidth="1"/>
    <col min="2841" max="2844" width="5.21875" style="3" customWidth="1"/>
    <col min="2845" max="2847" width="6.6640625" style="3" customWidth="1"/>
    <col min="2848" max="2848" width="1.21875" style="3" customWidth="1"/>
    <col min="2849" max="2849" width="1.77734375" style="3" customWidth="1"/>
    <col min="2850" max="3072" width="3.44140625" style="3"/>
    <col min="3073" max="3073" width="1.77734375" style="3" customWidth="1"/>
    <col min="3074" max="3074" width="3" style="3" customWidth="1"/>
    <col min="3075" max="3077" width="4.88671875" style="3" customWidth="1"/>
    <col min="3078" max="3078" width="1.21875" style="3" customWidth="1"/>
    <col min="3079" max="3079" width="2.6640625" style="3" customWidth="1"/>
    <col min="3080" max="3085" width="6.21875" style="3" customWidth="1"/>
    <col min="3086" max="3088" width="5.21875" style="3" customWidth="1"/>
    <col min="3089" max="3089" width="4.77734375" style="3" customWidth="1"/>
    <col min="3090" max="3094" width="5.109375" style="3" customWidth="1"/>
    <col min="3095" max="3096" width="4.77734375" style="3" customWidth="1"/>
    <col min="3097" max="3100" width="5.21875" style="3" customWidth="1"/>
    <col min="3101" max="3103" width="6.6640625" style="3" customWidth="1"/>
    <col min="3104" max="3104" width="1.21875" style="3" customWidth="1"/>
    <col min="3105" max="3105" width="1.77734375" style="3" customWidth="1"/>
    <col min="3106" max="3328" width="3.44140625" style="3"/>
    <col min="3329" max="3329" width="1.77734375" style="3" customWidth="1"/>
    <col min="3330" max="3330" width="3" style="3" customWidth="1"/>
    <col min="3331" max="3333" width="4.88671875" style="3" customWidth="1"/>
    <col min="3334" max="3334" width="1.21875" style="3" customWidth="1"/>
    <col min="3335" max="3335" width="2.6640625" style="3" customWidth="1"/>
    <col min="3336" max="3341" width="6.21875" style="3" customWidth="1"/>
    <col min="3342" max="3344" width="5.21875" style="3" customWidth="1"/>
    <col min="3345" max="3345" width="4.77734375" style="3" customWidth="1"/>
    <col min="3346" max="3350" width="5.109375" style="3" customWidth="1"/>
    <col min="3351" max="3352" width="4.77734375" style="3" customWidth="1"/>
    <col min="3353" max="3356" width="5.21875" style="3" customWidth="1"/>
    <col min="3357" max="3359" width="6.6640625" style="3" customWidth="1"/>
    <col min="3360" max="3360" width="1.21875" style="3" customWidth="1"/>
    <col min="3361" max="3361" width="1.77734375" style="3" customWidth="1"/>
    <col min="3362" max="3584" width="3.44140625" style="3"/>
    <col min="3585" max="3585" width="1.77734375" style="3" customWidth="1"/>
    <col min="3586" max="3586" width="3" style="3" customWidth="1"/>
    <col min="3587" max="3589" width="4.88671875" style="3" customWidth="1"/>
    <col min="3590" max="3590" width="1.21875" style="3" customWidth="1"/>
    <col min="3591" max="3591" width="2.6640625" style="3" customWidth="1"/>
    <col min="3592" max="3597" width="6.21875" style="3" customWidth="1"/>
    <col min="3598" max="3600" width="5.21875" style="3" customWidth="1"/>
    <col min="3601" max="3601" width="4.77734375" style="3" customWidth="1"/>
    <col min="3602" max="3606" width="5.109375" style="3" customWidth="1"/>
    <col min="3607" max="3608" width="4.77734375" style="3" customWidth="1"/>
    <col min="3609" max="3612" width="5.21875" style="3" customWidth="1"/>
    <col min="3613" max="3615" width="6.6640625" style="3" customWidth="1"/>
    <col min="3616" max="3616" width="1.21875" style="3" customWidth="1"/>
    <col min="3617" max="3617" width="1.77734375" style="3" customWidth="1"/>
    <col min="3618" max="3840" width="3.44140625" style="3"/>
    <col min="3841" max="3841" width="1.77734375" style="3" customWidth="1"/>
    <col min="3842" max="3842" width="3" style="3" customWidth="1"/>
    <col min="3843" max="3845" width="4.88671875" style="3" customWidth="1"/>
    <col min="3846" max="3846" width="1.21875" style="3" customWidth="1"/>
    <col min="3847" max="3847" width="2.6640625" style="3" customWidth="1"/>
    <col min="3848" max="3853" width="6.21875" style="3" customWidth="1"/>
    <col min="3854" max="3856" width="5.21875" style="3" customWidth="1"/>
    <col min="3857" max="3857" width="4.77734375" style="3" customWidth="1"/>
    <col min="3858" max="3862" width="5.109375" style="3" customWidth="1"/>
    <col min="3863" max="3864" width="4.77734375" style="3" customWidth="1"/>
    <col min="3865" max="3868" width="5.21875" style="3" customWidth="1"/>
    <col min="3869" max="3871" width="6.6640625" style="3" customWidth="1"/>
    <col min="3872" max="3872" width="1.21875" style="3" customWidth="1"/>
    <col min="3873" max="3873" width="1.77734375" style="3" customWidth="1"/>
    <col min="3874" max="4096" width="3.44140625" style="3"/>
    <col min="4097" max="4097" width="1.77734375" style="3" customWidth="1"/>
    <col min="4098" max="4098" width="3" style="3" customWidth="1"/>
    <col min="4099" max="4101" width="4.88671875" style="3" customWidth="1"/>
    <col min="4102" max="4102" width="1.21875" style="3" customWidth="1"/>
    <col min="4103" max="4103" width="2.6640625" style="3" customWidth="1"/>
    <col min="4104" max="4109" width="6.21875" style="3" customWidth="1"/>
    <col min="4110" max="4112" width="5.21875" style="3" customWidth="1"/>
    <col min="4113" max="4113" width="4.77734375" style="3" customWidth="1"/>
    <col min="4114" max="4118" width="5.109375" style="3" customWidth="1"/>
    <col min="4119" max="4120" width="4.77734375" style="3" customWidth="1"/>
    <col min="4121" max="4124" width="5.21875" style="3" customWidth="1"/>
    <col min="4125" max="4127" width="6.6640625" style="3" customWidth="1"/>
    <col min="4128" max="4128" width="1.21875" style="3" customWidth="1"/>
    <col min="4129" max="4129" width="1.77734375" style="3" customWidth="1"/>
    <col min="4130" max="4352" width="3.44140625" style="3"/>
    <col min="4353" max="4353" width="1.77734375" style="3" customWidth="1"/>
    <col min="4354" max="4354" width="3" style="3" customWidth="1"/>
    <col min="4355" max="4357" width="4.88671875" style="3" customWidth="1"/>
    <col min="4358" max="4358" width="1.21875" style="3" customWidth="1"/>
    <col min="4359" max="4359" width="2.6640625" style="3" customWidth="1"/>
    <col min="4360" max="4365" width="6.21875" style="3" customWidth="1"/>
    <col min="4366" max="4368" width="5.21875" style="3" customWidth="1"/>
    <col min="4369" max="4369" width="4.77734375" style="3" customWidth="1"/>
    <col min="4370" max="4374" width="5.109375" style="3" customWidth="1"/>
    <col min="4375" max="4376" width="4.77734375" style="3" customWidth="1"/>
    <col min="4377" max="4380" width="5.21875" style="3" customWidth="1"/>
    <col min="4381" max="4383" width="6.6640625" style="3" customWidth="1"/>
    <col min="4384" max="4384" width="1.21875" style="3" customWidth="1"/>
    <col min="4385" max="4385" width="1.77734375" style="3" customWidth="1"/>
    <col min="4386" max="4608" width="3.44140625" style="3"/>
    <col min="4609" max="4609" width="1.77734375" style="3" customWidth="1"/>
    <col min="4610" max="4610" width="3" style="3" customWidth="1"/>
    <col min="4611" max="4613" width="4.88671875" style="3" customWidth="1"/>
    <col min="4614" max="4614" width="1.21875" style="3" customWidth="1"/>
    <col min="4615" max="4615" width="2.6640625" style="3" customWidth="1"/>
    <col min="4616" max="4621" width="6.21875" style="3" customWidth="1"/>
    <col min="4622" max="4624" width="5.21875" style="3" customWidth="1"/>
    <col min="4625" max="4625" width="4.77734375" style="3" customWidth="1"/>
    <col min="4626" max="4630" width="5.109375" style="3" customWidth="1"/>
    <col min="4631" max="4632" width="4.77734375" style="3" customWidth="1"/>
    <col min="4633" max="4636" width="5.21875" style="3" customWidth="1"/>
    <col min="4637" max="4639" width="6.6640625" style="3" customWidth="1"/>
    <col min="4640" max="4640" width="1.21875" style="3" customWidth="1"/>
    <col min="4641" max="4641" width="1.77734375" style="3" customWidth="1"/>
    <col min="4642" max="4864" width="3.44140625" style="3"/>
    <col min="4865" max="4865" width="1.77734375" style="3" customWidth="1"/>
    <col min="4866" max="4866" width="3" style="3" customWidth="1"/>
    <col min="4867" max="4869" width="4.88671875" style="3" customWidth="1"/>
    <col min="4870" max="4870" width="1.21875" style="3" customWidth="1"/>
    <col min="4871" max="4871" width="2.6640625" style="3" customWidth="1"/>
    <col min="4872" max="4877" width="6.21875" style="3" customWidth="1"/>
    <col min="4878" max="4880" width="5.21875" style="3" customWidth="1"/>
    <col min="4881" max="4881" width="4.77734375" style="3" customWidth="1"/>
    <col min="4882" max="4886" width="5.109375" style="3" customWidth="1"/>
    <col min="4887" max="4888" width="4.77734375" style="3" customWidth="1"/>
    <col min="4889" max="4892" width="5.21875" style="3" customWidth="1"/>
    <col min="4893" max="4895" width="6.6640625" style="3" customWidth="1"/>
    <col min="4896" max="4896" width="1.21875" style="3" customWidth="1"/>
    <col min="4897" max="4897" width="1.77734375" style="3" customWidth="1"/>
    <col min="4898" max="5120" width="3.44140625" style="3"/>
    <col min="5121" max="5121" width="1.77734375" style="3" customWidth="1"/>
    <col min="5122" max="5122" width="3" style="3" customWidth="1"/>
    <col min="5123" max="5125" width="4.88671875" style="3" customWidth="1"/>
    <col min="5126" max="5126" width="1.21875" style="3" customWidth="1"/>
    <col min="5127" max="5127" width="2.6640625" style="3" customWidth="1"/>
    <col min="5128" max="5133" width="6.21875" style="3" customWidth="1"/>
    <col min="5134" max="5136" width="5.21875" style="3" customWidth="1"/>
    <col min="5137" max="5137" width="4.77734375" style="3" customWidth="1"/>
    <col min="5138" max="5142" width="5.109375" style="3" customWidth="1"/>
    <col min="5143" max="5144" width="4.77734375" style="3" customWidth="1"/>
    <col min="5145" max="5148" width="5.21875" style="3" customWidth="1"/>
    <col min="5149" max="5151" width="6.6640625" style="3" customWidth="1"/>
    <col min="5152" max="5152" width="1.21875" style="3" customWidth="1"/>
    <col min="5153" max="5153" width="1.77734375" style="3" customWidth="1"/>
    <col min="5154" max="5376" width="3.44140625" style="3"/>
    <col min="5377" max="5377" width="1.77734375" style="3" customWidth="1"/>
    <col min="5378" max="5378" width="3" style="3" customWidth="1"/>
    <col min="5379" max="5381" width="4.88671875" style="3" customWidth="1"/>
    <col min="5382" max="5382" width="1.21875" style="3" customWidth="1"/>
    <col min="5383" max="5383" width="2.6640625" style="3" customWidth="1"/>
    <col min="5384" max="5389" width="6.21875" style="3" customWidth="1"/>
    <col min="5390" max="5392" width="5.21875" style="3" customWidth="1"/>
    <col min="5393" max="5393" width="4.77734375" style="3" customWidth="1"/>
    <col min="5394" max="5398" width="5.109375" style="3" customWidth="1"/>
    <col min="5399" max="5400" width="4.77734375" style="3" customWidth="1"/>
    <col min="5401" max="5404" width="5.21875" style="3" customWidth="1"/>
    <col min="5405" max="5407" width="6.6640625" style="3" customWidth="1"/>
    <col min="5408" max="5408" width="1.21875" style="3" customWidth="1"/>
    <col min="5409" max="5409" width="1.77734375" style="3" customWidth="1"/>
    <col min="5410" max="5632" width="3.44140625" style="3"/>
    <col min="5633" max="5633" width="1.77734375" style="3" customWidth="1"/>
    <col min="5634" max="5634" width="3" style="3" customWidth="1"/>
    <col min="5635" max="5637" width="4.88671875" style="3" customWidth="1"/>
    <col min="5638" max="5638" width="1.21875" style="3" customWidth="1"/>
    <col min="5639" max="5639" width="2.6640625" style="3" customWidth="1"/>
    <col min="5640" max="5645" width="6.21875" style="3" customWidth="1"/>
    <col min="5646" max="5648" width="5.21875" style="3" customWidth="1"/>
    <col min="5649" max="5649" width="4.77734375" style="3" customWidth="1"/>
    <col min="5650" max="5654" width="5.109375" style="3" customWidth="1"/>
    <col min="5655" max="5656" width="4.77734375" style="3" customWidth="1"/>
    <col min="5657" max="5660" width="5.21875" style="3" customWidth="1"/>
    <col min="5661" max="5663" width="6.6640625" style="3" customWidth="1"/>
    <col min="5664" max="5664" width="1.21875" style="3" customWidth="1"/>
    <col min="5665" max="5665" width="1.77734375" style="3" customWidth="1"/>
    <col min="5666" max="5888" width="3.44140625" style="3"/>
    <col min="5889" max="5889" width="1.77734375" style="3" customWidth="1"/>
    <col min="5890" max="5890" width="3" style="3" customWidth="1"/>
    <col min="5891" max="5893" width="4.88671875" style="3" customWidth="1"/>
    <col min="5894" max="5894" width="1.21875" style="3" customWidth="1"/>
    <col min="5895" max="5895" width="2.6640625" style="3" customWidth="1"/>
    <col min="5896" max="5901" width="6.21875" style="3" customWidth="1"/>
    <col min="5902" max="5904" width="5.21875" style="3" customWidth="1"/>
    <col min="5905" max="5905" width="4.77734375" style="3" customWidth="1"/>
    <col min="5906" max="5910" width="5.109375" style="3" customWidth="1"/>
    <col min="5911" max="5912" width="4.77734375" style="3" customWidth="1"/>
    <col min="5913" max="5916" width="5.21875" style="3" customWidth="1"/>
    <col min="5917" max="5919" width="6.6640625" style="3" customWidth="1"/>
    <col min="5920" max="5920" width="1.21875" style="3" customWidth="1"/>
    <col min="5921" max="5921" width="1.77734375" style="3" customWidth="1"/>
    <col min="5922" max="6144" width="3.44140625" style="3"/>
    <col min="6145" max="6145" width="1.77734375" style="3" customWidth="1"/>
    <col min="6146" max="6146" width="3" style="3" customWidth="1"/>
    <col min="6147" max="6149" width="4.88671875" style="3" customWidth="1"/>
    <col min="6150" max="6150" width="1.21875" style="3" customWidth="1"/>
    <col min="6151" max="6151" width="2.6640625" style="3" customWidth="1"/>
    <col min="6152" max="6157" width="6.21875" style="3" customWidth="1"/>
    <col min="6158" max="6160" width="5.21875" style="3" customWidth="1"/>
    <col min="6161" max="6161" width="4.77734375" style="3" customWidth="1"/>
    <col min="6162" max="6166" width="5.109375" style="3" customWidth="1"/>
    <col min="6167" max="6168" width="4.77734375" style="3" customWidth="1"/>
    <col min="6169" max="6172" width="5.21875" style="3" customWidth="1"/>
    <col min="6173" max="6175" width="6.6640625" style="3" customWidth="1"/>
    <col min="6176" max="6176" width="1.21875" style="3" customWidth="1"/>
    <col min="6177" max="6177" width="1.77734375" style="3" customWidth="1"/>
    <col min="6178" max="6400" width="3.44140625" style="3"/>
    <col min="6401" max="6401" width="1.77734375" style="3" customWidth="1"/>
    <col min="6402" max="6402" width="3" style="3" customWidth="1"/>
    <col min="6403" max="6405" width="4.88671875" style="3" customWidth="1"/>
    <col min="6406" max="6406" width="1.21875" style="3" customWidth="1"/>
    <col min="6407" max="6407" width="2.6640625" style="3" customWidth="1"/>
    <col min="6408" max="6413" width="6.21875" style="3" customWidth="1"/>
    <col min="6414" max="6416" width="5.21875" style="3" customWidth="1"/>
    <col min="6417" max="6417" width="4.77734375" style="3" customWidth="1"/>
    <col min="6418" max="6422" width="5.109375" style="3" customWidth="1"/>
    <col min="6423" max="6424" width="4.77734375" style="3" customWidth="1"/>
    <col min="6425" max="6428" width="5.21875" style="3" customWidth="1"/>
    <col min="6429" max="6431" width="6.6640625" style="3" customWidth="1"/>
    <col min="6432" max="6432" width="1.21875" style="3" customWidth="1"/>
    <col min="6433" max="6433" width="1.77734375" style="3" customWidth="1"/>
    <col min="6434" max="6656" width="3.44140625" style="3"/>
    <col min="6657" max="6657" width="1.77734375" style="3" customWidth="1"/>
    <col min="6658" max="6658" width="3" style="3" customWidth="1"/>
    <col min="6659" max="6661" width="4.88671875" style="3" customWidth="1"/>
    <col min="6662" max="6662" width="1.21875" style="3" customWidth="1"/>
    <col min="6663" max="6663" width="2.6640625" style="3" customWidth="1"/>
    <col min="6664" max="6669" width="6.21875" style="3" customWidth="1"/>
    <col min="6670" max="6672" width="5.21875" style="3" customWidth="1"/>
    <col min="6673" max="6673" width="4.77734375" style="3" customWidth="1"/>
    <col min="6674" max="6678" width="5.109375" style="3" customWidth="1"/>
    <col min="6679" max="6680" width="4.77734375" style="3" customWidth="1"/>
    <col min="6681" max="6684" width="5.21875" style="3" customWidth="1"/>
    <col min="6685" max="6687" width="6.6640625" style="3" customWidth="1"/>
    <col min="6688" max="6688" width="1.21875" style="3" customWidth="1"/>
    <col min="6689" max="6689" width="1.77734375" style="3" customWidth="1"/>
    <col min="6690" max="6912" width="3.44140625" style="3"/>
    <col min="6913" max="6913" width="1.77734375" style="3" customWidth="1"/>
    <col min="6914" max="6914" width="3" style="3" customWidth="1"/>
    <col min="6915" max="6917" width="4.88671875" style="3" customWidth="1"/>
    <col min="6918" max="6918" width="1.21875" style="3" customWidth="1"/>
    <col min="6919" max="6919" width="2.6640625" style="3" customWidth="1"/>
    <col min="6920" max="6925" width="6.21875" style="3" customWidth="1"/>
    <col min="6926" max="6928" width="5.21875" style="3" customWidth="1"/>
    <col min="6929" max="6929" width="4.77734375" style="3" customWidth="1"/>
    <col min="6930" max="6934" width="5.109375" style="3" customWidth="1"/>
    <col min="6935" max="6936" width="4.77734375" style="3" customWidth="1"/>
    <col min="6937" max="6940" width="5.21875" style="3" customWidth="1"/>
    <col min="6941" max="6943" width="6.6640625" style="3" customWidth="1"/>
    <col min="6944" max="6944" width="1.21875" style="3" customWidth="1"/>
    <col min="6945" max="6945" width="1.77734375" style="3" customWidth="1"/>
    <col min="6946" max="7168" width="3.44140625" style="3"/>
    <col min="7169" max="7169" width="1.77734375" style="3" customWidth="1"/>
    <col min="7170" max="7170" width="3" style="3" customWidth="1"/>
    <col min="7171" max="7173" width="4.88671875" style="3" customWidth="1"/>
    <col min="7174" max="7174" width="1.21875" style="3" customWidth="1"/>
    <col min="7175" max="7175" width="2.6640625" style="3" customWidth="1"/>
    <col min="7176" max="7181" width="6.21875" style="3" customWidth="1"/>
    <col min="7182" max="7184" width="5.21875" style="3" customWidth="1"/>
    <col min="7185" max="7185" width="4.77734375" style="3" customWidth="1"/>
    <col min="7186" max="7190" width="5.109375" style="3" customWidth="1"/>
    <col min="7191" max="7192" width="4.77734375" style="3" customWidth="1"/>
    <col min="7193" max="7196" width="5.21875" style="3" customWidth="1"/>
    <col min="7197" max="7199" width="6.6640625" style="3" customWidth="1"/>
    <col min="7200" max="7200" width="1.21875" style="3" customWidth="1"/>
    <col min="7201" max="7201" width="1.77734375" style="3" customWidth="1"/>
    <col min="7202" max="7424" width="3.44140625" style="3"/>
    <col min="7425" max="7425" width="1.77734375" style="3" customWidth="1"/>
    <col min="7426" max="7426" width="3" style="3" customWidth="1"/>
    <col min="7427" max="7429" width="4.88671875" style="3" customWidth="1"/>
    <col min="7430" max="7430" width="1.21875" style="3" customWidth="1"/>
    <col min="7431" max="7431" width="2.6640625" style="3" customWidth="1"/>
    <col min="7432" max="7437" width="6.21875" style="3" customWidth="1"/>
    <col min="7438" max="7440" width="5.21875" style="3" customWidth="1"/>
    <col min="7441" max="7441" width="4.77734375" style="3" customWidth="1"/>
    <col min="7442" max="7446" width="5.109375" style="3" customWidth="1"/>
    <col min="7447" max="7448" width="4.77734375" style="3" customWidth="1"/>
    <col min="7449" max="7452" width="5.21875" style="3" customWidth="1"/>
    <col min="7453" max="7455" width="6.6640625" style="3" customWidth="1"/>
    <col min="7456" max="7456" width="1.21875" style="3" customWidth="1"/>
    <col min="7457" max="7457" width="1.77734375" style="3" customWidth="1"/>
    <col min="7458" max="7680" width="3.44140625" style="3"/>
    <col min="7681" max="7681" width="1.77734375" style="3" customWidth="1"/>
    <col min="7682" max="7682" width="3" style="3" customWidth="1"/>
    <col min="7683" max="7685" width="4.88671875" style="3" customWidth="1"/>
    <col min="7686" max="7686" width="1.21875" style="3" customWidth="1"/>
    <col min="7687" max="7687" width="2.6640625" style="3" customWidth="1"/>
    <col min="7688" max="7693" width="6.21875" style="3" customWidth="1"/>
    <col min="7694" max="7696" width="5.21875" style="3" customWidth="1"/>
    <col min="7697" max="7697" width="4.77734375" style="3" customWidth="1"/>
    <col min="7698" max="7702" width="5.109375" style="3" customWidth="1"/>
    <col min="7703" max="7704" width="4.77734375" style="3" customWidth="1"/>
    <col min="7705" max="7708" width="5.21875" style="3" customWidth="1"/>
    <col min="7709" max="7711" width="6.6640625" style="3" customWidth="1"/>
    <col min="7712" max="7712" width="1.21875" style="3" customWidth="1"/>
    <col min="7713" max="7713" width="1.77734375" style="3" customWidth="1"/>
    <col min="7714" max="7936" width="3.44140625" style="3"/>
    <col min="7937" max="7937" width="1.77734375" style="3" customWidth="1"/>
    <col min="7938" max="7938" width="3" style="3" customWidth="1"/>
    <col min="7939" max="7941" width="4.88671875" style="3" customWidth="1"/>
    <col min="7942" max="7942" width="1.21875" style="3" customWidth="1"/>
    <col min="7943" max="7943" width="2.6640625" style="3" customWidth="1"/>
    <col min="7944" max="7949" width="6.21875" style="3" customWidth="1"/>
    <col min="7950" max="7952" width="5.21875" style="3" customWidth="1"/>
    <col min="7953" max="7953" width="4.77734375" style="3" customWidth="1"/>
    <col min="7954" max="7958" width="5.109375" style="3" customWidth="1"/>
    <col min="7959" max="7960" width="4.77734375" style="3" customWidth="1"/>
    <col min="7961" max="7964" width="5.21875" style="3" customWidth="1"/>
    <col min="7965" max="7967" width="6.6640625" style="3" customWidth="1"/>
    <col min="7968" max="7968" width="1.21875" style="3" customWidth="1"/>
    <col min="7969" max="7969" width="1.77734375" style="3" customWidth="1"/>
    <col min="7970" max="8192" width="3.44140625" style="3"/>
    <col min="8193" max="8193" width="1.77734375" style="3" customWidth="1"/>
    <col min="8194" max="8194" width="3" style="3" customWidth="1"/>
    <col min="8195" max="8197" width="4.88671875" style="3" customWidth="1"/>
    <col min="8198" max="8198" width="1.21875" style="3" customWidth="1"/>
    <col min="8199" max="8199" width="2.6640625" style="3" customWidth="1"/>
    <col min="8200" max="8205" width="6.21875" style="3" customWidth="1"/>
    <col min="8206" max="8208" width="5.21875" style="3" customWidth="1"/>
    <col min="8209" max="8209" width="4.77734375" style="3" customWidth="1"/>
    <col min="8210" max="8214" width="5.109375" style="3" customWidth="1"/>
    <col min="8215" max="8216" width="4.77734375" style="3" customWidth="1"/>
    <col min="8217" max="8220" width="5.21875" style="3" customWidth="1"/>
    <col min="8221" max="8223" width="6.6640625" style="3" customWidth="1"/>
    <col min="8224" max="8224" width="1.21875" style="3" customWidth="1"/>
    <col min="8225" max="8225" width="1.77734375" style="3" customWidth="1"/>
    <col min="8226" max="8448" width="3.44140625" style="3"/>
    <col min="8449" max="8449" width="1.77734375" style="3" customWidth="1"/>
    <col min="8450" max="8450" width="3" style="3" customWidth="1"/>
    <col min="8451" max="8453" width="4.88671875" style="3" customWidth="1"/>
    <col min="8454" max="8454" width="1.21875" style="3" customWidth="1"/>
    <col min="8455" max="8455" width="2.6640625" style="3" customWidth="1"/>
    <col min="8456" max="8461" width="6.21875" style="3" customWidth="1"/>
    <col min="8462" max="8464" width="5.21875" style="3" customWidth="1"/>
    <col min="8465" max="8465" width="4.77734375" style="3" customWidth="1"/>
    <col min="8466" max="8470" width="5.109375" style="3" customWidth="1"/>
    <col min="8471" max="8472" width="4.77734375" style="3" customWidth="1"/>
    <col min="8473" max="8476" width="5.21875" style="3" customWidth="1"/>
    <col min="8477" max="8479" width="6.6640625" style="3" customWidth="1"/>
    <col min="8480" max="8480" width="1.21875" style="3" customWidth="1"/>
    <col min="8481" max="8481" width="1.77734375" style="3" customWidth="1"/>
    <col min="8482" max="8704" width="3.44140625" style="3"/>
    <col min="8705" max="8705" width="1.77734375" style="3" customWidth="1"/>
    <col min="8706" max="8706" width="3" style="3" customWidth="1"/>
    <col min="8707" max="8709" width="4.88671875" style="3" customWidth="1"/>
    <col min="8710" max="8710" width="1.21875" style="3" customWidth="1"/>
    <col min="8711" max="8711" width="2.6640625" style="3" customWidth="1"/>
    <col min="8712" max="8717" width="6.21875" style="3" customWidth="1"/>
    <col min="8718" max="8720" width="5.21875" style="3" customWidth="1"/>
    <col min="8721" max="8721" width="4.77734375" style="3" customWidth="1"/>
    <col min="8722" max="8726" width="5.109375" style="3" customWidth="1"/>
    <col min="8727" max="8728" width="4.77734375" style="3" customWidth="1"/>
    <col min="8729" max="8732" width="5.21875" style="3" customWidth="1"/>
    <col min="8733" max="8735" width="6.6640625" style="3" customWidth="1"/>
    <col min="8736" max="8736" width="1.21875" style="3" customWidth="1"/>
    <col min="8737" max="8737" width="1.77734375" style="3" customWidth="1"/>
    <col min="8738" max="8960" width="3.44140625" style="3"/>
    <col min="8961" max="8961" width="1.77734375" style="3" customWidth="1"/>
    <col min="8962" max="8962" width="3" style="3" customWidth="1"/>
    <col min="8963" max="8965" width="4.88671875" style="3" customWidth="1"/>
    <col min="8966" max="8966" width="1.21875" style="3" customWidth="1"/>
    <col min="8967" max="8967" width="2.6640625" style="3" customWidth="1"/>
    <col min="8968" max="8973" width="6.21875" style="3" customWidth="1"/>
    <col min="8974" max="8976" width="5.21875" style="3" customWidth="1"/>
    <col min="8977" max="8977" width="4.77734375" style="3" customWidth="1"/>
    <col min="8978" max="8982" width="5.109375" style="3" customWidth="1"/>
    <col min="8983" max="8984" width="4.77734375" style="3" customWidth="1"/>
    <col min="8985" max="8988" width="5.21875" style="3" customWidth="1"/>
    <col min="8989" max="8991" width="6.6640625" style="3" customWidth="1"/>
    <col min="8992" max="8992" width="1.21875" style="3" customWidth="1"/>
    <col min="8993" max="8993" width="1.77734375" style="3" customWidth="1"/>
    <col min="8994" max="9216" width="3.44140625" style="3"/>
    <col min="9217" max="9217" width="1.77734375" style="3" customWidth="1"/>
    <col min="9218" max="9218" width="3" style="3" customWidth="1"/>
    <col min="9219" max="9221" width="4.88671875" style="3" customWidth="1"/>
    <col min="9222" max="9222" width="1.21875" style="3" customWidth="1"/>
    <col min="9223" max="9223" width="2.6640625" style="3" customWidth="1"/>
    <col min="9224" max="9229" width="6.21875" style="3" customWidth="1"/>
    <col min="9230" max="9232" width="5.21875" style="3" customWidth="1"/>
    <col min="9233" max="9233" width="4.77734375" style="3" customWidth="1"/>
    <col min="9234" max="9238" width="5.109375" style="3" customWidth="1"/>
    <col min="9239" max="9240" width="4.77734375" style="3" customWidth="1"/>
    <col min="9241" max="9244" width="5.21875" style="3" customWidth="1"/>
    <col min="9245" max="9247" width="6.6640625" style="3" customWidth="1"/>
    <col min="9248" max="9248" width="1.21875" style="3" customWidth="1"/>
    <col min="9249" max="9249" width="1.77734375" style="3" customWidth="1"/>
    <col min="9250" max="9472" width="3.44140625" style="3"/>
    <col min="9473" max="9473" width="1.77734375" style="3" customWidth="1"/>
    <col min="9474" max="9474" width="3" style="3" customWidth="1"/>
    <col min="9475" max="9477" width="4.88671875" style="3" customWidth="1"/>
    <col min="9478" max="9478" width="1.21875" style="3" customWidth="1"/>
    <col min="9479" max="9479" width="2.6640625" style="3" customWidth="1"/>
    <col min="9480" max="9485" width="6.21875" style="3" customWidth="1"/>
    <col min="9486" max="9488" width="5.21875" style="3" customWidth="1"/>
    <col min="9489" max="9489" width="4.77734375" style="3" customWidth="1"/>
    <col min="9490" max="9494" width="5.109375" style="3" customWidth="1"/>
    <col min="9495" max="9496" width="4.77734375" style="3" customWidth="1"/>
    <col min="9497" max="9500" width="5.21875" style="3" customWidth="1"/>
    <col min="9501" max="9503" width="6.6640625" style="3" customWidth="1"/>
    <col min="9504" max="9504" width="1.21875" style="3" customWidth="1"/>
    <col min="9505" max="9505" width="1.77734375" style="3" customWidth="1"/>
    <col min="9506" max="9728" width="3.44140625" style="3"/>
    <col min="9729" max="9729" width="1.77734375" style="3" customWidth="1"/>
    <col min="9730" max="9730" width="3" style="3" customWidth="1"/>
    <col min="9731" max="9733" width="4.88671875" style="3" customWidth="1"/>
    <col min="9734" max="9734" width="1.21875" style="3" customWidth="1"/>
    <col min="9735" max="9735" width="2.6640625" style="3" customWidth="1"/>
    <col min="9736" max="9741" width="6.21875" style="3" customWidth="1"/>
    <col min="9742" max="9744" width="5.21875" style="3" customWidth="1"/>
    <col min="9745" max="9745" width="4.77734375" style="3" customWidth="1"/>
    <col min="9746" max="9750" width="5.109375" style="3" customWidth="1"/>
    <col min="9751" max="9752" width="4.77734375" style="3" customWidth="1"/>
    <col min="9753" max="9756" width="5.21875" style="3" customWidth="1"/>
    <col min="9757" max="9759" width="6.6640625" style="3" customWidth="1"/>
    <col min="9760" max="9760" width="1.21875" style="3" customWidth="1"/>
    <col min="9761" max="9761" width="1.77734375" style="3" customWidth="1"/>
    <col min="9762" max="9984" width="3.44140625" style="3"/>
    <col min="9985" max="9985" width="1.77734375" style="3" customWidth="1"/>
    <col min="9986" max="9986" width="3" style="3" customWidth="1"/>
    <col min="9987" max="9989" width="4.88671875" style="3" customWidth="1"/>
    <col min="9990" max="9990" width="1.21875" style="3" customWidth="1"/>
    <col min="9991" max="9991" width="2.6640625" style="3" customWidth="1"/>
    <col min="9992" max="9997" width="6.21875" style="3" customWidth="1"/>
    <col min="9998" max="10000" width="5.21875" style="3" customWidth="1"/>
    <col min="10001" max="10001" width="4.77734375" style="3" customWidth="1"/>
    <col min="10002" max="10006" width="5.109375" style="3" customWidth="1"/>
    <col min="10007" max="10008" width="4.77734375" style="3" customWidth="1"/>
    <col min="10009" max="10012" width="5.21875" style="3" customWidth="1"/>
    <col min="10013" max="10015" width="6.6640625" style="3" customWidth="1"/>
    <col min="10016" max="10016" width="1.21875" style="3" customWidth="1"/>
    <col min="10017" max="10017" width="1.77734375" style="3" customWidth="1"/>
    <col min="10018" max="10240" width="3.44140625" style="3"/>
    <col min="10241" max="10241" width="1.77734375" style="3" customWidth="1"/>
    <col min="10242" max="10242" width="3" style="3" customWidth="1"/>
    <col min="10243" max="10245" width="4.88671875" style="3" customWidth="1"/>
    <col min="10246" max="10246" width="1.21875" style="3" customWidth="1"/>
    <col min="10247" max="10247" width="2.6640625" style="3" customWidth="1"/>
    <col min="10248" max="10253" width="6.21875" style="3" customWidth="1"/>
    <col min="10254" max="10256" width="5.21875" style="3" customWidth="1"/>
    <col min="10257" max="10257" width="4.77734375" style="3" customWidth="1"/>
    <col min="10258" max="10262" width="5.109375" style="3" customWidth="1"/>
    <col min="10263" max="10264" width="4.77734375" style="3" customWidth="1"/>
    <col min="10265" max="10268" width="5.21875" style="3" customWidth="1"/>
    <col min="10269" max="10271" width="6.6640625" style="3" customWidth="1"/>
    <col min="10272" max="10272" width="1.21875" style="3" customWidth="1"/>
    <col min="10273" max="10273" width="1.77734375" style="3" customWidth="1"/>
    <col min="10274" max="10496" width="3.44140625" style="3"/>
    <col min="10497" max="10497" width="1.77734375" style="3" customWidth="1"/>
    <col min="10498" max="10498" width="3" style="3" customWidth="1"/>
    <col min="10499" max="10501" width="4.88671875" style="3" customWidth="1"/>
    <col min="10502" max="10502" width="1.21875" style="3" customWidth="1"/>
    <col min="10503" max="10503" width="2.6640625" style="3" customWidth="1"/>
    <col min="10504" max="10509" width="6.21875" style="3" customWidth="1"/>
    <col min="10510" max="10512" width="5.21875" style="3" customWidth="1"/>
    <col min="10513" max="10513" width="4.77734375" style="3" customWidth="1"/>
    <col min="10514" max="10518" width="5.109375" style="3" customWidth="1"/>
    <col min="10519" max="10520" width="4.77734375" style="3" customWidth="1"/>
    <col min="10521" max="10524" width="5.21875" style="3" customWidth="1"/>
    <col min="10525" max="10527" width="6.6640625" style="3" customWidth="1"/>
    <col min="10528" max="10528" width="1.21875" style="3" customWidth="1"/>
    <col min="10529" max="10529" width="1.77734375" style="3" customWidth="1"/>
    <col min="10530" max="10752" width="3.44140625" style="3"/>
    <col min="10753" max="10753" width="1.77734375" style="3" customWidth="1"/>
    <col min="10754" max="10754" width="3" style="3" customWidth="1"/>
    <col min="10755" max="10757" width="4.88671875" style="3" customWidth="1"/>
    <col min="10758" max="10758" width="1.21875" style="3" customWidth="1"/>
    <col min="10759" max="10759" width="2.6640625" style="3" customWidth="1"/>
    <col min="10760" max="10765" width="6.21875" style="3" customWidth="1"/>
    <col min="10766" max="10768" width="5.21875" style="3" customWidth="1"/>
    <col min="10769" max="10769" width="4.77734375" style="3" customWidth="1"/>
    <col min="10770" max="10774" width="5.109375" style="3" customWidth="1"/>
    <col min="10775" max="10776" width="4.77734375" style="3" customWidth="1"/>
    <col min="10777" max="10780" width="5.21875" style="3" customWidth="1"/>
    <col min="10781" max="10783" width="6.6640625" style="3" customWidth="1"/>
    <col min="10784" max="10784" width="1.21875" style="3" customWidth="1"/>
    <col min="10785" max="10785" width="1.77734375" style="3" customWidth="1"/>
    <col min="10786" max="11008" width="3.44140625" style="3"/>
    <col min="11009" max="11009" width="1.77734375" style="3" customWidth="1"/>
    <col min="11010" max="11010" width="3" style="3" customWidth="1"/>
    <col min="11011" max="11013" width="4.88671875" style="3" customWidth="1"/>
    <col min="11014" max="11014" width="1.21875" style="3" customWidth="1"/>
    <col min="11015" max="11015" width="2.6640625" style="3" customWidth="1"/>
    <col min="11016" max="11021" width="6.21875" style="3" customWidth="1"/>
    <col min="11022" max="11024" width="5.21875" style="3" customWidth="1"/>
    <col min="11025" max="11025" width="4.77734375" style="3" customWidth="1"/>
    <col min="11026" max="11030" width="5.109375" style="3" customWidth="1"/>
    <col min="11031" max="11032" width="4.77734375" style="3" customWidth="1"/>
    <col min="11033" max="11036" width="5.21875" style="3" customWidth="1"/>
    <col min="11037" max="11039" width="6.6640625" style="3" customWidth="1"/>
    <col min="11040" max="11040" width="1.21875" style="3" customWidth="1"/>
    <col min="11041" max="11041" width="1.77734375" style="3" customWidth="1"/>
    <col min="11042" max="11264" width="3.44140625" style="3"/>
    <col min="11265" max="11265" width="1.77734375" style="3" customWidth="1"/>
    <col min="11266" max="11266" width="3" style="3" customWidth="1"/>
    <col min="11267" max="11269" width="4.88671875" style="3" customWidth="1"/>
    <col min="11270" max="11270" width="1.21875" style="3" customWidth="1"/>
    <col min="11271" max="11271" width="2.6640625" style="3" customWidth="1"/>
    <col min="11272" max="11277" width="6.21875" style="3" customWidth="1"/>
    <col min="11278" max="11280" width="5.21875" style="3" customWidth="1"/>
    <col min="11281" max="11281" width="4.77734375" style="3" customWidth="1"/>
    <col min="11282" max="11286" width="5.109375" style="3" customWidth="1"/>
    <col min="11287" max="11288" width="4.77734375" style="3" customWidth="1"/>
    <col min="11289" max="11292" width="5.21875" style="3" customWidth="1"/>
    <col min="11293" max="11295" width="6.6640625" style="3" customWidth="1"/>
    <col min="11296" max="11296" width="1.21875" style="3" customWidth="1"/>
    <col min="11297" max="11297" width="1.77734375" style="3" customWidth="1"/>
    <col min="11298" max="11520" width="3.44140625" style="3"/>
    <col min="11521" max="11521" width="1.77734375" style="3" customWidth="1"/>
    <col min="11522" max="11522" width="3" style="3" customWidth="1"/>
    <col min="11523" max="11525" width="4.88671875" style="3" customWidth="1"/>
    <col min="11526" max="11526" width="1.21875" style="3" customWidth="1"/>
    <col min="11527" max="11527" width="2.6640625" style="3" customWidth="1"/>
    <col min="11528" max="11533" width="6.21875" style="3" customWidth="1"/>
    <col min="11534" max="11536" width="5.21875" style="3" customWidth="1"/>
    <col min="11537" max="11537" width="4.77734375" style="3" customWidth="1"/>
    <col min="11538" max="11542" width="5.109375" style="3" customWidth="1"/>
    <col min="11543" max="11544" width="4.77734375" style="3" customWidth="1"/>
    <col min="11545" max="11548" width="5.21875" style="3" customWidth="1"/>
    <col min="11549" max="11551" width="6.6640625" style="3" customWidth="1"/>
    <col min="11552" max="11552" width="1.21875" style="3" customWidth="1"/>
    <col min="11553" max="11553" width="1.77734375" style="3" customWidth="1"/>
    <col min="11554" max="11776" width="3.44140625" style="3"/>
    <col min="11777" max="11777" width="1.77734375" style="3" customWidth="1"/>
    <col min="11778" max="11778" width="3" style="3" customWidth="1"/>
    <col min="11779" max="11781" width="4.88671875" style="3" customWidth="1"/>
    <col min="11782" max="11782" width="1.21875" style="3" customWidth="1"/>
    <col min="11783" max="11783" width="2.6640625" style="3" customWidth="1"/>
    <col min="11784" max="11789" width="6.21875" style="3" customWidth="1"/>
    <col min="11790" max="11792" width="5.21875" style="3" customWidth="1"/>
    <col min="11793" max="11793" width="4.77734375" style="3" customWidth="1"/>
    <col min="11794" max="11798" width="5.109375" style="3" customWidth="1"/>
    <col min="11799" max="11800" width="4.77734375" style="3" customWidth="1"/>
    <col min="11801" max="11804" width="5.21875" style="3" customWidth="1"/>
    <col min="11805" max="11807" width="6.6640625" style="3" customWidth="1"/>
    <col min="11808" max="11808" width="1.21875" style="3" customWidth="1"/>
    <col min="11809" max="11809" width="1.77734375" style="3" customWidth="1"/>
    <col min="11810" max="12032" width="3.44140625" style="3"/>
    <col min="12033" max="12033" width="1.77734375" style="3" customWidth="1"/>
    <col min="12034" max="12034" width="3" style="3" customWidth="1"/>
    <col min="12035" max="12037" width="4.88671875" style="3" customWidth="1"/>
    <col min="12038" max="12038" width="1.21875" style="3" customWidth="1"/>
    <col min="12039" max="12039" width="2.6640625" style="3" customWidth="1"/>
    <col min="12040" max="12045" width="6.21875" style="3" customWidth="1"/>
    <col min="12046" max="12048" width="5.21875" style="3" customWidth="1"/>
    <col min="12049" max="12049" width="4.77734375" style="3" customWidth="1"/>
    <col min="12050" max="12054" width="5.109375" style="3" customWidth="1"/>
    <col min="12055" max="12056" width="4.77734375" style="3" customWidth="1"/>
    <col min="12057" max="12060" width="5.21875" style="3" customWidth="1"/>
    <col min="12061" max="12063" width="6.6640625" style="3" customWidth="1"/>
    <col min="12064" max="12064" width="1.21875" style="3" customWidth="1"/>
    <col min="12065" max="12065" width="1.77734375" style="3" customWidth="1"/>
    <col min="12066" max="12288" width="3.44140625" style="3"/>
    <col min="12289" max="12289" width="1.77734375" style="3" customWidth="1"/>
    <col min="12290" max="12290" width="3" style="3" customWidth="1"/>
    <col min="12291" max="12293" width="4.88671875" style="3" customWidth="1"/>
    <col min="12294" max="12294" width="1.21875" style="3" customWidth="1"/>
    <col min="12295" max="12295" width="2.6640625" style="3" customWidth="1"/>
    <col min="12296" max="12301" width="6.21875" style="3" customWidth="1"/>
    <col min="12302" max="12304" width="5.21875" style="3" customWidth="1"/>
    <col min="12305" max="12305" width="4.77734375" style="3" customWidth="1"/>
    <col min="12306" max="12310" width="5.109375" style="3" customWidth="1"/>
    <col min="12311" max="12312" width="4.77734375" style="3" customWidth="1"/>
    <col min="12313" max="12316" width="5.21875" style="3" customWidth="1"/>
    <col min="12317" max="12319" width="6.6640625" style="3" customWidth="1"/>
    <col min="12320" max="12320" width="1.21875" style="3" customWidth="1"/>
    <col min="12321" max="12321" width="1.77734375" style="3" customWidth="1"/>
    <col min="12322" max="12544" width="3.44140625" style="3"/>
    <col min="12545" max="12545" width="1.77734375" style="3" customWidth="1"/>
    <col min="12546" max="12546" width="3" style="3" customWidth="1"/>
    <col min="12547" max="12549" width="4.88671875" style="3" customWidth="1"/>
    <col min="12550" max="12550" width="1.21875" style="3" customWidth="1"/>
    <col min="12551" max="12551" width="2.6640625" style="3" customWidth="1"/>
    <col min="12552" max="12557" width="6.21875" style="3" customWidth="1"/>
    <col min="12558" max="12560" width="5.21875" style="3" customWidth="1"/>
    <col min="12561" max="12561" width="4.77734375" style="3" customWidth="1"/>
    <col min="12562" max="12566" width="5.109375" style="3" customWidth="1"/>
    <col min="12567" max="12568" width="4.77734375" style="3" customWidth="1"/>
    <col min="12569" max="12572" width="5.21875" style="3" customWidth="1"/>
    <col min="12573" max="12575" width="6.6640625" style="3" customWidth="1"/>
    <col min="12576" max="12576" width="1.21875" style="3" customWidth="1"/>
    <col min="12577" max="12577" width="1.77734375" style="3" customWidth="1"/>
    <col min="12578" max="12800" width="3.44140625" style="3"/>
    <col min="12801" max="12801" width="1.77734375" style="3" customWidth="1"/>
    <col min="12802" max="12802" width="3" style="3" customWidth="1"/>
    <col min="12803" max="12805" width="4.88671875" style="3" customWidth="1"/>
    <col min="12806" max="12806" width="1.21875" style="3" customWidth="1"/>
    <col min="12807" max="12807" width="2.6640625" style="3" customWidth="1"/>
    <col min="12808" max="12813" width="6.21875" style="3" customWidth="1"/>
    <col min="12814" max="12816" width="5.21875" style="3" customWidth="1"/>
    <col min="12817" max="12817" width="4.77734375" style="3" customWidth="1"/>
    <col min="12818" max="12822" width="5.109375" style="3" customWidth="1"/>
    <col min="12823" max="12824" width="4.77734375" style="3" customWidth="1"/>
    <col min="12825" max="12828" width="5.21875" style="3" customWidth="1"/>
    <col min="12829" max="12831" width="6.6640625" style="3" customWidth="1"/>
    <col min="12832" max="12832" width="1.21875" style="3" customWidth="1"/>
    <col min="12833" max="12833" width="1.77734375" style="3" customWidth="1"/>
    <col min="12834" max="13056" width="3.44140625" style="3"/>
    <col min="13057" max="13057" width="1.77734375" style="3" customWidth="1"/>
    <col min="13058" max="13058" width="3" style="3" customWidth="1"/>
    <col min="13059" max="13061" width="4.88671875" style="3" customWidth="1"/>
    <col min="13062" max="13062" width="1.21875" style="3" customWidth="1"/>
    <col min="13063" max="13063" width="2.6640625" style="3" customWidth="1"/>
    <col min="13064" max="13069" width="6.21875" style="3" customWidth="1"/>
    <col min="13070" max="13072" width="5.21875" style="3" customWidth="1"/>
    <col min="13073" max="13073" width="4.77734375" style="3" customWidth="1"/>
    <col min="13074" max="13078" width="5.109375" style="3" customWidth="1"/>
    <col min="13079" max="13080" width="4.77734375" style="3" customWidth="1"/>
    <col min="13081" max="13084" width="5.21875" style="3" customWidth="1"/>
    <col min="13085" max="13087" width="6.6640625" style="3" customWidth="1"/>
    <col min="13088" max="13088" width="1.21875" style="3" customWidth="1"/>
    <col min="13089" max="13089" width="1.77734375" style="3" customWidth="1"/>
    <col min="13090" max="13312" width="3.44140625" style="3"/>
    <col min="13313" max="13313" width="1.77734375" style="3" customWidth="1"/>
    <col min="13314" max="13314" width="3" style="3" customWidth="1"/>
    <col min="13315" max="13317" width="4.88671875" style="3" customWidth="1"/>
    <col min="13318" max="13318" width="1.21875" style="3" customWidth="1"/>
    <col min="13319" max="13319" width="2.6640625" style="3" customWidth="1"/>
    <col min="13320" max="13325" width="6.21875" style="3" customWidth="1"/>
    <col min="13326" max="13328" width="5.21875" style="3" customWidth="1"/>
    <col min="13329" max="13329" width="4.77734375" style="3" customWidth="1"/>
    <col min="13330" max="13334" width="5.109375" style="3" customWidth="1"/>
    <col min="13335" max="13336" width="4.77734375" style="3" customWidth="1"/>
    <col min="13337" max="13340" width="5.21875" style="3" customWidth="1"/>
    <col min="13341" max="13343" width="6.6640625" style="3" customWidth="1"/>
    <col min="13344" max="13344" width="1.21875" style="3" customWidth="1"/>
    <col min="13345" max="13345" width="1.77734375" style="3" customWidth="1"/>
    <col min="13346" max="13568" width="3.44140625" style="3"/>
    <col min="13569" max="13569" width="1.77734375" style="3" customWidth="1"/>
    <col min="13570" max="13570" width="3" style="3" customWidth="1"/>
    <col min="13571" max="13573" width="4.88671875" style="3" customWidth="1"/>
    <col min="13574" max="13574" width="1.21875" style="3" customWidth="1"/>
    <col min="13575" max="13575" width="2.6640625" style="3" customWidth="1"/>
    <col min="13576" max="13581" width="6.21875" style="3" customWidth="1"/>
    <col min="13582" max="13584" width="5.21875" style="3" customWidth="1"/>
    <col min="13585" max="13585" width="4.77734375" style="3" customWidth="1"/>
    <col min="13586" max="13590" width="5.109375" style="3" customWidth="1"/>
    <col min="13591" max="13592" width="4.77734375" style="3" customWidth="1"/>
    <col min="13593" max="13596" width="5.21875" style="3" customWidth="1"/>
    <col min="13597" max="13599" width="6.6640625" style="3" customWidth="1"/>
    <col min="13600" max="13600" width="1.21875" style="3" customWidth="1"/>
    <col min="13601" max="13601" width="1.77734375" style="3" customWidth="1"/>
    <col min="13602" max="13824" width="3.44140625" style="3"/>
    <col min="13825" max="13825" width="1.77734375" style="3" customWidth="1"/>
    <col min="13826" max="13826" width="3" style="3" customWidth="1"/>
    <col min="13827" max="13829" width="4.88671875" style="3" customWidth="1"/>
    <col min="13830" max="13830" width="1.21875" style="3" customWidth="1"/>
    <col min="13831" max="13831" width="2.6640625" style="3" customWidth="1"/>
    <col min="13832" max="13837" width="6.21875" style="3" customWidth="1"/>
    <col min="13838" max="13840" width="5.21875" style="3" customWidth="1"/>
    <col min="13841" max="13841" width="4.77734375" style="3" customWidth="1"/>
    <col min="13842" max="13846" width="5.109375" style="3" customWidth="1"/>
    <col min="13847" max="13848" width="4.77734375" style="3" customWidth="1"/>
    <col min="13849" max="13852" width="5.21875" style="3" customWidth="1"/>
    <col min="13853" max="13855" width="6.6640625" style="3" customWidth="1"/>
    <col min="13856" max="13856" width="1.21875" style="3" customWidth="1"/>
    <col min="13857" max="13857" width="1.77734375" style="3" customWidth="1"/>
    <col min="13858" max="14080" width="3.44140625" style="3"/>
    <col min="14081" max="14081" width="1.77734375" style="3" customWidth="1"/>
    <col min="14082" max="14082" width="3" style="3" customWidth="1"/>
    <col min="14083" max="14085" width="4.88671875" style="3" customWidth="1"/>
    <col min="14086" max="14086" width="1.21875" style="3" customWidth="1"/>
    <col min="14087" max="14087" width="2.6640625" style="3" customWidth="1"/>
    <col min="14088" max="14093" width="6.21875" style="3" customWidth="1"/>
    <col min="14094" max="14096" width="5.21875" style="3" customWidth="1"/>
    <col min="14097" max="14097" width="4.77734375" style="3" customWidth="1"/>
    <col min="14098" max="14102" width="5.109375" style="3" customWidth="1"/>
    <col min="14103" max="14104" width="4.77734375" style="3" customWidth="1"/>
    <col min="14105" max="14108" width="5.21875" style="3" customWidth="1"/>
    <col min="14109" max="14111" width="6.6640625" style="3" customWidth="1"/>
    <col min="14112" max="14112" width="1.21875" style="3" customWidth="1"/>
    <col min="14113" max="14113" width="1.77734375" style="3" customWidth="1"/>
    <col min="14114" max="14336" width="3.44140625" style="3"/>
    <col min="14337" max="14337" width="1.77734375" style="3" customWidth="1"/>
    <col min="14338" max="14338" width="3" style="3" customWidth="1"/>
    <col min="14339" max="14341" width="4.88671875" style="3" customWidth="1"/>
    <col min="14342" max="14342" width="1.21875" style="3" customWidth="1"/>
    <col min="14343" max="14343" width="2.6640625" style="3" customWidth="1"/>
    <col min="14344" max="14349" width="6.21875" style="3" customWidth="1"/>
    <col min="14350" max="14352" width="5.21875" style="3" customWidth="1"/>
    <col min="14353" max="14353" width="4.77734375" style="3" customWidth="1"/>
    <col min="14354" max="14358" width="5.109375" style="3" customWidth="1"/>
    <col min="14359" max="14360" width="4.77734375" style="3" customWidth="1"/>
    <col min="14361" max="14364" width="5.21875" style="3" customWidth="1"/>
    <col min="14365" max="14367" width="6.6640625" style="3" customWidth="1"/>
    <col min="14368" max="14368" width="1.21875" style="3" customWidth="1"/>
    <col min="14369" max="14369" width="1.77734375" style="3" customWidth="1"/>
    <col min="14370" max="14592" width="3.44140625" style="3"/>
    <col min="14593" max="14593" width="1.77734375" style="3" customWidth="1"/>
    <col min="14594" max="14594" width="3" style="3" customWidth="1"/>
    <col min="14595" max="14597" width="4.88671875" style="3" customWidth="1"/>
    <col min="14598" max="14598" width="1.21875" style="3" customWidth="1"/>
    <col min="14599" max="14599" width="2.6640625" style="3" customWidth="1"/>
    <col min="14600" max="14605" width="6.21875" style="3" customWidth="1"/>
    <col min="14606" max="14608" width="5.21875" style="3" customWidth="1"/>
    <col min="14609" max="14609" width="4.77734375" style="3" customWidth="1"/>
    <col min="14610" max="14614" width="5.109375" style="3" customWidth="1"/>
    <col min="14615" max="14616" width="4.77734375" style="3" customWidth="1"/>
    <col min="14617" max="14620" width="5.21875" style="3" customWidth="1"/>
    <col min="14621" max="14623" width="6.6640625" style="3" customWidth="1"/>
    <col min="14624" max="14624" width="1.21875" style="3" customWidth="1"/>
    <col min="14625" max="14625" width="1.77734375" style="3" customWidth="1"/>
    <col min="14626" max="14848" width="3.44140625" style="3"/>
    <col min="14849" max="14849" width="1.77734375" style="3" customWidth="1"/>
    <col min="14850" max="14850" width="3" style="3" customWidth="1"/>
    <col min="14851" max="14853" width="4.88671875" style="3" customWidth="1"/>
    <col min="14854" max="14854" width="1.21875" style="3" customWidth="1"/>
    <col min="14855" max="14855" width="2.6640625" style="3" customWidth="1"/>
    <col min="14856" max="14861" width="6.21875" style="3" customWidth="1"/>
    <col min="14862" max="14864" width="5.21875" style="3" customWidth="1"/>
    <col min="14865" max="14865" width="4.77734375" style="3" customWidth="1"/>
    <col min="14866" max="14870" width="5.109375" style="3" customWidth="1"/>
    <col min="14871" max="14872" width="4.77734375" style="3" customWidth="1"/>
    <col min="14873" max="14876" width="5.21875" style="3" customWidth="1"/>
    <col min="14877" max="14879" width="6.6640625" style="3" customWidth="1"/>
    <col min="14880" max="14880" width="1.21875" style="3" customWidth="1"/>
    <col min="14881" max="14881" width="1.77734375" style="3" customWidth="1"/>
    <col min="14882" max="15104" width="3.44140625" style="3"/>
    <col min="15105" max="15105" width="1.77734375" style="3" customWidth="1"/>
    <col min="15106" max="15106" width="3" style="3" customWidth="1"/>
    <col min="15107" max="15109" width="4.88671875" style="3" customWidth="1"/>
    <col min="15110" max="15110" width="1.21875" style="3" customWidth="1"/>
    <col min="15111" max="15111" width="2.6640625" style="3" customWidth="1"/>
    <col min="15112" max="15117" width="6.21875" style="3" customWidth="1"/>
    <col min="15118" max="15120" width="5.21875" style="3" customWidth="1"/>
    <col min="15121" max="15121" width="4.77734375" style="3" customWidth="1"/>
    <col min="15122" max="15126" width="5.109375" style="3" customWidth="1"/>
    <col min="15127" max="15128" width="4.77734375" style="3" customWidth="1"/>
    <col min="15129" max="15132" width="5.21875" style="3" customWidth="1"/>
    <col min="15133" max="15135" width="6.6640625" style="3" customWidth="1"/>
    <col min="15136" max="15136" width="1.21875" style="3" customWidth="1"/>
    <col min="15137" max="15137" width="1.77734375" style="3" customWidth="1"/>
    <col min="15138" max="15360" width="3.44140625" style="3"/>
    <col min="15361" max="15361" width="1.77734375" style="3" customWidth="1"/>
    <col min="15362" max="15362" width="3" style="3" customWidth="1"/>
    <col min="15363" max="15365" width="4.88671875" style="3" customWidth="1"/>
    <col min="15366" max="15366" width="1.21875" style="3" customWidth="1"/>
    <col min="15367" max="15367" width="2.6640625" style="3" customWidth="1"/>
    <col min="15368" max="15373" width="6.21875" style="3" customWidth="1"/>
    <col min="15374" max="15376" width="5.21875" style="3" customWidth="1"/>
    <col min="15377" max="15377" width="4.77734375" style="3" customWidth="1"/>
    <col min="15378" max="15382" width="5.109375" style="3" customWidth="1"/>
    <col min="15383" max="15384" width="4.77734375" style="3" customWidth="1"/>
    <col min="15385" max="15388" width="5.21875" style="3" customWidth="1"/>
    <col min="15389" max="15391" width="6.6640625" style="3" customWidth="1"/>
    <col min="15392" max="15392" width="1.21875" style="3" customWidth="1"/>
    <col min="15393" max="15393" width="1.77734375" style="3" customWidth="1"/>
    <col min="15394" max="15616" width="3.44140625" style="3"/>
    <col min="15617" max="15617" width="1.77734375" style="3" customWidth="1"/>
    <col min="15618" max="15618" width="3" style="3" customWidth="1"/>
    <col min="15619" max="15621" width="4.88671875" style="3" customWidth="1"/>
    <col min="15622" max="15622" width="1.21875" style="3" customWidth="1"/>
    <col min="15623" max="15623" width="2.6640625" style="3" customWidth="1"/>
    <col min="15624" max="15629" width="6.21875" style="3" customWidth="1"/>
    <col min="15630" max="15632" width="5.21875" style="3" customWidth="1"/>
    <col min="15633" max="15633" width="4.77734375" style="3" customWidth="1"/>
    <col min="15634" max="15638" width="5.109375" style="3" customWidth="1"/>
    <col min="15639" max="15640" width="4.77734375" style="3" customWidth="1"/>
    <col min="15641" max="15644" width="5.21875" style="3" customWidth="1"/>
    <col min="15645" max="15647" width="6.6640625" style="3" customWidth="1"/>
    <col min="15648" max="15648" width="1.21875" style="3" customWidth="1"/>
    <col min="15649" max="15649" width="1.77734375" style="3" customWidth="1"/>
    <col min="15650" max="15872" width="3.44140625" style="3"/>
    <col min="15873" max="15873" width="1.77734375" style="3" customWidth="1"/>
    <col min="15874" max="15874" width="3" style="3" customWidth="1"/>
    <col min="15875" max="15877" width="4.88671875" style="3" customWidth="1"/>
    <col min="15878" max="15878" width="1.21875" style="3" customWidth="1"/>
    <col min="15879" max="15879" width="2.6640625" style="3" customWidth="1"/>
    <col min="15880" max="15885" width="6.21875" style="3" customWidth="1"/>
    <col min="15886" max="15888" width="5.21875" style="3" customWidth="1"/>
    <col min="15889" max="15889" width="4.77734375" style="3" customWidth="1"/>
    <col min="15890" max="15894" width="5.109375" style="3" customWidth="1"/>
    <col min="15895" max="15896" width="4.77734375" style="3" customWidth="1"/>
    <col min="15897" max="15900" width="5.21875" style="3" customWidth="1"/>
    <col min="15901" max="15903" width="6.6640625" style="3" customWidth="1"/>
    <col min="15904" max="15904" width="1.21875" style="3" customWidth="1"/>
    <col min="15905" max="15905" width="1.77734375" style="3" customWidth="1"/>
    <col min="15906" max="16128" width="3.44140625" style="3"/>
    <col min="16129" max="16129" width="1.77734375" style="3" customWidth="1"/>
    <col min="16130" max="16130" width="3" style="3" customWidth="1"/>
    <col min="16131" max="16133" width="4.88671875" style="3" customWidth="1"/>
    <col min="16134" max="16134" width="1.21875" style="3" customWidth="1"/>
    <col min="16135" max="16135" width="2.6640625" style="3" customWidth="1"/>
    <col min="16136" max="16141" width="6.21875" style="3" customWidth="1"/>
    <col min="16142" max="16144" width="5.21875" style="3" customWidth="1"/>
    <col min="16145" max="16145" width="4.77734375" style="3" customWidth="1"/>
    <col min="16146" max="16150" width="5.109375" style="3" customWidth="1"/>
    <col min="16151" max="16152" width="4.77734375" style="3" customWidth="1"/>
    <col min="16153" max="16156" width="5.21875" style="3" customWidth="1"/>
    <col min="16157" max="16159" width="6.6640625" style="3" customWidth="1"/>
    <col min="16160" max="16160" width="1.21875" style="3" customWidth="1"/>
    <col min="16161" max="16161" width="1.77734375" style="3" customWidth="1"/>
    <col min="16162" max="16384" width="3.44140625" style="3"/>
  </cols>
  <sheetData>
    <row r="1" spans="2:32" s="1" customFormat="1" ht="5.25" customHeight="1"/>
    <row r="2" spans="2:32" s="1" customFormat="1">
      <c r="B2" s="1" t="s">
        <v>1359</v>
      </c>
    </row>
    <row r="3" spans="2:32" s="1" customFormat="1">
      <c r="W3" s="45" t="s">
        <v>544</v>
      </c>
      <c r="X3" s="1575"/>
      <c r="Y3" s="1575"/>
      <c r="Z3" s="1" t="s">
        <v>34</v>
      </c>
      <c r="AA3" s="1575"/>
      <c r="AB3" s="1575"/>
      <c r="AC3" s="1" t="s">
        <v>392</v>
      </c>
      <c r="AD3" s="45"/>
      <c r="AE3" s="1" t="s">
        <v>241</v>
      </c>
    </row>
    <row r="4" spans="2:32" s="1" customFormat="1" ht="6.75" customHeight="1">
      <c r="AD4" s="45"/>
    </row>
    <row r="5" spans="2:32" s="1" customFormat="1" ht="26.25" customHeight="1">
      <c r="B5" s="1814" t="s">
        <v>1353</v>
      </c>
      <c r="C5" s="1575"/>
      <c r="D5" s="1575"/>
      <c r="E5" s="1575"/>
      <c r="F5" s="1575"/>
      <c r="G5" s="1575"/>
      <c r="H5" s="1575"/>
      <c r="I5" s="1575"/>
      <c r="J5" s="1575"/>
      <c r="K5" s="1575"/>
      <c r="L5" s="1575"/>
      <c r="M5" s="1575"/>
      <c r="N5" s="1575"/>
      <c r="O5" s="1575"/>
      <c r="P5" s="1575"/>
      <c r="Q5" s="1575"/>
      <c r="R5" s="1575"/>
      <c r="S5" s="1575"/>
      <c r="T5" s="1575"/>
      <c r="U5" s="1575"/>
      <c r="V5" s="1575"/>
      <c r="W5" s="1575"/>
      <c r="X5" s="1575"/>
      <c r="Y5" s="1575"/>
      <c r="Z5" s="1575"/>
      <c r="AA5" s="1575"/>
      <c r="AB5" s="1575"/>
      <c r="AC5" s="1575"/>
      <c r="AD5" s="1575"/>
    </row>
    <row r="6" spans="2:32" s="1" customFormat="1" ht="7.5" customHeight="1"/>
    <row r="7" spans="2:32" s="1" customFormat="1" ht="30" customHeight="1">
      <c r="B7" s="1789" t="s">
        <v>199</v>
      </c>
      <c r="C7" s="1790"/>
      <c r="D7" s="1790"/>
      <c r="E7" s="179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row>
    <row r="8" spans="2:32" ht="30" customHeight="1">
      <c r="B8" s="1789" t="s">
        <v>200</v>
      </c>
      <c r="C8" s="1790"/>
      <c r="D8" s="1790"/>
      <c r="E8" s="1791"/>
      <c r="F8" s="638"/>
      <c r="G8" s="639"/>
      <c r="H8" s="640" t="s">
        <v>121</v>
      </c>
      <c r="I8" s="639" t="s">
        <v>1173</v>
      </c>
      <c r="J8" s="639"/>
      <c r="K8" s="639"/>
      <c r="L8" s="639"/>
      <c r="M8" s="640" t="s">
        <v>121</v>
      </c>
      <c r="N8" s="639" t="s">
        <v>1174</v>
      </c>
      <c r="O8" s="639"/>
      <c r="P8" s="639"/>
      <c r="Q8" s="639"/>
      <c r="R8" s="639"/>
      <c r="S8" s="640" t="s">
        <v>121</v>
      </c>
      <c r="T8" s="639" t="s">
        <v>1175</v>
      </c>
      <c r="U8" s="639"/>
      <c r="V8" s="639"/>
      <c r="W8" s="639"/>
      <c r="X8" s="639"/>
      <c r="Y8" s="639"/>
      <c r="Z8" s="639"/>
      <c r="AA8" s="639"/>
      <c r="AB8" s="639"/>
      <c r="AC8" s="639"/>
      <c r="AD8" s="639"/>
      <c r="AE8" s="639"/>
      <c r="AF8" s="643"/>
    </row>
    <row r="9" spans="2:32" ht="30" customHeight="1">
      <c r="B9" s="1789" t="s">
        <v>201</v>
      </c>
      <c r="C9" s="1790"/>
      <c r="D9" s="1790"/>
      <c r="E9" s="1791"/>
      <c r="F9" s="630"/>
      <c r="G9" s="645"/>
      <c r="H9" s="646" t="s">
        <v>121</v>
      </c>
      <c r="I9" s="1" t="s">
        <v>1354</v>
      </c>
      <c r="J9" s="645"/>
      <c r="K9" s="645"/>
      <c r="L9" s="645"/>
      <c r="M9" s="645"/>
      <c r="N9" s="645"/>
      <c r="O9" s="645"/>
      <c r="P9" s="645"/>
      <c r="Q9" s="645"/>
      <c r="R9" s="645"/>
      <c r="S9" s="641" t="s">
        <v>121</v>
      </c>
      <c r="T9" s="1" t="s">
        <v>1355</v>
      </c>
      <c r="U9" s="647"/>
      <c r="V9" s="645"/>
      <c r="W9" s="645"/>
      <c r="X9" s="645"/>
      <c r="Y9" s="645"/>
      <c r="Z9" s="645"/>
      <c r="AA9" s="645"/>
      <c r="AB9" s="645"/>
      <c r="AC9" s="645"/>
      <c r="AD9" s="645"/>
      <c r="AE9" s="645"/>
      <c r="AF9" s="632"/>
    </row>
    <row r="10" spans="2:32" ht="30" customHeight="1">
      <c r="B10" s="1803" t="s">
        <v>202</v>
      </c>
      <c r="C10" s="1804"/>
      <c r="D10" s="1804"/>
      <c r="E10" s="1805"/>
      <c r="F10" s="41"/>
      <c r="G10" s="22"/>
      <c r="H10" s="641" t="s">
        <v>121</v>
      </c>
      <c r="I10" s="7" t="s">
        <v>1356</v>
      </c>
      <c r="J10" s="22"/>
      <c r="K10" s="22"/>
      <c r="L10" s="22"/>
      <c r="M10" s="22"/>
      <c r="N10" s="22"/>
      <c r="O10" s="22"/>
      <c r="P10" s="22"/>
      <c r="Q10" s="22"/>
      <c r="R10" s="22"/>
      <c r="S10" s="22"/>
      <c r="T10" s="7"/>
      <c r="U10" s="644"/>
      <c r="V10" s="22"/>
      <c r="W10" s="22"/>
      <c r="X10" s="22"/>
      <c r="Y10" s="22"/>
      <c r="Z10" s="22"/>
      <c r="AA10" s="22"/>
      <c r="AB10" s="22"/>
      <c r="AC10" s="22"/>
      <c r="AD10" s="22"/>
      <c r="AE10" s="22"/>
      <c r="AF10" s="23"/>
    </row>
    <row r="11" spans="2:32" ht="30" customHeight="1">
      <c r="B11" s="1806"/>
      <c r="C11" s="1807"/>
      <c r="D11" s="1807"/>
      <c r="E11" s="1808"/>
      <c r="F11" s="630"/>
      <c r="G11" s="645"/>
      <c r="H11" s="646" t="s">
        <v>121</v>
      </c>
      <c r="I11" s="8" t="s">
        <v>1357</v>
      </c>
      <c r="J11" s="645"/>
      <c r="K11" s="645"/>
      <c r="L11" s="645"/>
      <c r="M11" s="645"/>
      <c r="N11" s="645"/>
      <c r="O11" s="645"/>
      <c r="P11" s="645"/>
      <c r="Q11" s="645"/>
      <c r="R11" s="645"/>
      <c r="S11" s="645"/>
      <c r="T11" s="8"/>
      <c r="U11" s="647"/>
      <c r="V11" s="645"/>
      <c r="W11" s="645"/>
      <c r="X11" s="645"/>
      <c r="Y11" s="645"/>
      <c r="Z11" s="645"/>
      <c r="AA11" s="645"/>
      <c r="AB11" s="645"/>
      <c r="AC11" s="645"/>
      <c r="AD11" s="645"/>
      <c r="AE11" s="645"/>
      <c r="AF11" s="632"/>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401"/>
      <c r="R13" s="7"/>
      <c r="S13" s="7"/>
      <c r="T13" s="7"/>
      <c r="U13" s="7"/>
      <c r="V13" s="7"/>
      <c r="W13" s="7"/>
      <c r="X13" s="7"/>
      <c r="Y13" s="7"/>
      <c r="Z13" s="7"/>
      <c r="AA13" s="7"/>
      <c r="AB13" s="7"/>
      <c r="AC13" s="7"/>
      <c r="AD13" s="7"/>
      <c r="AE13" s="7"/>
      <c r="AF13" s="4"/>
    </row>
    <row r="14" spans="2:32" s="1" customFormat="1" ht="21" customHeight="1">
      <c r="B14" s="1596" t="s">
        <v>203</v>
      </c>
      <c r="C14" s="1597"/>
      <c r="D14" s="1597"/>
      <c r="E14" s="1602"/>
      <c r="AD14" s="2019" t="s">
        <v>204</v>
      </c>
      <c r="AE14" s="2020"/>
      <c r="AF14" s="402"/>
    </row>
    <row r="15" spans="2:32" s="1" customFormat="1" ht="21" customHeight="1">
      <c r="B15" s="1596"/>
      <c r="C15" s="1597"/>
      <c r="D15" s="1597"/>
      <c r="E15" s="1602"/>
      <c r="AD15" s="2021"/>
      <c r="AE15" s="2022"/>
      <c r="AF15" s="402"/>
    </row>
    <row r="16" spans="2:32" s="1" customFormat="1" ht="21" customHeight="1">
      <c r="B16" s="1596"/>
      <c r="C16" s="1597"/>
      <c r="D16" s="1597"/>
      <c r="E16" s="1602"/>
      <c r="G16" s="6" t="s">
        <v>205</v>
      </c>
      <c r="H16" s="7"/>
      <c r="I16" s="7"/>
      <c r="J16" s="7"/>
      <c r="K16" s="7"/>
      <c r="L16" s="7"/>
      <c r="M16" s="7"/>
      <c r="N16" s="7"/>
      <c r="O16" s="7"/>
      <c r="P16" s="7"/>
      <c r="Q16" s="7"/>
      <c r="R16" s="7"/>
      <c r="S16" s="7"/>
      <c r="T16" s="7"/>
      <c r="U16" s="7"/>
      <c r="V16" s="7"/>
      <c r="W16" s="7"/>
      <c r="X16" s="7"/>
      <c r="Y16" s="7"/>
      <c r="Z16" s="7"/>
      <c r="AA16" s="7"/>
      <c r="AB16" s="7"/>
      <c r="AC16" s="7"/>
      <c r="AD16" s="403"/>
      <c r="AE16" s="404"/>
      <c r="AF16" s="402"/>
    </row>
    <row r="17" spans="2:32" s="1" customFormat="1" ht="30" customHeight="1">
      <c r="B17" s="405"/>
      <c r="C17" s="406"/>
      <c r="D17" s="406"/>
      <c r="E17" s="407"/>
      <c r="G17" s="408"/>
      <c r="H17" s="605" t="s">
        <v>107</v>
      </c>
      <c r="I17" s="2023" t="s">
        <v>206</v>
      </c>
      <c r="J17" s="2024"/>
      <c r="K17" s="2024"/>
      <c r="L17" s="2024"/>
      <c r="M17" s="2025"/>
      <c r="N17" s="622"/>
      <c r="O17" s="618" t="s">
        <v>89</v>
      </c>
      <c r="P17" s="2026" t="s">
        <v>198</v>
      </c>
      <c r="Q17" s="1905" t="s">
        <v>207</v>
      </c>
      <c r="R17" s="1638" t="s">
        <v>767</v>
      </c>
      <c r="S17" s="1638"/>
      <c r="T17" s="1638"/>
      <c r="U17" s="1638"/>
      <c r="V17" s="2023"/>
      <c r="W17" s="1795"/>
      <c r="X17" s="1582" t="s">
        <v>60</v>
      </c>
      <c r="Y17" s="602" t="s">
        <v>198</v>
      </c>
      <c r="Z17" s="1890" t="s">
        <v>208</v>
      </c>
      <c r="AA17" s="1890"/>
      <c r="AB17" s="1890"/>
      <c r="AC17" s="1890"/>
      <c r="AD17" s="648" t="s">
        <v>121</v>
      </c>
      <c r="AE17" s="603">
        <v>20</v>
      </c>
      <c r="AF17" s="402"/>
    </row>
    <row r="18" spans="2:32" s="1" customFormat="1" ht="30" customHeight="1">
      <c r="B18" s="405"/>
      <c r="C18" s="406"/>
      <c r="D18" s="406"/>
      <c r="E18" s="407"/>
      <c r="G18" s="408"/>
      <c r="H18" s="605" t="s">
        <v>104</v>
      </c>
      <c r="I18" s="2023" t="s">
        <v>209</v>
      </c>
      <c r="J18" s="1643"/>
      <c r="K18" s="1643"/>
      <c r="L18" s="1643"/>
      <c r="M18" s="1644"/>
      <c r="N18" s="620"/>
      <c r="O18" s="608" t="s">
        <v>89</v>
      </c>
      <c r="P18" s="2026"/>
      <c r="Q18" s="1905"/>
      <c r="R18" s="1638"/>
      <c r="S18" s="1638"/>
      <c r="T18" s="1638"/>
      <c r="U18" s="1638"/>
      <c r="V18" s="2023"/>
      <c r="W18" s="1801"/>
      <c r="X18" s="1582"/>
      <c r="Y18" s="602" t="s">
        <v>198</v>
      </c>
      <c r="Z18" s="1890" t="s">
        <v>210</v>
      </c>
      <c r="AA18" s="1890"/>
      <c r="AB18" s="1890"/>
      <c r="AC18" s="1890"/>
      <c r="AD18" s="648" t="s">
        <v>121</v>
      </c>
      <c r="AE18" s="603">
        <v>10</v>
      </c>
      <c r="AF18" s="402"/>
    </row>
    <row r="19" spans="2:32" s="1" customFormat="1" ht="30" customHeight="1">
      <c r="B19" s="405"/>
      <c r="C19" s="406"/>
      <c r="D19" s="406"/>
      <c r="E19" s="407"/>
      <c r="G19" s="408"/>
      <c r="H19" s="605" t="s">
        <v>211</v>
      </c>
      <c r="I19" s="2023" t="s">
        <v>212</v>
      </c>
      <c r="J19" s="1643"/>
      <c r="K19" s="1643"/>
      <c r="L19" s="1643"/>
      <c r="M19" s="1644"/>
      <c r="N19" s="620"/>
      <c r="O19" s="608" t="s">
        <v>89</v>
      </c>
      <c r="P19" s="2026"/>
      <c r="Q19" s="1905"/>
      <c r="R19" s="1638"/>
      <c r="S19" s="1638"/>
      <c r="T19" s="1638"/>
      <c r="U19" s="1638"/>
      <c r="V19" s="2023"/>
      <c r="W19" s="1798"/>
      <c r="X19" s="1582"/>
      <c r="Y19" s="602" t="s">
        <v>198</v>
      </c>
      <c r="Z19" s="1890" t="s">
        <v>213</v>
      </c>
      <c r="AA19" s="1890"/>
      <c r="AB19" s="1890"/>
      <c r="AC19" s="1890"/>
      <c r="AD19" s="648" t="s">
        <v>121</v>
      </c>
      <c r="AE19" s="603">
        <v>0</v>
      </c>
      <c r="AF19" s="402"/>
    </row>
    <row r="20" spans="2:32" s="1" customFormat="1" ht="7.5" customHeight="1">
      <c r="B20" s="405"/>
      <c r="C20" s="406"/>
      <c r="D20" s="406"/>
      <c r="E20" s="407"/>
      <c r="G20" s="409"/>
      <c r="H20" s="8"/>
      <c r="I20" s="621"/>
      <c r="J20" s="621"/>
      <c r="K20" s="621"/>
      <c r="L20" s="621"/>
      <c r="M20" s="621"/>
      <c r="N20" s="621"/>
      <c r="O20" s="621"/>
      <c r="P20" s="621"/>
      <c r="Q20" s="621"/>
      <c r="R20" s="621"/>
      <c r="S20" s="621"/>
      <c r="T20" s="621"/>
      <c r="U20" s="621"/>
      <c r="V20" s="621"/>
      <c r="W20" s="8"/>
      <c r="X20" s="612"/>
      <c r="Y20" s="612"/>
      <c r="Z20" s="8"/>
      <c r="AA20" s="8"/>
      <c r="AB20" s="8"/>
      <c r="AC20" s="8"/>
      <c r="AD20" s="410"/>
      <c r="AE20" s="649"/>
      <c r="AF20" s="402"/>
    </row>
    <row r="21" spans="2:32" s="1" customFormat="1" ht="21" customHeight="1">
      <c r="B21" s="405"/>
      <c r="C21" s="406"/>
      <c r="D21" s="406"/>
      <c r="E21" s="407"/>
      <c r="G21" s="6" t="s">
        <v>214</v>
      </c>
      <c r="H21" s="7"/>
      <c r="I21" s="619"/>
      <c r="J21" s="619"/>
      <c r="K21" s="619"/>
      <c r="L21" s="619"/>
      <c r="M21" s="619"/>
      <c r="N21" s="619"/>
      <c r="O21" s="619"/>
      <c r="P21" s="619"/>
      <c r="Q21" s="619"/>
      <c r="R21" s="619"/>
      <c r="S21" s="619"/>
      <c r="T21" s="619"/>
      <c r="U21" s="619"/>
      <c r="V21" s="619"/>
      <c r="W21" s="7"/>
      <c r="X21" s="611"/>
      <c r="Y21" s="611"/>
      <c r="Z21" s="7"/>
      <c r="AA21" s="7"/>
      <c r="AB21" s="7"/>
      <c r="AC21" s="7"/>
      <c r="AD21" s="411"/>
      <c r="AE21" s="650"/>
      <c r="AF21" s="402"/>
    </row>
    <row r="22" spans="2:32" s="1" customFormat="1" ht="23.25" customHeight="1">
      <c r="B22" s="600"/>
      <c r="C22" s="21"/>
      <c r="D22" s="21"/>
      <c r="E22" s="601"/>
      <c r="G22" s="408"/>
      <c r="H22" s="605" t="s">
        <v>107</v>
      </c>
      <c r="I22" s="2023" t="s">
        <v>215</v>
      </c>
      <c r="J22" s="1643"/>
      <c r="K22" s="1643"/>
      <c r="L22" s="1643"/>
      <c r="M22" s="1644"/>
      <c r="N22" s="622"/>
      <c r="O22" s="618" t="s">
        <v>89</v>
      </c>
      <c r="P22" s="2026" t="s">
        <v>198</v>
      </c>
      <c r="Q22" s="1905" t="s">
        <v>207</v>
      </c>
      <c r="R22" s="1638" t="s">
        <v>768</v>
      </c>
      <c r="S22" s="1638"/>
      <c r="T22" s="1638"/>
      <c r="U22" s="1638"/>
      <c r="V22" s="1638"/>
      <c r="W22" s="1795"/>
      <c r="X22" s="1797" t="s">
        <v>60</v>
      </c>
      <c r="Y22" s="602" t="s">
        <v>198</v>
      </c>
      <c r="Z22" s="1890" t="s">
        <v>216</v>
      </c>
      <c r="AA22" s="1890"/>
      <c r="AB22" s="1890"/>
      <c r="AC22" s="1890"/>
      <c r="AD22" s="648" t="s">
        <v>121</v>
      </c>
      <c r="AE22" s="603">
        <v>20</v>
      </c>
      <c r="AF22" s="402"/>
    </row>
    <row r="23" spans="2:32" s="1" customFormat="1" ht="30" customHeight="1">
      <c r="B23" s="600"/>
      <c r="C23" s="21"/>
      <c r="D23" s="21"/>
      <c r="E23" s="601"/>
      <c r="G23" s="408"/>
      <c r="H23" s="605" t="s">
        <v>104</v>
      </c>
      <c r="I23" s="2023" t="s">
        <v>217</v>
      </c>
      <c r="J23" s="1643"/>
      <c r="K23" s="1643"/>
      <c r="L23" s="1643"/>
      <c r="M23" s="1644"/>
      <c r="N23" s="620"/>
      <c r="O23" s="608" t="s">
        <v>89</v>
      </c>
      <c r="P23" s="2026"/>
      <c r="Q23" s="1905"/>
      <c r="R23" s="1638"/>
      <c r="S23" s="1638"/>
      <c r="T23" s="1638"/>
      <c r="U23" s="1638"/>
      <c r="V23" s="1638"/>
      <c r="W23" s="1801"/>
      <c r="X23" s="1802"/>
      <c r="Y23" s="602" t="s">
        <v>198</v>
      </c>
      <c r="Z23" s="1890" t="s">
        <v>218</v>
      </c>
      <c r="AA23" s="1890"/>
      <c r="AB23" s="1890"/>
      <c r="AC23" s="1890"/>
      <c r="AD23" s="648" t="s">
        <v>121</v>
      </c>
      <c r="AE23" s="603">
        <v>10</v>
      </c>
      <c r="AF23" s="402"/>
    </row>
    <row r="24" spans="2:32" s="1" customFormat="1" ht="24.75" customHeight="1">
      <c r="B24" s="600"/>
      <c r="C24" s="21"/>
      <c r="D24" s="21"/>
      <c r="E24" s="601"/>
      <c r="G24" s="408"/>
      <c r="H24" s="605" t="s">
        <v>211</v>
      </c>
      <c r="I24" s="2023" t="s">
        <v>219</v>
      </c>
      <c r="J24" s="1643"/>
      <c r="K24" s="1643"/>
      <c r="L24" s="1643"/>
      <c r="M24" s="1644"/>
      <c r="N24" s="620"/>
      <c r="O24" s="608" t="s">
        <v>89</v>
      </c>
      <c r="P24" s="2026"/>
      <c r="Q24" s="1905"/>
      <c r="R24" s="1638"/>
      <c r="S24" s="1638"/>
      <c r="T24" s="1638"/>
      <c r="U24" s="1638"/>
      <c r="V24" s="1638"/>
      <c r="W24" s="1798"/>
      <c r="X24" s="1800"/>
      <c r="Y24" s="602" t="s">
        <v>198</v>
      </c>
      <c r="Z24" s="1890" t="s">
        <v>220</v>
      </c>
      <c r="AA24" s="1890"/>
      <c r="AB24" s="1890"/>
      <c r="AC24" s="1890"/>
      <c r="AD24" s="648" t="s">
        <v>121</v>
      </c>
      <c r="AE24" s="603">
        <v>0</v>
      </c>
      <c r="AF24" s="413"/>
    </row>
    <row r="25" spans="2:32" s="1" customFormat="1" ht="7.5" customHeight="1">
      <c r="B25" s="600"/>
      <c r="C25" s="21"/>
      <c r="D25" s="21"/>
      <c r="E25" s="601"/>
      <c r="G25" s="409"/>
      <c r="H25" s="8"/>
      <c r="I25" s="610"/>
      <c r="J25" s="607"/>
      <c r="K25" s="607"/>
      <c r="L25" s="607"/>
      <c r="M25" s="607"/>
      <c r="N25" s="621"/>
      <c r="O25" s="414"/>
      <c r="P25" s="415"/>
      <c r="Q25" s="415"/>
      <c r="R25" s="621"/>
      <c r="S25" s="621"/>
      <c r="T25" s="621"/>
      <c r="U25" s="621"/>
      <c r="V25" s="621"/>
      <c r="W25" s="8"/>
      <c r="X25" s="612"/>
      <c r="Y25" s="612"/>
      <c r="Z25" s="8"/>
      <c r="AA25" s="8"/>
      <c r="AB25" s="8"/>
      <c r="AC25" s="8"/>
      <c r="AD25" s="410"/>
      <c r="AE25" s="649"/>
      <c r="AF25" s="402"/>
    </row>
    <row r="26" spans="2:32" s="1" customFormat="1" ht="21" customHeight="1">
      <c r="B26" s="408"/>
      <c r="E26" s="402"/>
      <c r="G26" s="408" t="s">
        <v>221</v>
      </c>
      <c r="I26" s="21"/>
      <c r="J26" s="21"/>
      <c r="K26" s="21"/>
      <c r="L26" s="21"/>
      <c r="M26" s="21"/>
      <c r="N26" s="21"/>
      <c r="O26" s="21"/>
      <c r="P26" s="21"/>
      <c r="Q26" s="21"/>
      <c r="R26" s="21"/>
      <c r="S26" s="21"/>
      <c r="T26" s="21"/>
      <c r="U26" s="21"/>
      <c r="V26" s="21"/>
      <c r="X26" s="12"/>
      <c r="Y26" s="12"/>
      <c r="AD26" s="411"/>
      <c r="AE26" s="650"/>
      <c r="AF26" s="402"/>
    </row>
    <row r="27" spans="2:32" s="1" customFormat="1" ht="30.75" customHeight="1">
      <c r="B27" s="405"/>
      <c r="C27" s="406"/>
      <c r="D27" s="406"/>
      <c r="E27" s="407"/>
      <c r="G27" s="408"/>
      <c r="H27" s="1906" t="s">
        <v>107</v>
      </c>
      <c r="I27" s="2036" t="s">
        <v>769</v>
      </c>
      <c r="J27" s="2037"/>
      <c r="K27" s="2037"/>
      <c r="L27" s="2037"/>
      <c r="M27" s="2038"/>
      <c r="N27" s="1584"/>
      <c r="O27" s="1586" t="s">
        <v>89</v>
      </c>
      <c r="P27" s="1866" t="s">
        <v>198</v>
      </c>
      <c r="Q27" s="2027" t="s">
        <v>207</v>
      </c>
      <c r="R27" s="2027" t="s">
        <v>770</v>
      </c>
      <c r="S27" s="2028"/>
      <c r="T27" s="2028"/>
      <c r="U27" s="2028"/>
      <c r="V27" s="2029"/>
      <c r="W27" s="1796"/>
      <c r="X27" s="1797" t="s">
        <v>60</v>
      </c>
      <c r="Y27" s="12" t="s">
        <v>198</v>
      </c>
      <c r="Z27" s="1890" t="s">
        <v>276</v>
      </c>
      <c r="AA27" s="1890"/>
      <c r="AB27" s="1890"/>
      <c r="AC27" s="1890"/>
      <c r="AD27" s="648" t="s">
        <v>121</v>
      </c>
      <c r="AE27" s="603">
        <v>10</v>
      </c>
      <c r="AF27" s="402"/>
    </row>
    <row r="28" spans="2:32" s="1" customFormat="1" ht="30.75" customHeight="1">
      <c r="B28" s="405"/>
      <c r="C28" s="406"/>
      <c r="D28" s="406"/>
      <c r="E28" s="407"/>
      <c r="G28" s="408"/>
      <c r="H28" s="1906"/>
      <c r="I28" s="2039"/>
      <c r="J28" s="2040"/>
      <c r="K28" s="2040"/>
      <c r="L28" s="2040"/>
      <c r="M28" s="2041"/>
      <c r="N28" s="1868"/>
      <c r="O28" s="1870"/>
      <c r="P28" s="1866"/>
      <c r="Q28" s="2030"/>
      <c r="R28" s="2030"/>
      <c r="S28" s="2031"/>
      <c r="T28" s="2031"/>
      <c r="U28" s="2031"/>
      <c r="V28" s="2032"/>
      <c r="W28" s="1575"/>
      <c r="X28" s="1802"/>
      <c r="Y28" s="12" t="s">
        <v>198</v>
      </c>
      <c r="Z28" s="1890" t="s">
        <v>1360</v>
      </c>
      <c r="AA28" s="1890"/>
      <c r="AB28" s="1890"/>
      <c r="AC28" s="1890"/>
      <c r="AD28" s="648" t="s">
        <v>121</v>
      </c>
      <c r="AE28" s="603">
        <v>5</v>
      </c>
      <c r="AF28" s="402"/>
    </row>
    <row r="29" spans="2:32" s="1" customFormat="1" ht="27" customHeight="1">
      <c r="B29" s="405"/>
      <c r="C29" s="406"/>
      <c r="D29" s="406"/>
      <c r="E29" s="407"/>
      <c r="G29" s="408"/>
      <c r="H29" s="605" t="s">
        <v>104</v>
      </c>
      <c r="I29" s="2023" t="s">
        <v>224</v>
      </c>
      <c r="J29" s="1643"/>
      <c r="K29" s="1643"/>
      <c r="L29" s="1643"/>
      <c r="M29" s="1644"/>
      <c r="N29" s="620"/>
      <c r="O29" s="608" t="s">
        <v>89</v>
      </c>
      <c r="P29" s="599"/>
      <c r="Q29" s="2033"/>
      <c r="R29" s="2033"/>
      <c r="S29" s="2034"/>
      <c r="T29" s="2034"/>
      <c r="U29" s="2034"/>
      <c r="V29" s="2035"/>
      <c r="W29" s="1799"/>
      <c r="X29" s="1800"/>
      <c r="Y29" s="12" t="s">
        <v>198</v>
      </c>
      <c r="Z29" s="1890" t="s">
        <v>1361</v>
      </c>
      <c r="AA29" s="1890"/>
      <c r="AB29" s="1890"/>
      <c r="AC29" s="1890"/>
      <c r="AD29" s="648" t="s">
        <v>121</v>
      </c>
      <c r="AE29" s="603">
        <v>0</v>
      </c>
      <c r="AF29" s="402"/>
    </row>
    <row r="30" spans="2:32" s="1" customFormat="1" ht="7.5" customHeight="1">
      <c r="B30" s="405"/>
      <c r="C30" s="406"/>
      <c r="D30" s="406"/>
      <c r="E30" s="407"/>
      <c r="G30" s="409"/>
      <c r="H30" s="416"/>
      <c r="I30" s="607"/>
      <c r="J30" s="607"/>
      <c r="K30" s="607"/>
      <c r="L30" s="607"/>
      <c r="M30" s="607"/>
      <c r="N30" s="621"/>
      <c r="O30" s="414"/>
      <c r="P30" s="621"/>
      <c r="Q30" s="621"/>
      <c r="R30" s="621"/>
      <c r="S30" s="621"/>
      <c r="T30" s="621"/>
      <c r="U30" s="621"/>
      <c r="V30" s="621"/>
      <c r="W30" s="8"/>
      <c r="X30" s="612"/>
      <c r="Y30" s="612"/>
      <c r="Z30" s="607"/>
      <c r="AA30" s="607"/>
      <c r="AB30" s="8"/>
      <c r="AC30" s="8"/>
      <c r="AD30" s="417"/>
      <c r="AE30" s="649"/>
      <c r="AF30" s="402"/>
    </row>
    <row r="31" spans="2:32" s="1" customFormat="1" ht="21" customHeight="1">
      <c r="B31" s="600"/>
      <c r="C31" s="21"/>
      <c r="D31" s="21"/>
      <c r="E31" s="601"/>
      <c r="G31" s="6" t="s">
        <v>226</v>
      </c>
      <c r="H31" s="7"/>
      <c r="I31" s="619"/>
      <c r="J31" s="619"/>
      <c r="K31" s="619"/>
      <c r="L31" s="619"/>
      <c r="M31" s="619"/>
      <c r="N31" s="619"/>
      <c r="O31" s="619"/>
      <c r="P31" s="619"/>
      <c r="Q31" s="619"/>
      <c r="R31" s="619"/>
      <c r="S31" s="619"/>
      <c r="T31" s="619"/>
      <c r="U31" s="619"/>
      <c r="V31" s="619"/>
      <c r="W31" s="7"/>
      <c r="X31" s="611"/>
      <c r="Y31" s="611"/>
      <c r="AD31" s="411"/>
      <c r="AE31" s="650"/>
      <c r="AF31" s="402"/>
    </row>
    <row r="32" spans="2:32" s="1" customFormat="1" ht="31.5" customHeight="1">
      <c r="B32" s="408"/>
      <c r="E32" s="402"/>
      <c r="G32" s="408"/>
      <c r="H32" s="2047" t="s">
        <v>107</v>
      </c>
      <c r="I32" s="2036" t="s">
        <v>771</v>
      </c>
      <c r="J32" s="2037"/>
      <c r="K32" s="2037"/>
      <c r="L32" s="2037"/>
      <c r="M32" s="2038"/>
      <c r="N32" s="1584"/>
      <c r="O32" s="1586" t="s">
        <v>89</v>
      </c>
      <c r="P32" s="2026" t="s">
        <v>198</v>
      </c>
      <c r="Q32" s="1905" t="s">
        <v>207</v>
      </c>
      <c r="R32" s="1905" t="s">
        <v>772</v>
      </c>
      <c r="S32" s="1905"/>
      <c r="T32" s="1905"/>
      <c r="U32" s="1905"/>
      <c r="V32" s="1905"/>
      <c r="W32" s="1795"/>
      <c r="X32" s="1797" t="s">
        <v>60</v>
      </c>
      <c r="Y32" s="12" t="s">
        <v>198</v>
      </c>
      <c r="Z32" s="1890" t="s">
        <v>276</v>
      </c>
      <c r="AA32" s="1890"/>
      <c r="AB32" s="1890"/>
      <c r="AC32" s="1890"/>
      <c r="AD32" s="648" t="s">
        <v>121</v>
      </c>
      <c r="AE32" s="603">
        <v>10</v>
      </c>
      <c r="AF32" s="402"/>
    </row>
    <row r="33" spans="2:37" s="1" customFormat="1" ht="31.5" customHeight="1">
      <c r="B33" s="408"/>
      <c r="E33" s="402"/>
      <c r="G33" s="408"/>
      <c r="H33" s="2042"/>
      <c r="I33" s="2039"/>
      <c r="J33" s="2040"/>
      <c r="K33" s="2040"/>
      <c r="L33" s="2040"/>
      <c r="M33" s="2041"/>
      <c r="N33" s="1868"/>
      <c r="O33" s="1870"/>
      <c r="P33" s="2026"/>
      <c r="Q33" s="1905"/>
      <c r="R33" s="1905"/>
      <c r="S33" s="1905"/>
      <c r="T33" s="1905"/>
      <c r="U33" s="1905"/>
      <c r="V33" s="1905"/>
      <c r="W33" s="1801"/>
      <c r="X33" s="1802"/>
      <c r="Y33" s="12" t="s">
        <v>198</v>
      </c>
      <c r="Z33" s="1890" t="s">
        <v>1360</v>
      </c>
      <c r="AA33" s="1890"/>
      <c r="AB33" s="1890"/>
      <c r="AC33" s="1890"/>
      <c r="AD33" s="648" t="s">
        <v>121</v>
      </c>
      <c r="AE33" s="603">
        <v>5</v>
      </c>
      <c r="AF33" s="413"/>
    </row>
    <row r="34" spans="2:37" s="1" customFormat="1" ht="30.75" customHeight="1">
      <c r="B34" s="408"/>
      <c r="E34" s="402"/>
      <c r="G34" s="408"/>
      <c r="H34" s="605" t="s">
        <v>104</v>
      </c>
      <c r="I34" s="2023" t="s">
        <v>228</v>
      </c>
      <c r="J34" s="1643"/>
      <c r="K34" s="1643"/>
      <c r="L34" s="1643"/>
      <c r="M34" s="1644"/>
      <c r="N34" s="620"/>
      <c r="O34" s="608" t="s">
        <v>89</v>
      </c>
      <c r="P34" s="2026"/>
      <c r="Q34" s="1905"/>
      <c r="R34" s="1905"/>
      <c r="S34" s="1905"/>
      <c r="T34" s="1905"/>
      <c r="U34" s="1905"/>
      <c r="V34" s="1905"/>
      <c r="W34" s="1798"/>
      <c r="X34" s="1800"/>
      <c r="Y34" s="12" t="s">
        <v>198</v>
      </c>
      <c r="Z34" s="1890" t="s">
        <v>1361</v>
      </c>
      <c r="AA34" s="1890"/>
      <c r="AB34" s="1890"/>
      <c r="AC34" s="1890"/>
      <c r="AD34" s="648" t="s">
        <v>121</v>
      </c>
      <c r="AE34" s="603">
        <v>0</v>
      </c>
      <c r="AF34" s="413"/>
    </row>
    <row r="35" spans="2:37" s="1" customFormat="1" ht="7.5" customHeight="1">
      <c r="B35" s="408"/>
      <c r="E35" s="402"/>
      <c r="G35" s="409"/>
      <c r="H35" s="8"/>
      <c r="I35" s="621"/>
      <c r="J35" s="621"/>
      <c r="K35" s="621"/>
      <c r="L35" s="621"/>
      <c r="M35" s="621"/>
      <c r="N35" s="621"/>
      <c r="O35" s="621"/>
      <c r="P35" s="621"/>
      <c r="Q35" s="621"/>
      <c r="R35" s="621"/>
      <c r="S35" s="621"/>
      <c r="T35" s="621"/>
      <c r="U35" s="621"/>
      <c r="V35" s="621"/>
      <c r="W35" s="8"/>
      <c r="X35" s="612"/>
      <c r="Y35" s="612"/>
      <c r="Z35" s="612"/>
      <c r="AA35" s="612"/>
      <c r="AB35" s="8"/>
      <c r="AC35" s="8"/>
      <c r="AD35" s="410"/>
      <c r="AE35" s="649"/>
      <c r="AF35" s="413"/>
    </row>
    <row r="36" spans="2:37" s="1" customFormat="1" ht="21" customHeight="1">
      <c r="B36" s="408"/>
      <c r="E36" s="402"/>
      <c r="G36" s="6" t="s">
        <v>230</v>
      </c>
      <c r="H36" s="7"/>
      <c r="I36" s="619"/>
      <c r="J36" s="619"/>
      <c r="K36" s="619"/>
      <c r="L36" s="619"/>
      <c r="M36" s="619"/>
      <c r="N36" s="619"/>
      <c r="O36" s="619"/>
      <c r="P36" s="619"/>
      <c r="Q36" s="619"/>
      <c r="R36" s="619"/>
      <c r="S36" s="619"/>
      <c r="T36" s="619"/>
      <c r="U36" s="619"/>
      <c r="V36" s="619"/>
      <c r="W36" s="7"/>
      <c r="X36" s="611"/>
      <c r="Y36" s="611"/>
      <c r="Z36" s="12"/>
      <c r="AA36" s="12"/>
      <c r="AD36" s="411"/>
      <c r="AE36" s="650"/>
      <c r="AF36" s="402"/>
    </row>
    <row r="37" spans="2:37" s="1" customFormat="1" ht="19.5" customHeight="1">
      <c r="B37" s="408"/>
      <c r="E37" s="402"/>
      <c r="G37" s="408"/>
      <c r="H37" s="1906" t="s">
        <v>107</v>
      </c>
      <c r="I37" s="2036" t="s">
        <v>231</v>
      </c>
      <c r="J37" s="2037"/>
      <c r="K37" s="2037"/>
      <c r="L37" s="2037"/>
      <c r="M37" s="2037"/>
      <c r="N37" s="2037"/>
      <c r="O37" s="2037"/>
      <c r="P37" s="2037"/>
      <c r="Q37" s="2037"/>
      <c r="R37" s="2037"/>
      <c r="S37" s="2037"/>
      <c r="T37" s="2037"/>
      <c r="U37" s="2038"/>
      <c r="V37" s="1866" t="s">
        <v>198</v>
      </c>
      <c r="W37" s="1905"/>
      <c r="X37" s="1905"/>
      <c r="Y37" s="12" t="s">
        <v>198</v>
      </c>
      <c r="Z37" s="1890" t="s">
        <v>232</v>
      </c>
      <c r="AA37" s="1890"/>
      <c r="AD37" s="648" t="s">
        <v>121</v>
      </c>
      <c r="AE37" s="603">
        <v>5</v>
      </c>
      <c r="AF37" s="402"/>
    </row>
    <row r="38" spans="2:37" s="1" customFormat="1" ht="30.75" customHeight="1">
      <c r="B38" s="405"/>
      <c r="C38" s="406"/>
      <c r="D38" s="406"/>
      <c r="E38" s="407"/>
      <c r="G38" s="408"/>
      <c r="H38" s="1906"/>
      <c r="I38" s="2039"/>
      <c r="J38" s="2040"/>
      <c r="K38" s="2040"/>
      <c r="L38" s="2040"/>
      <c r="M38" s="2040"/>
      <c r="N38" s="2040"/>
      <c r="O38" s="2040"/>
      <c r="P38" s="2040"/>
      <c r="Q38" s="2040"/>
      <c r="R38" s="2040"/>
      <c r="S38" s="2040"/>
      <c r="T38" s="2040"/>
      <c r="U38" s="2041"/>
      <c r="V38" s="1868"/>
      <c r="W38" s="1905"/>
      <c r="X38" s="1905"/>
      <c r="Y38" s="12" t="s">
        <v>198</v>
      </c>
      <c r="Z38" s="1890" t="s">
        <v>776</v>
      </c>
      <c r="AA38" s="1890"/>
      <c r="AB38" s="1890"/>
      <c r="AC38" s="2046"/>
      <c r="AD38" s="648" t="s">
        <v>121</v>
      </c>
      <c r="AE38" s="603">
        <v>3</v>
      </c>
      <c r="AF38" s="402"/>
    </row>
    <row r="39" spans="2:37" s="1" customFormat="1" ht="38.25" customHeight="1">
      <c r="B39" s="405"/>
      <c r="C39" s="406"/>
      <c r="D39" s="406"/>
      <c r="E39" s="407"/>
      <c r="G39" s="634"/>
      <c r="H39" s="2042"/>
      <c r="I39" s="2043"/>
      <c r="J39" s="1890"/>
      <c r="K39" s="1890"/>
      <c r="L39" s="1890"/>
      <c r="M39" s="1890"/>
      <c r="N39" s="1890"/>
      <c r="O39" s="1890"/>
      <c r="P39" s="1890"/>
      <c r="Q39" s="1890"/>
      <c r="R39" s="1890"/>
      <c r="S39" s="1890"/>
      <c r="T39" s="1890"/>
      <c r="U39" s="2044"/>
      <c r="V39" s="1866"/>
      <c r="W39" s="2045"/>
      <c r="X39" s="2033"/>
      <c r="Y39" s="602" t="s">
        <v>198</v>
      </c>
      <c r="Z39" s="1890" t="s">
        <v>777</v>
      </c>
      <c r="AA39" s="1890"/>
      <c r="AB39" s="1890"/>
      <c r="AC39" s="2046"/>
      <c r="AD39" s="648" t="s">
        <v>121</v>
      </c>
      <c r="AE39" s="603">
        <v>1</v>
      </c>
      <c r="AF39" s="402"/>
    </row>
    <row r="40" spans="2:37" s="1" customFormat="1" ht="19.5" customHeight="1">
      <c r="B40" s="405"/>
      <c r="C40" s="406"/>
      <c r="D40" s="406"/>
      <c r="E40" s="407"/>
      <c r="G40" s="408"/>
      <c r="H40" s="1906"/>
      <c r="I40" s="2039"/>
      <c r="J40" s="2040"/>
      <c r="K40" s="2040"/>
      <c r="L40" s="2040"/>
      <c r="M40" s="2040"/>
      <c r="N40" s="2040"/>
      <c r="O40" s="2040"/>
      <c r="P40" s="2040"/>
      <c r="Q40" s="2040"/>
      <c r="R40" s="2040"/>
      <c r="S40" s="2040"/>
      <c r="T40" s="2040"/>
      <c r="U40" s="2041"/>
      <c r="V40" s="1866"/>
      <c r="W40" s="1905"/>
      <c r="X40" s="1905"/>
      <c r="Y40" s="12" t="s">
        <v>198</v>
      </c>
      <c r="Z40" s="1890" t="s">
        <v>778</v>
      </c>
      <c r="AA40" s="1890"/>
      <c r="AB40" s="1890"/>
      <c r="AD40" s="648" t="s">
        <v>121</v>
      </c>
      <c r="AE40" s="603">
        <v>0</v>
      </c>
      <c r="AF40" s="402"/>
    </row>
    <row r="41" spans="2:37" s="1" customFormat="1" ht="7.5" customHeight="1">
      <c r="B41" s="405"/>
      <c r="C41" s="406"/>
      <c r="D41" s="406"/>
      <c r="E41" s="407"/>
      <c r="G41" s="409"/>
      <c r="H41" s="8"/>
      <c r="I41" s="621"/>
      <c r="J41" s="621"/>
      <c r="K41" s="621"/>
      <c r="L41" s="621"/>
      <c r="M41" s="621"/>
      <c r="N41" s="621"/>
      <c r="O41" s="621"/>
      <c r="P41" s="621"/>
      <c r="Q41" s="621"/>
      <c r="R41" s="621"/>
      <c r="S41" s="621"/>
      <c r="T41" s="621"/>
      <c r="U41" s="621"/>
      <c r="V41" s="621"/>
      <c r="W41" s="8"/>
      <c r="X41" s="8"/>
      <c r="Y41" s="612"/>
      <c r="Z41" s="607"/>
      <c r="AA41" s="607"/>
      <c r="AB41" s="8"/>
      <c r="AC41" s="8"/>
      <c r="AD41" s="417"/>
      <c r="AE41" s="649"/>
      <c r="AF41" s="402"/>
    </row>
    <row r="42" spans="2:37" s="1" customFormat="1" ht="21" customHeight="1">
      <c r="B42" s="600"/>
      <c r="C42" s="21"/>
      <c r="D42" s="21"/>
      <c r="E42" s="601"/>
      <c r="G42" s="6" t="s">
        <v>233</v>
      </c>
      <c r="H42" s="7"/>
      <c r="I42" s="619"/>
      <c r="J42" s="619"/>
      <c r="K42" s="619"/>
      <c r="L42" s="619"/>
      <c r="M42" s="619"/>
      <c r="N42" s="619"/>
      <c r="O42" s="619"/>
      <c r="P42" s="619"/>
      <c r="Q42" s="619"/>
      <c r="R42" s="619"/>
      <c r="S42" s="619"/>
      <c r="T42" s="619"/>
      <c r="U42" s="619"/>
      <c r="V42" s="619"/>
      <c r="W42" s="7"/>
      <c r="X42" s="7"/>
      <c r="Y42" s="611"/>
      <c r="Z42" s="7"/>
      <c r="AA42" s="7"/>
      <c r="AB42" s="7"/>
      <c r="AC42" s="7"/>
      <c r="AD42" s="411"/>
      <c r="AE42" s="650"/>
      <c r="AF42" s="402"/>
    </row>
    <row r="43" spans="2:37" s="1" customFormat="1" ht="42" customHeight="1">
      <c r="B43" s="600"/>
      <c r="C43" s="21"/>
      <c r="D43" s="21"/>
      <c r="E43" s="601"/>
      <c r="G43" s="408"/>
      <c r="H43" s="605" t="s">
        <v>107</v>
      </c>
      <c r="I43" s="1638" t="s">
        <v>234</v>
      </c>
      <c r="J43" s="1638"/>
      <c r="K43" s="1638"/>
      <c r="L43" s="1638"/>
      <c r="M43" s="1638"/>
      <c r="N43" s="622"/>
      <c r="O43" s="618" t="s">
        <v>235</v>
      </c>
      <c r="P43" s="2026" t="s">
        <v>198</v>
      </c>
      <c r="Q43" s="1905" t="s">
        <v>236</v>
      </c>
      <c r="R43" s="1638" t="s">
        <v>773</v>
      </c>
      <c r="S43" s="1638"/>
      <c r="T43" s="1638"/>
      <c r="U43" s="1638"/>
      <c r="V43" s="1638"/>
      <c r="W43" s="1794"/>
      <c r="X43" s="1794"/>
      <c r="Y43" s="12" t="s">
        <v>198</v>
      </c>
      <c r="Z43" s="1890" t="s">
        <v>779</v>
      </c>
      <c r="AA43" s="1890"/>
      <c r="AB43" s="1890"/>
      <c r="AC43" s="2046"/>
      <c r="AD43" s="648" t="s">
        <v>121</v>
      </c>
      <c r="AE43" s="603">
        <v>5</v>
      </c>
      <c r="AF43" s="402"/>
    </row>
    <row r="44" spans="2:37" s="1" customFormat="1" ht="40.5" customHeight="1">
      <c r="B44" s="408"/>
      <c r="E44" s="402"/>
      <c r="G44" s="408"/>
      <c r="H44" s="605" t="s">
        <v>104</v>
      </c>
      <c r="I44" s="1638" t="s">
        <v>780</v>
      </c>
      <c r="J44" s="1638"/>
      <c r="K44" s="1638"/>
      <c r="L44" s="1638"/>
      <c r="M44" s="1638"/>
      <c r="N44" s="621"/>
      <c r="O44" s="608" t="s">
        <v>235</v>
      </c>
      <c r="P44" s="2026"/>
      <c r="Q44" s="1905"/>
      <c r="R44" s="1638"/>
      <c r="S44" s="1638"/>
      <c r="T44" s="1638"/>
      <c r="U44" s="1638"/>
      <c r="V44" s="1638"/>
      <c r="W44" s="1794"/>
      <c r="X44" s="1794"/>
      <c r="Y44" s="12" t="s">
        <v>198</v>
      </c>
      <c r="Z44" s="1890" t="s">
        <v>237</v>
      </c>
      <c r="AA44" s="1890"/>
      <c r="AB44" s="1890"/>
      <c r="AC44" s="2046"/>
      <c r="AD44" s="648" t="s">
        <v>121</v>
      </c>
      <c r="AE44" s="603">
        <v>3</v>
      </c>
      <c r="AF44" s="402"/>
    </row>
    <row r="45" spans="2:37" s="1" customFormat="1" ht="30" customHeight="1">
      <c r="B45" s="408"/>
      <c r="E45" s="402"/>
      <c r="G45" s="408"/>
      <c r="H45" s="605" t="s">
        <v>211</v>
      </c>
      <c r="I45" s="2023" t="s">
        <v>781</v>
      </c>
      <c r="J45" s="1643"/>
      <c r="K45" s="1643"/>
      <c r="L45" s="1643"/>
      <c r="M45" s="1644"/>
      <c r="N45" s="622"/>
      <c r="O45" s="618" t="s">
        <v>89</v>
      </c>
      <c r="P45" s="2026"/>
      <c r="Q45" s="1905"/>
      <c r="R45" s="1638"/>
      <c r="S45" s="1638"/>
      <c r="T45" s="1638"/>
      <c r="U45" s="1638"/>
      <c r="V45" s="1638"/>
      <c r="W45" s="1794"/>
      <c r="X45" s="1794"/>
      <c r="Y45" s="12" t="s">
        <v>198</v>
      </c>
      <c r="Z45" s="1927" t="s">
        <v>238</v>
      </c>
      <c r="AA45" s="1927"/>
      <c r="AD45" s="648" t="s">
        <v>121</v>
      </c>
      <c r="AE45" s="603">
        <v>2</v>
      </c>
      <c r="AF45" s="402"/>
    </row>
    <row r="46" spans="2:37" s="1" customFormat="1" ht="21" customHeight="1">
      <c r="B46" s="408"/>
      <c r="E46" s="402"/>
      <c r="G46" s="408"/>
      <c r="H46" s="605" t="s">
        <v>207</v>
      </c>
      <c r="I46" s="2023" t="s">
        <v>240</v>
      </c>
      <c r="J46" s="1643"/>
      <c r="K46" s="1643"/>
      <c r="L46" s="1643"/>
      <c r="M46" s="1644"/>
      <c r="N46" s="620"/>
      <c r="O46" s="608" t="s">
        <v>241</v>
      </c>
      <c r="P46" s="2026"/>
      <c r="Q46" s="1905"/>
      <c r="R46" s="1638"/>
      <c r="S46" s="1638"/>
      <c r="T46" s="1638"/>
      <c r="U46" s="1638"/>
      <c r="V46" s="1638"/>
      <c r="W46" s="1794"/>
      <c r="X46" s="1794"/>
      <c r="Y46" s="12" t="s">
        <v>198</v>
      </c>
      <c r="Z46" s="1890" t="s">
        <v>239</v>
      </c>
      <c r="AA46" s="1890"/>
      <c r="AB46" s="1890"/>
      <c r="AD46" s="648" t="s">
        <v>121</v>
      </c>
      <c r="AE46" s="603">
        <v>0</v>
      </c>
      <c r="AF46" s="402"/>
    </row>
    <row r="47" spans="2:37" s="1" customFormat="1" ht="7.5" customHeight="1">
      <c r="B47" s="408"/>
      <c r="E47" s="402"/>
      <c r="G47" s="409"/>
      <c r="H47" s="8"/>
      <c r="I47" s="621"/>
      <c r="J47" s="621"/>
      <c r="K47" s="621"/>
      <c r="L47" s="621"/>
      <c r="M47" s="621"/>
      <c r="N47" s="621"/>
      <c r="O47" s="621"/>
      <c r="P47" s="621"/>
      <c r="Q47" s="621"/>
      <c r="R47" s="621"/>
      <c r="S47" s="621"/>
      <c r="T47" s="621"/>
      <c r="U47" s="621"/>
      <c r="V47" s="621"/>
      <c r="W47" s="8"/>
      <c r="X47" s="8"/>
      <c r="Y47" s="612"/>
      <c r="Z47" s="8"/>
      <c r="AA47" s="8"/>
      <c r="AB47" s="8"/>
      <c r="AC47" s="8"/>
      <c r="AD47" s="410"/>
      <c r="AE47" s="649"/>
      <c r="AF47" s="419"/>
      <c r="AH47" s="604"/>
      <c r="AI47" s="604"/>
      <c r="AJ47" s="12"/>
      <c r="AK47" s="12"/>
    </row>
    <row r="48" spans="2:37" s="1" customFormat="1" ht="21" customHeight="1">
      <c r="B48" s="405"/>
      <c r="C48" s="406"/>
      <c r="D48" s="406"/>
      <c r="E48" s="407"/>
      <c r="G48" s="6" t="s">
        <v>242</v>
      </c>
      <c r="H48" s="7"/>
      <c r="I48" s="619"/>
      <c r="J48" s="619"/>
      <c r="K48" s="619"/>
      <c r="L48" s="619"/>
      <c r="M48" s="619"/>
      <c r="N48" s="619"/>
      <c r="O48" s="619"/>
      <c r="P48" s="619"/>
      <c r="Q48" s="619"/>
      <c r="R48" s="619"/>
      <c r="S48" s="619"/>
      <c r="T48" s="619"/>
      <c r="U48" s="619"/>
      <c r="V48" s="619"/>
      <c r="W48" s="7"/>
      <c r="X48" s="7"/>
      <c r="Y48" s="611"/>
      <c r="Z48" s="611"/>
      <c r="AA48" s="611"/>
      <c r="AB48" s="7"/>
      <c r="AC48" s="7"/>
      <c r="AD48" s="411"/>
      <c r="AE48" s="650"/>
      <c r="AF48" s="402"/>
    </row>
    <row r="49" spans="2:32" s="1" customFormat="1" ht="43.5" customHeight="1">
      <c r="B49" s="405"/>
      <c r="C49" s="406"/>
      <c r="D49" s="406"/>
      <c r="E49" s="407"/>
      <c r="G49" s="408"/>
      <c r="H49" s="605" t="s">
        <v>107</v>
      </c>
      <c r="I49" s="1638" t="s">
        <v>782</v>
      </c>
      <c r="J49" s="1638"/>
      <c r="K49" s="1638"/>
      <c r="L49" s="1638"/>
      <c r="M49" s="1638"/>
      <c r="N49" s="622"/>
      <c r="O49" s="618" t="s">
        <v>235</v>
      </c>
      <c r="P49" s="2026" t="s">
        <v>198</v>
      </c>
      <c r="Q49" s="1905" t="s">
        <v>236</v>
      </c>
      <c r="R49" s="1638" t="s">
        <v>773</v>
      </c>
      <c r="S49" s="1638"/>
      <c r="T49" s="1638"/>
      <c r="U49" s="1638"/>
      <c r="V49" s="1638"/>
      <c r="W49" s="1794"/>
      <c r="X49" s="1794"/>
      <c r="Y49" s="12" t="s">
        <v>198</v>
      </c>
      <c r="Z49" s="1890" t="s">
        <v>1362</v>
      </c>
      <c r="AA49" s="1890"/>
      <c r="AB49" s="1890"/>
      <c r="AC49" s="1890"/>
      <c r="AD49" s="648" t="s">
        <v>121</v>
      </c>
      <c r="AE49" s="603">
        <v>5</v>
      </c>
      <c r="AF49" s="402"/>
    </row>
    <row r="50" spans="2:32" s="1" customFormat="1" ht="30" customHeight="1">
      <c r="B50" s="600"/>
      <c r="C50" s="21"/>
      <c r="D50" s="21"/>
      <c r="E50" s="601"/>
      <c r="G50" s="408"/>
      <c r="H50" s="605" t="s">
        <v>104</v>
      </c>
      <c r="I50" s="1638" t="s">
        <v>783</v>
      </c>
      <c r="J50" s="1638"/>
      <c r="K50" s="1638"/>
      <c r="L50" s="1638"/>
      <c r="M50" s="1638"/>
      <c r="N50" s="620"/>
      <c r="O50" s="608" t="s">
        <v>235</v>
      </c>
      <c r="P50" s="2026"/>
      <c r="Q50" s="1905"/>
      <c r="R50" s="1638"/>
      <c r="S50" s="1638"/>
      <c r="T50" s="1638"/>
      <c r="U50" s="1638"/>
      <c r="V50" s="1638"/>
      <c r="W50" s="1794"/>
      <c r="X50" s="1794"/>
      <c r="Y50" s="12" t="s">
        <v>198</v>
      </c>
      <c r="Z50" s="1890" t="s">
        <v>243</v>
      </c>
      <c r="AA50" s="1890"/>
      <c r="AB50" s="1890"/>
      <c r="AC50" s="1890"/>
      <c r="AD50" s="648" t="s">
        <v>121</v>
      </c>
      <c r="AE50" s="603">
        <v>3</v>
      </c>
      <c r="AF50" s="402"/>
    </row>
    <row r="51" spans="2:32" s="1" customFormat="1" ht="30" customHeight="1">
      <c r="B51" s="600"/>
      <c r="C51" s="21"/>
      <c r="D51" s="21"/>
      <c r="E51" s="601"/>
      <c r="G51" s="408"/>
      <c r="H51" s="605" t="s">
        <v>211</v>
      </c>
      <c r="I51" s="2023" t="s">
        <v>784</v>
      </c>
      <c r="J51" s="1643"/>
      <c r="K51" s="1643"/>
      <c r="L51" s="1643"/>
      <c r="M51" s="1644"/>
      <c r="N51" s="622"/>
      <c r="O51" s="618" t="s">
        <v>89</v>
      </c>
      <c r="P51" s="2026"/>
      <c r="Q51" s="1905"/>
      <c r="R51" s="1638"/>
      <c r="S51" s="1638"/>
      <c r="T51" s="1638"/>
      <c r="U51" s="1638"/>
      <c r="V51" s="1638"/>
      <c r="W51" s="1794"/>
      <c r="X51" s="1794"/>
      <c r="Y51" s="12" t="s">
        <v>198</v>
      </c>
      <c r="Z51" s="1890" t="s">
        <v>244</v>
      </c>
      <c r="AA51" s="1890"/>
      <c r="AB51" s="1890"/>
      <c r="AC51" s="1890"/>
      <c r="AD51" s="648" t="s">
        <v>121</v>
      </c>
      <c r="AE51" s="603">
        <v>1</v>
      </c>
      <c r="AF51" s="402"/>
    </row>
    <row r="52" spans="2:32" s="1" customFormat="1" ht="25.5" customHeight="1">
      <c r="B52" s="600"/>
      <c r="C52" s="21"/>
      <c r="D52" s="21"/>
      <c r="E52" s="601"/>
      <c r="G52" s="408"/>
      <c r="H52" s="605" t="s">
        <v>207</v>
      </c>
      <c r="I52" s="2023" t="s">
        <v>246</v>
      </c>
      <c r="J52" s="1643"/>
      <c r="K52" s="1643"/>
      <c r="L52" s="1643"/>
      <c r="M52" s="1644"/>
      <c r="N52" s="620"/>
      <c r="O52" s="608" t="s">
        <v>241</v>
      </c>
      <c r="P52" s="2026"/>
      <c r="Q52" s="1905"/>
      <c r="R52" s="1638"/>
      <c r="S52" s="1638"/>
      <c r="T52" s="1638"/>
      <c r="U52" s="1638"/>
      <c r="V52" s="1638"/>
      <c r="W52" s="1794"/>
      <c r="X52" s="1794"/>
      <c r="Y52" s="12"/>
      <c r="Z52" s="1890" t="s">
        <v>245</v>
      </c>
      <c r="AA52" s="1890"/>
      <c r="AB52" s="1890"/>
      <c r="AC52" s="2046"/>
      <c r="AD52" s="648" t="s">
        <v>121</v>
      </c>
      <c r="AE52" s="603">
        <v>0</v>
      </c>
      <c r="AF52" s="402"/>
    </row>
    <row r="53" spans="2:32" s="1" customFormat="1" ht="6.75" customHeight="1">
      <c r="B53" s="600"/>
      <c r="C53" s="21"/>
      <c r="D53" s="21"/>
      <c r="E53" s="601"/>
      <c r="G53" s="409"/>
      <c r="H53" s="8"/>
      <c r="I53" s="621"/>
      <c r="J53" s="621"/>
      <c r="K53" s="621"/>
      <c r="L53" s="621"/>
      <c r="M53" s="621"/>
      <c r="N53" s="621"/>
      <c r="O53" s="621"/>
      <c r="P53" s="621"/>
      <c r="Q53" s="621"/>
      <c r="R53" s="621"/>
      <c r="S53" s="621"/>
      <c r="T53" s="621"/>
      <c r="U53" s="621"/>
      <c r="V53" s="621"/>
      <c r="W53" s="8"/>
      <c r="X53" s="8"/>
      <c r="Y53" s="612"/>
      <c r="Z53" s="612"/>
      <c r="AA53" s="612"/>
      <c r="AB53" s="8"/>
      <c r="AC53" s="8"/>
      <c r="AD53" s="410"/>
      <c r="AE53" s="649"/>
      <c r="AF53" s="402"/>
    </row>
    <row r="54" spans="2:32" s="1" customFormat="1" ht="21" customHeight="1">
      <c r="B54" s="600"/>
      <c r="C54" s="21"/>
      <c r="D54" s="21"/>
      <c r="E54" s="601"/>
      <c r="G54" s="6" t="s">
        <v>247</v>
      </c>
      <c r="H54" s="7"/>
      <c r="I54" s="619"/>
      <c r="J54" s="619"/>
      <c r="K54" s="619"/>
      <c r="L54" s="619"/>
      <c r="M54" s="619"/>
      <c r="N54" s="619"/>
      <c r="O54" s="619"/>
      <c r="P54" s="619"/>
      <c r="Q54" s="619"/>
      <c r="R54" s="619"/>
      <c r="S54" s="619"/>
      <c r="T54" s="619"/>
      <c r="U54" s="619"/>
      <c r="V54" s="619"/>
      <c r="W54" s="7"/>
      <c r="X54" s="7"/>
      <c r="Y54" s="611"/>
      <c r="Z54" s="611"/>
      <c r="AA54" s="611"/>
      <c r="AB54" s="7"/>
      <c r="AC54" s="7"/>
      <c r="AD54" s="411"/>
      <c r="AE54" s="650"/>
      <c r="AF54" s="402"/>
    </row>
    <row r="55" spans="2:32" s="1" customFormat="1" ht="30" customHeight="1">
      <c r="B55" s="408"/>
      <c r="E55" s="402"/>
      <c r="G55" s="408"/>
      <c r="H55" s="605" t="s">
        <v>107</v>
      </c>
      <c r="I55" s="1638" t="s">
        <v>248</v>
      </c>
      <c r="J55" s="1638"/>
      <c r="K55" s="1638"/>
      <c r="L55" s="1638"/>
      <c r="M55" s="1638"/>
      <c r="N55" s="623"/>
      <c r="O55" s="618" t="s">
        <v>241</v>
      </c>
      <c r="P55" s="1866" t="s">
        <v>198</v>
      </c>
      <c r="Q55" s="1905" t="s">
        <v>211</v>
      </c>
      <c r="R55" s="2036" t="s">
        <v>774</v>
      </c>
      <c r="S55" s="2037"/>
      <c r="T55" s="2037"/>
      <c r="U55" s="2037"/>
      <c r="V55" s="2038"/>
      <c r="W55" s="1795"/>
      <c r="X55" s="1797" t="s">
        <v>60</v>
      </c>
      <c r="Y55" s="12" t="s">
        <v>198</v>
      </c>
      <c r="Z55" s="1890" t="s">
        <v>249</v>
      </c>
      <c r="AA55" s="1890"/>
      <c r="AB55" s="1890"/>
      <c r="AC55" s="2046"/>
      <c r="AD55" s="648" t="s">
        <v>121</v>
      </c>
      <c r="AE55" s="603">
        <v>5</v>
      </c>
      <c r="AF55" s="402"/>
    </row>
    <row r="56" spans="2:32" s="1" customFormat="1" ht="19.5" customHeight="1">
      <c r="B56" s="408"/>
      <c r="E56" s="402"/>
      <c r="G56" s="408"/>
      <c r="H56" s="1906" t="s">
        <v>104</v>
      </c>
      <c r="I56" s="2036" t="s">
        <v>250</v>
      </c>
      <c r="J56" s="2037"/>
      <c r="K56" s="2037"/>
      <c r="L56" s="2037"/>
      <c r="M56" s="2038"/>
      <c r="N56" s="1584"/>
      <c r="O56" s="1586" t="s">
        <v>241</v>
      </c>
      <c r="P56" s="1814"/>
      <c r="Q56" s="1905"/>
      <c r="R56" s="2043"/>
      <c r="S56" s="1890"/>
      <c r="T56" s="1890"/>
      <c r="U56" s="1890"/>
      <c r="V56" s="2044"/>
      <c r="W56" s="1801"/>
      <c r="X56" s="1802"/>
      <c r="Y56" s="12" t="s">
        <v>198</v>
      </c>
      <c r="Z56" s="1890" t="s">
        <v>251</v>
      </c>
      <c r="AA56" s="1890"/>
      <c r="AB56" s="1890"/>
      <c r="AC56" s="2046"/>
      <c r="AD56" s="648" t="s">
        <v>121</v>
      </c>
      <c r="AE56" s="603">
        <v>3</v>
      </c>
      <c r="AF56" s="402"/>
    </row>
    <row r="57" spans="2:32" s="1" customFormat="1" ht="19.5" customHeight="1">
      <c r="B57" s="408"/>
      <c r="E57" s="402"/>
      <c r="G57" s="408"/>
      <c r="H57" s="1906"/>
      <c r="I57" s="2039"/>
      <c r="J57" s="2040"/>
      <c r="K57" s="2040"/>
      <c r="L57" s="2040"/>
      <c r="M57" s="2041"/>
      <c r="N57" s="1868"/>
      <c r="O57" s="1870"/>
      <c r="P57" s="599"/>
      <c r="Q57" s="1905"/>
      <c r="R57" s="2039"/>
      <c r="S57" s="2040"/>
      <c r="T57" s="2040"/>
      <c r="U57" s="2040"/>
      <c r="V57" s="2041"/>
      <c r="W57" s="1798"/>
      <c r="X57" s="1800"/>
      <c r="Y57" s="12" t="s">
        <v>198</v>
      </c>
      <c r="Z57" s="1890" t="s">
        <v>252</v>
      </c>
      <c r="AA57" s="1890"/>
      <c r="AB57" s="1890"/>
      <c r="AC57" s="2046"/>
      <c r="AD57" s="648" t="s">
        <v>121</v>
      </c>
      <c r="AE57" s="603">
        <v>0</v>
      </c>
      <c r="AF57" s="402"/>
    </row>
    <row r="58" spans="2:32" s="1" customFormat="1" ht="7.5" customHeight="1">
      <c r="B58" s="408"/>
      <c r="E58" s="402"/>
      <c r="G58" s="409"/>
      <c r="H58" s="416"/>
      <c r="I58" s="607"/>
      <c r="J58" s="607"/>
      <c r="K58" s="607"/>
      <c r="L58" s="607"/>
      <c r="M58" s="607"/>
      <c r="N58" s="621"/>
      <c r="O58" s="414"/>
      <c r="P58" s="621"/>
      <c r="Q58" s="621"/>
      <c r="R58" s="621"/>
      <c r="S58" s="621"/>
      <c r="T58" s="621"/>
      <c r="U58" s="621"/>
      <c r="V58" s="621"/>
      <c r="W58" s="8"/>
      <c r="X58" s="8"/>
      <c r="Y58" s="612"/>
      <c r="Z58" s="610"/>
      <c r="AA58" s="610"/>
      <c r="AB58" s="8"/>
      <c r="AC58" s="8"/>
      <c r="AD58" s="417"/>
      <c r="AE58" s="649"/>
      <c r="AF58" s="402"/>
    </row>
    <row r="59" spans="2:32" s="1" customFormat="1" ht="21" customHeight="1">
      <c r="B59" s="405"/>
      <c r="C59" s="406"/>
      <c r="D59" s="406"/>
      <c r="E59" s="407"/>
      <c r="G59" s="6" t="s">
        <v>253</v>
      </c>
      <c r="H59" s="420"/>
      <c r="I59" s="606"/>
      <c r="J59" s="606"/>
      <c r="K59" s="606"/>
      <c r="L59" s="606"/>
      <c r="M59" s="606"/>
      <c r="N59" s="624"/>
      <c r="O59" s="619"/>
      <c r="P59" s="619"/>
      <c r="Q59" s="619"/>
      <c r="R59" s="619"/>
      <c r="S59" s="619"/>
      <c r="T59" s="619"/>
      <c r="U59" s="619"/>
      <c r="V59" s="619"/>
      <c r="W59" s="7"/>
      <c r="X59" s="7"/>
      <c r="Y59" s="611"/>
      <c r="Z59" s="611"/>
      <c r="AA59" s="611"/>
      <c r="AB59" s="7"/>
      <c r="AC59" s="7"/>
      <c r="AD59" s="411"/>
      <c r="AE59" s="650"/>
      <c r="AF59" s="402"/>
    </row>
    <row r="60" spans="2:32" s="1" customFormat="1" ht="48.75" customHeight="1">
      <c r="B60" s="405"/>
      <c r="C60" s="406"/>
      <c r="D60" s="406"/>
      <c r="E60" s="407"/>
      <c r="G60" s="408"/>
      <c r="H60" s="605" t="s">
        <v>107</v>
      </c>
      <c r="I60" s="1885" t="s">
        <v>785</v>
      </c>
      <c r="J60" s="1885"/>
      <c r="K60" s="1885"/>
      <c r="L60" s="1885"/>
      <c r="M60" s="1885"/>
      <c r="N60" s="623"/>
      <c r="O60" s="618" t="s">
        <v>89</v>
      </c>
      <c r="P60" s="1866" t="s">
        <v>198</v>
      </c>
      <c r="Q60" s="1905" t="s">
        <v>211</v>
      </c>
      <c r="R60" s="1638" t="s">
        <v>774</v>
      </c>
      <c r="S60" s="1638"/>
      <c r="T60" s="1638"/>
      <c r="U60" s="1638"/>
      <c r="V60" s="1638"/>
      <c r="W60" s="1795"/>
      <c r="X60" s="1797" t="s">
        <v>60</v>
      </c>
      <c r="Y60" s="12" t="s">
        <v>198</v>
      </c>
      <c r="Z60" s="1890" t="s">
        <v>216</v>
      </c>
      <c r="AA60" s="1890"/>
      <c r="AB60" s="1890"/>
      <c r="AC60" s="2046"/>
      <c r="AD60" s="648" t="s">
        <v>121</v>
      </c>
      <c r="AE60" s="603">
        <v>5</v>
      </c>
      <c r="AF60" s="402"/>
    </row>
    <row r="61" spans="2:32" s="1" customFormat="1" ht="19.5" customHeight="1">
      <c r="B61" s="405"/>
      <c r="C61" s="406"/>
      <c r="D61" s="406"/>
      <c r="E61" s="407"/>
      <c r="G61" s="408"/>
      <c r="H61" s="1906" t="s">
        <v>104</v>
      </c>
      <c r="I61" s="1885" t="s">
        <v>254</v>
      </c>
      <c r="J61" s="1885"/>
      <c r="K61" s="1885"/>
      <c r="L61" s="1885"/>
      <c r="M61" s="1885"/>
      <c r="N61" s="1584"/>
      <c r="O61" s="1586" t="s">
        <v>89</v>
      </c>
      <c r="P61" s="1814"/>
      <c r="Q61" s="1905"/>
      <c r="R61" s="1638"/>
      <c r="S61" s="1638"/>
      <c r="T61" s="1638"/>
      <c r="U61" s="1638"/>
      <c r="V61" s="1638"/>
      <c r="W61" s="1801"/>
      <c r="X61" s="1802"/>
      <c r="Y61" s="12" t="s">
        <v>198</v>
      </c>
      <c r="Z61" s="1890" t="s">
        <v>218</v>
      </c>
      <c r="AA61" s="1890"/>
      <c r="AB61" s="1890"/>
      <c r="AC61" s="2046"/>
      <c r="AD61" s="648" t="s">
        <v>121</v>
      </c>
      <c r="AE61" s="603">
        <v>3</v>
      </c>
      <c r="AF61" s="402"/>
    </row>
    <row r="62" spans="2:32" s="1" customFormat="1" ht="19.5" customHeight="1">
      <c r="B62" s="405"/>
      <c r="C62" s="406"/>
      <c r="D62" s="406"/>
      <c r="E62" s="407"/>
      <c r="G62" s="408"/>
      <c r="H62" s="1906"/>
      <c r="I62" s="1885"/>
      <c r="J62" s="1885"/>
      <c r="K62" s="1885"/>
      <c r="L62" s="1885"/>
      <c r="M62" s="1885"/>
      <c r="N62" s="1868"/>
      <c r="O62" s="1870"/>
      <c r="P62" s="599"/>
      <c r="Q62" s="1905"/>
      <c r="R62" s="1638"/>
      <c r="S62" s="1638"/>
      <c r="T62" s="1638"/>
      <c r="U62" s="1638"/>
      <c r="V62" s="1638"/>
      <c r="W62" s="1798"/>
      <c r="X62" s="1800"/>
      <c r="Y62" s="12" t="s">
        <v>198</v>
      </c>
      <c r="Z62" s="1890" t="s">
        <v>220</v>
      </c>
      <c r="AA62" s="1890"/>
      <c r="AB62" s="1890"/>
      <c r="AC62" s="2046"/>
      <c r="AD62" s="648" t="s">
        <v>121</v>
      </c>
      <c r="AE62" s="603">
        <v>0</v>
      </c>
      <c r="AF62" s="402"/>
    </row>
    <row r="63" spans="2:32" s="1" customFormat="1" ht="7.5" customHeight="1">
      <c r="B63" s="405"/>
      <c r="C63" s="406"/>
      <c r="D63" s="406"/>
      <c r="E63" s="407"/>
      <c r="G63" s="409"/>
      <c r="H63" s="416"/>
      <c r="I63" s="607"/>
      <c r="J63" s="607"/>
      <c r="K63" s="607"/>
      <c r="L63" s="607"/>
      <c r="M63" s="607"/>
      <c r="N63" s="621"/>
      <c r="O63" s="414"/>
      <c r="P63" s="621"/>
      <c r="Q63" s="610"/>
      <c r="R63" s="607"/>
      <c r="S63" s="607"/>
      <c r="T63" s="607"/>
      <c r="U63" s="607"/>
      <c r="V63" s="607"/>
      <c r="W63" s="8"/>
      <c r="X63" s="612"/>
      <c r="Y63" s="8"/>
      <c r="Z63" s="8"/>
      <c r="AA63" s="8"/>
      <c r="AB63" s="8"/>
      <c r="AC63" s="8"/>
      <c r="AD63" s="421"/>
      <c r="AE63" s="649"/>
      <c r="AF63" s="402"/>
    </row>
    <row r="64" spans="2:32" s="1" customFormat="1" ht="21" customHeight="1">
      <c r="B64" s="600"/>
      <c r="C64" s="21"/>
      <c r="D64" s="21"/>
      <c r="E64" s="601"/>
      <c r="G64" s="6" t="s">
        <v>255</v>
      </c>
      <c r="H64" s="7"/>
      <c r="I64" s="619"/>
      <c r="J64" s="619"/>
      <c r="K64" s="619"/>
      <c r="L64" s="619"/>
      <c r="M64" s="619"/>
      <c r="N64" s="619"/>
      <c r="O64" s="619"/>
      <c r="P64" s="619"/>
      <c r="Q64" s="619"/>
      <c r="R64" s="619"/>
      <c r="S64" s="619"/>
      <c r="T64" s="619"/>
      <c r="U64" s="619"/>
      <c r="V64" s="619"/>
      <c r="W64" s="7"/>
      <c r="X64" s="7"/>
      <c r="Y64" s="7"/>
      <c r="Z64" s="7"/>
      <c r="AA64" s="7"/>
      <c r="AB64" s="7"/>
      <c r="AC64" s="7"/>
      <c r="AD64" s="422"/>
      <c r="AE64" s="650"/>
      <c r="AF64" s="402"/>
    </row>
    <row r="65" spans="2:32" s="1" customFormat="1" ht="48.75" customHeight="1">
      <c r="B65" s="600"/>
      <c r="C65" s="21"/>
      <c r="D65" s="21"/>
      <c r="E65" s="601"/>
      <c r="G65" s="408"/>
      <c r="H65" s="605" t="s">
        <v>107</v>
      </c>
      <c r="I65" s="1885" t="s">
        <v>786</v>
      </c>
      <c r="J65" s="1885"/>
      <c r="K65" s="1885"/>
      <c r="L65" s="1885"/>
      <c r="M65" s="1885"/>
      <c r="N65" s="623"/>
      <c r="O65" s="618" t="s">
        <v>89</v>
      </c>
      <c r="P65" s="2026" t="s">
        <v>198</v>
      </c>
      <c r="Q65" s="1905" t="s">
        <v>211</v>
      </c>
      <c r="R65" s="1638" t="s">
        <v>774</v>
      </c>
      <c r="S65" s="1638"/>
      <c r="T65" s="1638"/>
      <c r="U65" s="1638"/>
      <c r="V65" s="1638"/>
      <c r="W65" s="1795"/>
      <c r="X65" s="1797" t="s">
        <v>60</v>
      </c>
      <c r="Y65" s="12" t="s">
        <v>198</v>
      </c>
      <c r="Z65" s="1890" t="s">
        <v>216</v>
      </c>
      <c r="AA65" s="1890"/>
      <c r="AB65" s="1890"/>
      <c r="AC65" s="2046"/>
      <c r="AD65" s="648" t="s">
        <v>121</v>
      </c>
      <c r="AE65" s="603">
        <v>5</v>
      </c>
      <c r="AF65" s="402"/>
    </row>
    <row r="66" spans="2:32" s="1" customFormat="1" ht="19.5" customHeight="1">
      <c r="B66" s="600"/>
      <c r="C66" s="21"/>
      <c r="D66" s="21"/>
      <c r="E66" s="601"/>
      <c r="G66" s="408"/>
      <c r="H66" s="1906" t="s">
        <v>104</v>
      </c>
      <c r="I66" s="1885" t="s">
        <v>254</v>
      </c>
      <c r="J66" s="1885"/>
      <c r="K66" s="1885"/>
      <c r="L66" s="1885"/>
      <c r="M66" s="1885"/>
      <c r="N66" s="1584"/>
      <c r="O66" s="1586" t="s">
        <v>89</v>
      </c>
      <c r="P66" s="1867"/>
      <c r="Q66" s="1905"/>
      <c r="R66" s="1638"/>
      <c r="S66" s="1638"/>
      <c r="T66" s="1638"/>
      <c r="U66" s="1638"/>
      <c r="V66" s="1638"/>
      <c r="W66" s="1801"/>
      <c r="X66" s="1802"/>
      <c r="Y66" s="602" t="s">
        <v>198</v>
      </c>
      <c r="Z66" s="1890" t="s">
        <v>218</v>
      </c>
      <c r="AA66" s="1890"/>
      <c r="AB66" s="1890"/>
      <c r="AC66" s="2046"/>
      <c r="AD66" s="648" t="s">
        <v>121</v>
      </c>
      <c r="AE66" s="603">
        <v>3</v>
      </c>
      <c r="AF66" s="402"/>
    </row>
    <row r="67" spans="2:32" s="1" customFormat="1" ht="19.5" customHeight="1">
      <c r="B67" s="600"/>
      <c r="C67" s="21"/>
      <c r="D67" s="21"/>
      <c r="E67" s="601"/>
      <c r="G67" s="408"/>
      <c r="H67" s="1906"/>
      <c r="I67" s="1885"/>
      <c r="J67" s="1885"/>
      <c r="K67" s="1885"/>
      <c r="L67" s="1885"/>
      <c r="M67" s="1885"/>
      <c r="N67" s="1868"/>
      <c r="O67" s="1870"/>
      <c r="P67" s="599"/>
      <c r="Q67" s="1905"/>
      <c r="R67" s="1638"/>
      <c r="S67" s="1638"/>
      <c r="T67" s="1638"/>
      <c r="U67" s="1638"/>
      <c r="V67" s="1638"/>
      <c r="W67" s="1798"/>
      <c r="X67" s="1800"/>
      <c r="Y67" s="602" t="s">
        <v>198</v>
      </c>
      <c r="Z67" s="1890" t="s">
        <v>220</v>
      </c>
      <c r="AA67" s="1890"/>
      <c r="AB67" s="1890"/>
      <c r="AC67" s="2046"/>
      <c r="AD67" s="648" t="s">
        <v>121</v>
      </c>
      <c r="AE67" s="603">
        <v>0</v>
      </c>
      <c r="AF67" s="402"/>
    </row>
    <row r="68" spans="2:32" s="1" customFormat="1" ht="7.5" customHeight="1" thickBot="1">
      <c r="B68" s="600"/>
      <c r="C68" s="21"/>
      <c r="D68" s="21"/>
      <c r="E68" s="601"/>
      <c r="G68" s="409"/>
      <c r="H68" s="416"/>
      <c r="I68" s="607"/>
      <c r="J68" s="607"/>
      <c r="K68" s="607"/>
      <c r="L68" s="607"/>
      <c r="M68" s="607"/>
      <c r="N68" s="8"/>
      <c r="O68" s="612"/>
      <c r="P68" s="8"/>
      <c r="Q68" s="416"/>
      <c r="R68" s="607"/>
      <c r="S68" s="607"/>
      <c r="T68" s="607"/>
      <c r="U68" s="607"/>
      <c r="V68" s="607"/>
      <c r="W68" s="612"/>
      <c r="X68" s="612"/>
      <c r="Y68" s="612"/>
      <c r="Z68" s="610"/>
      <c r="AA68" s="610"/>
      <c r="AB68" s="8"/>
      <c r="AC68" s="8"/>
      <c r="AD68" s="615"/>
      <c r="AE68" s="423"/>
      <c r="AF68" s="402"/>
    </row>
    <row r="69" spans="2:32" s="1" customFormat="1" ht="24.75" customHeight="1" thickBot="1">
      <c r="B69" s="600"/>
      <c r="C69" s="21"/>
      <c r="D69" s="21"/>
      <c r="E69" s="601"/>
      <c r="H69" s="614"/>
      <c r="I69" s="604"/>
      <c r="J69" s="604"/>
      <c r="K69" s="604"/>
      <c r="L69" s="604"/>
      <c r="M69" s="604"/>
      <c r="O69" s="12"/>
      <c r="Q69" s="614"/>
      <c r="R69" s="604"/>
      <c r="S69" s="604"/>
      <c r="T69" s="604"/>
      <c r="U69" s="604"/>
      <c r="V69" s="604"/>
      <c r="W69" s="12"/>
      <c r="X69" s="12"/>
      <c r="Y69" s="12"/>
      <c r="Z69" s="609"/>
      <c r="AA69" s="609"/>
      <c r="AB69" s="612"/>
      <c r="AC69" s="612"/>
      <c r="AD69" s="2049" t="s">
        <v>256</v>
      </c>
      <c r="AE69" s="2049"/>
      <c r="AF69" s="402"/>
    </row>
    <row r="70" spans="2:32" s="1" customFormat="1" ht="15" customHeight="1">
      <c r="B70" s="408"/>
      <c r="E70" s="402"/>
      <c r="I70" s="1794" t="s">
        <v>257</v>
      </c>
      <c r="J70" s="1794"/>
      <c r="K70" s="1794"/>
      <c r="L70" s="1794"/>
      <c r="M70" s="1794"/>
      <c r="N70" s="1794"/>
      <c r="O70" s="1794"/>
      <c r="P70" s="1794"/>
      <c r="Q70" s="1794"/>
      <c r="R70" s="1794"/>
      <c r="S70" s="1794"/>
      <c r="T70" s="1794"/>
      <c r="U70" s="1794"/>
      <c r="V70" s="1794"/>
      <c r="W70" s="1794"/>
      <c r="X70" s="1794"/>
      <c r="Y70" s="1794"/>
      <c r="Z70" s="1794"/>
      <c r="AA70" s="1794"/>
      <c r="AB70" s="1794" t="s">
        <v>664</v>
      </c>
      <c r="AC70" s="1580"/>
      <c r="AD70" s="2050"/>
      <c r="AE70" s="2051"/>
      <c r="AF70" s="402"/>
    </row>
    <row r="71" spans="2:32" s="1" customFormat="1" ht="15" customHeight="1" thickBot="1">
      <c r="B71" s="408"/>
      <c r="E71" s="402"/>
      <c r="H71" s="614"/>
      <c r="I71" s="1794"/>
      <c r="J71" s="1794"/>
      <c r="K71" s="1794"/>
      <c r="L71" s="1794"/>
      <c r="M71" s="1794"/>
      <c r="N71" s="1794"/>
      <c r="O71" s="1794"/>
      <c r="P71" s="1794"/>
      <c r="Q71" s="1794"/>
      <c r="R71" s="1794"/>
      <c r="S71" s="1794"/>
      <c r="T71" s="1794"/>
      <c r="U71" s="1794"/>
      <c r="V71" s="1794"/>
      <c r="W71" s="1794"/>
      <c r="X71" s="1794"/>
      <c r="Y71" s="1794"/>
      <c r="Z71" s="1794"/>
      <c r="AA71" s="1794"/>
      <c r="AB71" s="1794"/>
      <c r="AC71" s="1580"/>
      <c r="AD71" s="2052"/>
      <c r="AE71" s="2053"/>
      <c r="AF71" s="402"/>
    </row>
    <row r="72" spans="2:32" s="1" customFormat="1" ht="7.5" customHeight="1">
      <c r="B72" s="409"/>
      <c r="C72" s="8"/>
      <c r="D72" s="8"/>
      <c r="E72" s="424"/>
      <c r="F72" s="8"/>
      <c r="G72" s="8"/>
      <c r="H72" s="416"/>
      <c r="I72" s="416"/>
      <c r="J72" s="416"/>
      <c r="K72" s="8"/>
      <c r="L72" s="607"/>
      <c r="M72" s="607"/>
      <c r="N72" s="612"/>
      <c r="O72" s="612"/>
      <c r="P72" s="612"/>
      <c r="Q72" s="612"/>
      <c r="R72" s="612"/>
      <c r="S72" s="612"/>
      <c r="T72" s="612"/>
      <c r="U72" s="612"/>
      <c r="V72" s="612"/>
      <c r="W72" s="612"/>
      <c r="X72" s="612"/>
      <c r="Y72" s="612"/>
      <c r="Z72" s="612"/>
      <c r="AA72" s="612"/>
      <c r="AB72" s="612"/>
      <c r="AC72" s="612"/>
      <c r="AD72" s="425"/>
      <c r="AE72" s="612"/>
      <c r="AF72" s="424"/>
    </row>
    <row r="73" spans="2:32" s="1" customFormat="1" ht="5.25" customHeight="1"/>
    <row r="74" spans="2:32" s="1" customFormat="1" ht="22.5" customHeight="1">
      <c r="B74" s="6" t="s">
        <v>258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408"/>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402"/>
    </row>
    <row r="76" spans="2:32" s="1" customFormat="1">
      <c r="B76" s="408"/>
      <c r="C76" s="408"/>
      <c r="F76" s="402"/>
      <c r="J76" s="8"/>
      <c r="K76" s="8"/>
      <c r="L76" s="8"/>
      <c r="M76" s="8"/>
      <c r="N76" s="8"/>
      <c r="O76" s="8"/>
      <c r="P76" s="8"/>
      <c r="Q76" s="8"/>
      <c r="R76" s="8"/>
      <c r="S76" s="8"/>
      <c r="T76" s="8"/>
      <c r="U76" s="8"/>
      <c r="V76" s="8"/>
      <c r="W76" s="8"/>
      <c r="X76" s="8"/>
      <c r="Y76" s="8"/>
      <c r="Z76" s="8"/>
      <c r="AA76" s="8"/>
      <c r="AC76" s="652" t="s">
        <v>1118</v>
      </c>
      <c r="AD76" s="653" t="s">
        <v>440</v>
      </c>
      <c r="AE76" s="654" t="s">
        <v>674</v>
      </c>
      <c r="AF76" s="402"/>
    </row>
    <row r="77" spans="2:32" s="1" customFormat="1" ht="27" customHeight="1">
      <c r="B77" s="408"/>
      <c r="C77" s="1596" t="s">
        <v>259</v>
      </c>
      <c r="D77" s="1597"/>
      <c r="E77" s="1597"/>
      <c r="F77" s="1602"/>
      <c r="G77" s="406"/>
      <c r="H77" s="406"/>
      <c r="J77" s="605" t="s">
        <v>107</v>
      </c>
      <c r="K77" s="2048" t="s">
        <v>260</v>
      </c>
      <c r="L77" s="2048"/>
      <c r="M77" s="2048"/>
      <c r="N77" s="2048"/>
      <c r="O77" s="2048"/>
      <c r="P77" s="2048"/>
      <c r="Q77" s="2048"/>
      <c r="R77" s="2048"/>
      <c r="S77" s="2048"/>
      <c r="T77" s="2048"/>
      <c r="U77" s="2048"/>
      <c r="V77" s="2048"/>
      <c r="W77" s="2048"/>
      <c r="X77" s="2048"/>
      <c r="Y77" s="2048"/>
      <c r="Z77" s="2048"/>
      <c r="AA77" s="2048"/>
      <c r="AB77" s="426"/>
      <c r="AC77" s="655" t="s">
        <v>121</v>
      </c>
      <c r="AD77" s="641" t="s">
        <v>440</v>
      </c>
      <c r="AE77" s="656" t="s">
        <v>121</v>
      </c>
      <c r="AF77" s="402"/>
    </row>
    <row r="78" spans="2:32" s="1" customFormat="1" ht="27" customHeight="1">
      <c r="B78" s="408"/>
      <c r="C78" s="600"/>
      <c r="D78" s="21"/>
      <c r="E78" s="21"/>
      <c r="F78" s="601"/>
      <c r="G78" s="406"/>
      <c r="H78" s="406"/>
      <c r="J78" s="605" t="s">
        <v>104</v>
      </c>
      <c r="K78" s="2048" t="s">
        <v>787</v>
      </c>
      <c r="L78" s="2048"/>
      <c r="M78" s="2048"/>
      <c r="N78" s="2048"/>
      <c r="O78" s="2048"/>
      <c r="P78" s="2048"/>
      <c r="Q78" s="2048"/>
      <c r="R78" s="2048"/>
      <c r="S78" s="2048"/>
      <c r="T78" s="2048"/>
      <c r="U78" s="2048"/>
      <c r="V78" s="2048"/>
      <c r="W78" s="2048"/>
      <c r="X78" s="2048"/>
      <c r="Y78" s="2048"/>
      <c r="Z78" s="2048"/>
      <c r="AA78" s="2048"/>
      <c r="AB78" s="412"/>
      <c r="AC78" s="655" t="s">
        <v>121</v>
      </c>
      <c r="AD78" s="641" t="s">
        <v>440</v>
      </c>
      <c r="AE78" s="656" t="s">
        <v>121</v>
      </c>
      <c r="AF78" s="617"/>
    </row>
    <row r="79" spans="2:32" s="1" customFormat="1" ht="27" customHeight="1">
      <c r="B79" s="408"/>
      <c r="C79" s="600"/>
      <c r="D79" s="21"/>
      <c r="E79" s="21"/>
      <c r="F79" s="601"/>
      <c r="G79" s="406"/>
      <c r="H79" s="406"/>
      <c r="J79" s="605" t="s">
        <v>211</v>
      </c>
      <c r="K79" s="2048" t="s">
        <v>788</v>
      </c>
      <c r="L79" s="2048"/>
      <c r="M79" s="2048"/>
      <c r="N79" s="2048"/>
      <c r="O79" s="2048"/>
      <c r="P79" s="2048"/>
      <c r="Q79" s="2048"/>
      <c r="R79" s="2048"/>
      <c r="S79" s="2048"/>
      <c r="T79" s="2048"/>
      <c r="U79" s="2048"/>
      <c r="V79" s="2048"/>
      <c r="W79" s="2048"/>
      <c r="X79" s="2048"/>
      <c r="Y79" s="2048"/>
      <c r="Z79" s="2048"/>
      <c r="AA79" s="2048"/>
      <c r="AB79" s="412"/>
      <c r="AC79" s="655" t="s">
        <v>121</v>
      </c>
      <c r="AD79" s="641" t="s">
        <v>440</v>
      </c>
      <c r="AE79" s="656" t="s">
        <v>121</v>
      </c>
      <c r="AF79" s="617"/>
    </row>
    <row r="80" spans="2:32" s="1" customFormat="1" ht="27" customHeight="1">
      <c r="B80" s="408"/>
      <c r="C80" s="600"/>
      <c r="D80" s="21"/>
      <c r="E80" s="21"/>
      <c r="F80" s="601"/>
      <c r="G80" s="406"/>
      <c r="H80" s="406"/>
      <c r="J80" s="605" t="s">
        <v>207</v>
      </c>
      <c r="K80" s="2048" t="s">
        <v>789</v>
      </c>
      <c r="L80" s="2048"/>
      <c r="M80" s="2048"/>
      <c r="N80" s="2048"/>
      <c r="O80" s="2048"/>
      <c r="P80" s="2048"/>
      <c r="Q80" s="2048"/>
      <c r="R80" s="2048"/>
      <c r="S80" s="2048"/>
      <c r="T80" s="2048"/>
      <c r="U80" s="2048"/>
      <c r="V80" s="2048"/>
      <c r="W80" s="2048"/>
      <c r="X80" s="2048"/>
      <c r="Y80" s="2048"/>
      <c r="Z80" s="2048"/>
      <c r="AA80" s="2048"/>
      <c r="AB80" s="412"/>
      <c r="AC80" s="655" t="s">
        <v>121</v>
      </c>
      <c r="AD80" s="641" t="s">
        <v>440</v>
      </c>
      <c r="AE80" s="656" t="s">
        <v>121</v>
      </c>
      <c r="AF80" s="617"/>
    </row>
    <row r="81" spans="2:32" s="1" customFormat="1" ht="11.25" customHeight="1">
      <c r="B81" s="408"/>
      <c r="C81" s="409"/>
      <c r="D81" s="8"/>
      <c r="E81" s="8"/>
      <c r="F81" s="424"/>
      <c r="G81" s="8"/>
      <c r="H81" s="8"/>
      <c r="I81" s="8"/>
      <c r="J81" s="8"/>
      <c r="K81" s="8"/>
      <c r="L81" s="8"/>
      <c r="M81" s="8"/>
      <c r="N81" s="8"/>
      <c r="O81" s="8"/>
      <c r="P81" s="8"/>
      <c r="Q81" s="8"/>
      <c r="R81" s="8"/>
      <c r="S81" s="8"/>
      <c r="T81" s="8"/>
      <c r="U81" s="8"/>
      <c r="V81" s="8"/>
      <c r="W81" s="8"/>
      <c r="X81" s="8"/>
      <c r="Y81" s="8"/>
      <c r="Z81" s="8"/>
      <c r="AA81" s="8"/>
      <c r="AB81" s="8"/>
      <c r="AC81" s="409"/>
      <c r="AD81" s="8"/>
      <c r="AE81" s="424"/>
      <c r="AF81" s="402"/>
    </row>
    <row r="82" spans="2:32" s="1" customFormat="1" ht="7.5" customHeight="1">
      <c r="B82" s="408"/>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402"/>
    </row>
    <row r="83" spans="2:32" s="1" customFormat="1">
      <c r="B83" s="408"/>
      <c r="C83" s="408"/>
      <c r="F83" s="402"/>
      <c r="J83" s="8"/>
      <c r="K83" s="8"/>
      <c r="L83" s="8"/>
      <c r="M83" s="8"/>
      <c r="N83" s="8"/>
      <c r="O83" s="8"/>
      <c r="P83" s="8"/>
      <c r="Q83" s="8"/>
      <c r="R83" s="8"/>
      <c r="S83" s="8"/>
      <c r="T83" s="8"/>
      <c r="U83" s="8"/>
      <c r="V83" s="8"/>
      <c r="W83" s="8"/>
      <c r="X83" s="8"/>
      <c r="Y83" s="8"/>
      <c r="Z83" s="8"/>
      <c r="AA83" s="8"/>
      <c r="AC83" s="652" t="s">
        <v>1118</v>
      </c>
      <c r="AD83" s="653" t="s">
        <v>440</v>
      </c>
      <c r="AE83" s="654" t="s">
        <v>674</v>
      </c>
      <c r="AF83" s="402"/>
    </row>
    <row r="84" spans="2:32" s="1" customFormat="1" ht="24.75" customHeight="1">
      <c r="B84" s="408"/>
      <c r="C84" s="1596" t="s">
        <v>261</v>
      </c>
      <c r="D84" s="1597"/>
      <c r="E84" s="1597"/>
      <c r="F84" s="1602"/>
      <c r="G84" s="406"/>
      <c r="H84" s="406"/>
      <c r="J84" s="605" t="s">
        <v>107</v>
      </c>
      <c r="K84" s="2048" t="s">
        <v>262</v>
      </c>
      <c r="L84" s="2048"/>
      <c r="M84" s="2048"/>
      <c r="N84" s="2048"/>
      <c r="O84" s="2048"/>
      <c r="P84" s="2048"/>
      <c r="Q84" s="2048"/>
      <c r="R84" s="2048"/>
      <c r="S84" s="2048"/>
      <c r="T84" s="2048"/>
      <c r="U84" s="2048"/>
      <c r="V84" s="2048"/>
      <c r="W84" s="2048"/>
      <c r="X84" s="2048"/>
      <c r="Y84" s="2048"/>
      <c r="Z84" s="2048"/>
      <c r="AA84" s="2048"/>
      <c r="AB84" s="426"/>
      <c r="AC84" s="655" t="s">
        <v>121</v>
      </c>
      <c r="AD84" s="641" t="s">
        <v>440</v>
      </c>
      <c r="AE84" s="656" t="s">
        <v>121</v>
      </c>
      <c r="AF84" s="402"/>
    </row>
    <row r="85" spans="2:32" s="1" customFormat="1" ht="24.75" customHeight="1">
      <c r="B85" s="408"/>
      <c r="C85" s="405"/>
      <c r="D85" s="406"/>
      <c r="E85" s="406"/>
      <c r="F85" s="407"/>
      <c r="G85" s="406"/>
      <c r="H85" s="406"/>
      <c r="J85" s="605" t="s">
        <v>104</v>
      </c>
      <c r="K85" s="2048" t="s">
        <v>787</v>
      </c>
      <c r="L85" s="2048"/>
      <c r="M85" s="2048"/>
      <c r="N85" s="2048"/>
      <c r="O85" s="2048"/>
      <c r="P85" s="2048"/>
      <c r="Q85" s="2048"/>
      <c r="R85" s="2048"/>
      <c r="S85" s="2048"/>
      <c r="T85" s="2048"/>
      <c r="U85" s="2048"/>
      <c r="V85" s="2048"/>
      <c r="W85" s="2048"/>
      <c r="X85" s="2048"/>
      <c r="Y85" s="2048"/>
      <c r="Z85" s="2048"/>
      <c r="AA85" s="2048"/>
      <c r="AB85" s="412"/>
      <c r="AC85" s="655" t="s">
        <v>121</v>
      </c>
      <c r="AD85" s="641" t="s">
        <v>440</v>
      </c>
      <c r="AE85" s="656" t="s">
        <v>121</v>
      </c>
      <c r="AF85" s="402"/>
    </row>
    <row r="86" spans="2:32" s="1" customFormat="1" ht="24.75" customHeight="1">
      <c r="B86" s="408"/>
      <c r="C86" s="405"/>
      <c r="D86" s="406"/>
      <c r="E86" s="406"/>
      <c r="F86" s="407"/>
      <c r="G86" s="406"/>
      <c r="H86" s="406"/>
      <c r="J86" s="605" t="s">
        <v>211</v>
      </c>
      <c r="K86" s="2048" t="s">
        <v>788</v>
      </c>
      <c r="L86" s="2048"/>
      <c r="M86" s="2048"/>
      <c r="N86" s="2048"/>
      <c r="O86" s="2048"/>
      <c r="P86" s="2048"/>
      <c r="Q86" s="2048"/>
      <c r="R86" s="2048"/>
      <c r="S86" s="2048"/>
      <c r="T86" s="2048"/>
      <c r="U86" s="2048"/>
      <c r="V86" s="2048"/>
      <c r="W86" s="2048"/>
      <c r="X86" s="2048"/>
      <c r="Y86" s="2048"/>
      <c r="Z86" s="2048"/>
      <c r="AA86" s="2048"/>
      <c r="AB86" s="412"/>
      <c r="AC86" s="655" t="s">
        <v>121</v>
      </c>
      <c r="AD86" s="641" t="s">
        <v>440</v>
      </c>
      <c r="AE86" s="656" t="s">
        <v>121</v>
      </c>
      <c r="AF86" s="402"/>
    </row>
    <row r="87" spans="2:32" s="1" customFormat="1" ht="27" customHeight="1">
      <c r="B87" s="408"/>
      <c r="C87" s="600"/>
      <c r="D87" s="21"/>
      <c r="E87" s="21"/>
      <c r="F87" s="601"/>
      <c r="G87" s="406"/>
      <c r="H87" s="406"/>
      <c r="J87" s="605" t="s">
        <v>207</v>
      </c>
      <c r="K87" s="2048" t="s">
        <v>789</v>
      </c>
      <c r="L87" s="2048"/>
      <c r="M87" s="2048"/>
      <c r="N87" s="2048"/>
      <c r="O87" s="2048"/>
      <c r="P87" s="2048"/>
      <c r="Q87" s="2048"/>
      <c r="R87" s="2048"/>
      <c r="S87" s="2048"/>
      <c r="T87" s="2048"/>
      <c r="U87" s="2048"/>
      <c r="V87" s="2048"/>
      <c r="W87" s="2048"/>
      <c r="X87" s="2048"/>
      <c r="Y87" s="2048"/>
      <c r="Z87" s="2048"/>
      <c r="AA87" s="2048"/>
      <c r="AB87" s="412"/>
      <c r="AC87" s="655" t="s">
        <v>121</v>
      </c>
      <c r="AD87" s="641" t="s">
        <v>440</v>
      </c>
      <c r="AE87" s="656" t="s">
        <v>121</v>
      </c>
      <c r="AF87" s="617"/>
    </row>
    <row r="88" spans="2:32" s="1" customFormat="1" ht="24.75" customHeight="1">
      <c r="B88" s="408"/>
      <c r="C88" s="405"/>
      <c r="D88" s="406"/>
      <c r="E88" s="406"/>
      <c r="F88" s="407"/>
      <c r="G88" s="406"/>
      <c r="H88" s="406"/>
      <c r="J88" s="605" t="s">
        <v>236</v>
      </c>
      <c r="K88" s="2048" t="s">
        <v>775</v>
      </c>
      <c r="L88" s="2048"/>
      <c r="M88" s="2048"/>
      <c r="N88" s="2048"/>
      <c r="O88" s="2048"/>
      <c r="P88" s="2048"/>
      <c r="Q88" s="2048"/>
      <c r="R88" s="2048"/>
      <c r="S88" s="2048"/>
      <c r="T88" s="2048"/>
      <c r="U88" s="2048"/>
      <c r="V88" s="2048"/>
      <c r="W88" s="2048"/>
      <c r="X88" s="2048"/>
      <c r="Y88" s="2048"/>
      <c r="Z88" s="2048"/>
      <c r="AA88" s="2048"/>
      <c r="AB88" s="412"/>
      <c r="AC88" s="655" t="s">
        <v>121</v>
      </c>
      <c r="AD88" s="641" t="s">
        <v>440</v>
      </c>
      <c r="AE88" s="656" t="s">
        <v>121</v>
      </c>
      <c r="AF88" s="402"/>
    </row>
    <row r="89" spans="2:32" s="1" customFormat="1" ht="24.75" customHeight="1">
      <c r="B89" s="408"/>
      <c r="C89" s="405"/>
      <c r="D89" s="406"/>
      <c r="E89" s="406"/>
      <c r="F89" s="407"/>
      <c r="G89" s="406"/>
      <c r="H89" s="406"/>
      <c r="J89" s="605" t="s">
        <v>325</v>
      </c>
      <c r="K89" s="2048" t="s">
        <v>790</v>
      </c>
      <c r="L89" s="2048"/>
      <c r="M89" s="2048"/>
      <c r="N89" s="2048"/>
      <c r="O89" s="2048"/>
      <c r="P89" s="2048"/>
      <c r="Q89" s="2048"/>
      <c r="R89" s="2048"/>
      <c r="S89" s="2048"/>
      <c r="T89" s="2048"/>
      <c r="U89" s="2048"/>
      <c r="V89" s="2048"/>
      <c r="W89" s="2048"/>
      <c r="X89" s="2048"/>
      <c r="Y89" s="2048"/>
      <c r="Z89" s="2048"/>
      <c r="AA89" s="2048"/>
      <c r="AB89" s="412"/>
      <c r="AC89" s="655" t="s">
        <v>121</v>
      </c>
      <c r="AD89" s="641" t="s">
        <v>440</v>
      </c>
      <c r="AE89" s="656" t="s">
        <v>121</v>
      </c>
      <c r="AF89" s="402"/>
    </row>
    <row r="90" spans="2:32" s="1" customFormat="1" ht="7.5" customHeight="1">
      <c r="B90" s="408"/>
      <c r="C90" s="409"/>
      <c r="D90" s="8"/>
      <c r="E90" s="8"/>
      <c r="F90" s="424"/>
      <c r="G90" s="8"/>
      <c r="H90" s="8"/>
      <c r="I90" s="8"/>
      <c r="J90" s="8"/>
      <c r="K90" s="8"/>
      <c r="L90" s="8"/>
      <c r="M90" s="8"/>
      <c r="N90" s="8"/>
      <c r="O90" s="8"/>
      <c r="P90" s="8"/>
      <c r="Q90" s="8"/>
      <c r="R90" s="8"/>
      <c r="S90" s="8"/>
      <c r="T90" s="8"/>
      <c r="U90" s="8"/>
      <c r="V90" s="8"/>
      <c r="W90" s="8"/>
      <c r="X90" s="8"/>
      <c r="Y90" s="8"/>
      <c r="Z90" s="8"/>
      <c r="AA90" s="8"/>
      <c r="AB90" s="8"/>
      <c r="AC90" s="409"/>
      <c r="AD90" s="8"/>
      <c r="AE90" s="424"/>
      <c r="AF90" s="402"/>
    </row>
    <row r="91" spans="2:32" s="1" customFormat="1" ht="15" customHeight="1">
      <c r="B91" s="408"/>
      <c r="H91" s="614"/>
      <c r="I91" s="614"/>
      <c r="J91" s="614"/>
      <c r="L91" s="604"/>
      <c r="M91" s="604"/>
      <c r="N91" s="12"/>
      <c r="O91" s="12"/>
      <c r="P91" s="12"/>
      <c r="Q91" s="12"/>
      <c r="R91" s="12"/>
      <c r="S91" s="12"/>
      <c r="T91" s="12"/>
      <c r="U91" s="12"/>
      <c r="V91" s="12"/>
      <c r="W91" s="12"/>
      <c r="X91" s="12"/>
      <c r="Y91" s="12"/>
      <c r="Z91" s="12"/>
      <c r="AA91" s="12"/>
      <c r="AB91" s="12"/>
      <c r="AC91" s="12"/>
      <c r="AD91" s="418"/>
      <c r="AE91" s="12"/>
      <c r="AF91" s="402"/>
    </row>
    <row r="92" spans="2:32" s="1" customFormat="1" ht="22.5" customHeight="1">
      <c r="B92" s="408" t="s">
        <v>263</v>
      </c>
      <c r="AF92" s="402"/>
    </row>
    <row r="93" spans="2:32" s="1" customFormat="1" ht="7.5" customHeight="1">
      <c r="B93" s="408"/>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402"/>
    </row>
    <row r="94" spans="2:32" s="1" customFormat="1">
      <c r="B94" s="408"/>
      <c r="C94" s="408"/>
      <c r="F94" s="402"/>
      <c r="J94" s="8"/>
      <c r="K94" s="8"/>
      <c r="L94" s="8"/>
      <c r="M94" s="8"/>
      <c r="N94" s="8"/>
      <c r="O94" s="8"/>
      <c r="P94" s="8"/>
      <c r="Q94" s="8"/>
      <c r="R94" s="8"/>
      <c r="S94" s="8"/>
      <c r="T94" s="8"/>
      <c r="U94" s="8"/>
      <c r="V94" s="8"/>
      <c r="W94" s="8"/>
      <c r="X94" s="8"/>
      <c r="Y94" s="8"/>
      <c r="Z94" s="8"/>
      <c r="AA94" s="8"/>
      <c r="AC94" s="652" t="s">
        <v>1118</v>
      </c>
      <c r="AD94" s="653" t="s">
        <v>440</v>
      </c>
      <c r="AE94" s="654" t="s">
        <v>674</v>
      </c>
      <c r="AF94" s="402"/>
    </row>
    <row r="95" spans="2:32" s="1" customFormat="1" ht="27" customHeight="1">
      <c r="B95" s="408"/>
      <c r="C95" s="1596" t="s">
        <v>264</v>
      </c>
      <c r="D95" s="1597"/>
      <c r="E95" s="1597"/>
      <c r="F95" s="1602"/>
      <c r="J95" s="605" t="s">
        <v>107</v>
      </c>
      <c r="K95" s="2048" t="s">
        <v>265</v>
      </c>
      <c r="L95" s="2048"/>
      <c r="M95" s="2048"/>
      <c r="N95" s="2048"/>
      <c r="O95" s="2048"/>
      <c r="P95" s="2048"/>
      <c r="Q95" s="2048"/>
      <c r="R95" s="2048"/>
      <c r="S95" s="2048"/>
      <c r="T95" s="2048"/>
      <c r="U95" s="2048"/>
      <c r="V95" s="2048"/>
      <c r="W95" s="2048"/>
      <c r="X95" s="2048"/>
      <c r="Y95" s="2048"/>
      <c r="Z95" s="2048"/>
      <c r="AA95" s="2048"/>
      <c r="AC95" s="655" t="s">
        <v>121</v>
      </c>
      <c r="AD95" s="641" t="s">
        <v>440</v>
      </c>
      <c r="AE95" s="656" t="s">
        <v>121</v>
      </c>
      <c r="AF95" s="402"/>
    </row>
    <row r="96" spans="2:32" s="1" customFormat="1" ht="27" customHeight="1">
      <c r="B96" s="408"/>
      <c r="C96" s="1596"/>
      <c r="D96" s="1597"/>
      <c r="E96" s="1597"/>
      <c r="F96" s="1602"/>
      <c r="G96" s="406"/>
      <c r="H96" s="406"/>
      <c r="J96" s="605" t="s">
        <v>104</v>
      </c>
      <c r="K96" s="2048" t="s">
        <v>266</v>
      </c>
      <c r="L96" s="2048"/>
      <c r="M96" s="2048"/>
      <c r="N96" s="2048"/>
      <c r="O96" s="2048"/>
      <c r="P96" s="2048"/>
      <c r="Q96" s="2048"/>
      <c r="R96" s="2048"/>
      <c r="S96" s="2048"/>
      <c r="T96" s="2048"/>
      <c r="U96" s="2048"/>
      <c r="V96" s="2048"/>
      <c r="W96" s="2048"/>
      <c r="X96" s="2048"/>
      <c r="Y96" s="2048"/>
      <c r="Z96" s="2048"/>
      <c r="AA96" s="2048"/>
      <c r="AB96" s="426"/>
      <c r="AC96" s="655" t="s">
        <v>121</v>
      </c>
      <c r="AD96" s="641" t="s">
        <v>440</v>
      </c>
      <c r="AE96" s="656" t="s">
        <v>121</v>
      </c>
      <c r="AF96" s="402"/>
    </row>
    <row r="97" spans="2:32" s="1" customFormat="1" ht="27" customHeight="1">
      <c r="B97" s="408"/>
      <c r="C97" s="600"/>
      <c r="D97" s="21"/>
      <c r="E97" s="21"/>
      <c r="F97" s="601"/>
      <c r="G97" s="406"/>
      <c r="H97" s="406"/>
      <c r="J97" s="605" t="s">
        <v>211</v>
      </c>
      <c r="K97" s="2048" t="s">
        <v>775</v>
      </c>
      <c r="L97" s="2048"/>
      <c r="M97" s="2048"/>
      <c r="N97" s="2048"/>
      <c r="O97" s="2048"/>
      <c r="P97" s="2048"/>
      <c r="Q97" s="2048"/>
      <c r="R97" s="2048"/>
      <c r="S97" s="2048"/>
      <c r="T97" s="2048"/>
      <c r="U97" s="2048"/>
      <c r="V97" s="2048"/>
      <c r="W97" s="2048"/>
      <c r="X97" s="2048"/>
      <c r="Y97" s="2048"/>
      <c r="Z97" s="2048"/>
      <c r="AA97" s="2048"/>
      <c r="AB97" s="412"/>
      <c r="AC97" s="655" t="s">
        <v>121</v>
      </c>
      <c r="AD97" s="641" t="s">
        <v>440</v>
      </c>
      <c r="AE97" s="656" t="s">
        <v>121</v>
      </c>
      <c r="AF97" s="617"/>
    </row>
    <row r="98" spans="2:32" s="1" customFormat="1" ht="11.25" customHeight="1">
      <c r="B98" s="408"/>
      <c r="C98" s="409"/>
      <c r="D98" s="8"/>
      <c r="E98" s="8"/>
      <c r="F98" s="424"/>
      <c r="G98" s="8"/>
      <c r="H98" s="8"/>
      <c r="I98" s="8"/>
      <c r="J98" s="8"/>
      <c r="K98" s="8"/>
      <c r="L98" s="8"/>
      <c r="M98" s="8"/>
      <c r="N98" s="8"/>
      <c r="O98" s="8"/>
      <c r="P98" s="8"/>
      <c r="Q98" s="8"/>
      <c r="R98" s="8"/>
      <c r="S98" s="8"/>
      <c r="T98" s="8"/>
      <c r="U98" s="8"/>
      <c r="V98" s="8"/>
      <c r="W98" s="8"/>
      <c r="X98" s="8"/>
      <c r="Y98" s="8"/>
      <c r="Z98" s="8"/>
      <c r="AA98" s="8"/>
      <c r="AB98" s="8"/>
      <c r="AC98" s="409"/>
      <c r="AD98" s="8"/>
      <c r="AE98" s="424"/>
      <c r="AF98" s="402"/>
    </row>
    <row r="99" spans="2:32" s="1" customFormat="1" ht="7.5" customHeight="1">
      <c r="B99" s="408"/>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402"/>
    </row>
    <row r="100" spans="2:32" s="1" customFormat="1">
      <c r="B100" s="408"/>
      <c r="C100" s="408"/>
      <c r="F100" s="402"/>
      <c r="J100" s="8"/>
      <c r="K100" s="8"/>
      <c r="L100" s="8"/>
      <c r="M100" s="8"/>
      <c r="N100" s="8"/>
      <c r="O100" s="8"/>
      <c r="P100" s="8"/>
      <c r="Q100" s="8"/>
      <c r="R100" s="8"/>
      <c r="S100" s="8"/>
      <c r="T100" s="8"/>
      <c r="U100" s="8"/>
      <c r="V100" s="8"/>
      <c r="W100" s="8"/>
      <c r="X100" s="8"/>
      <c r="Y100" s="8"/>
      <c r="Z100" s="8"/>
      <c r="AA100" s="8"/>
      <c r="AC100" s="652" t="s">
        <v>1118</v>
      </c>
      <c r="AD100" s="653" t="s">
        <v>440</v>
      </c>
      <c r="AE100" s="654" t="s">
        <v>674</v>
      </c>
      <c r="AF100" s="402"/>
    </row>
    <row r="101" spans="2:32" s="1" customFormat="1" ht="27" customHeight="1">
      <c r="B101" s="408"/>
      <c r="C101" s="1596" t="s">
        <v>267</v>
      </c>
      <c r="D101" s="1597"/>
      <c r="E101" s="1597"/>
      <c r="F101" s="1602"/>
      <c r="J101" s="605" t="s">
        <v>107</v>
      </c>
      <c r="K101" s="2048" t="s">
        <v>268</v>
      </c>
      <c r="L101" s="2048"/>
      <c r="M101" s="2048"/>
      <c r="N101" s="2048"/>
      <c r="O101" s="2048"/>
      <c r="P101" s="2048"/>
      <c r="Q101" s="2048"/>
      <c r="R101" s="2048"/>
      <c r="S101" s="2048"/>
      <c r="T101" s="2048"/>
      <c r="U101" s="2048"/>
      <c r="V101" s="2048"/>
      <c r="W101" s="2048"/>
      <c r="X101" s="2048"/>
      <c r="Y101" s="2048"/>
      <c r="Z101" s="2048"/>
      <c r="AA101" s="2048"/>
      <c r="AC101" s="655" t="s">
        <v>121</v>
      </c>
      <c r="AD101" s="641" t="s">
        <v>440</v>
      </c>
      <c r="AE101" s="656" t="s">
        <v>121</v>
      </c>
      <c r="AF101" s="402"/>
    </row>
    <row r="102" spans="2:32" s="1" customFormat="1" ht="24.75" customHeight="1">
      <c r="B102" s="408"/>
      <c r="C102" s="1596"/>
      <c r="D102" s="1597"/>
      <c r="E102" s="1597"/>
      <c r="F102" s="1602"/>
      <c r="G102" s="406"/>
      <c r="H102" s="406"/>
      <c r="J102" s="605" t="s">
        <v>104</v>
      </c>
      <c r="K102" s="2048" t="s">
        <v>269</v>
      </c>
      <c r="L102" s="2048"/>
      <c r="M102" s="2048"/>
      <c r="N102" s="2048"/>
      <c r="O102" s="2048"/>
      <c r="P102" s="2048"/>
      <c r="Q102" s="2048"/>
      <c r="R102" s="2048"/>
      <c r="S102" s="2048"/>
      <c r="T102" s="2048"/>
      <c r="U102" s="2048"/>
      <c r="V102" s="2048"/>
      <c r="W102" s="2048"/>
      <c r="X102" s="2048"/>
      <c r="Y102" s="2048"/>
      <c r="Z102" s="2048"/>
      <c r="AA102" s="2048"/>
      <c r="AB102" s="426"/>
      <c r="AC102" s="655" t="s">
        <v>121</v>
      </c>
      <c r="AD102" s="641" t="s">
        <v>440</v>
      </c>
      <c r="AE102" s="656" t="s">
        <v>121</v>
      </c>
      <c r="AF102" s="402"/>
    </row>
    <row r="103" spans="2:32" s="1" customFormat="1" ht="7.5" customHeight="1">
      <c r="B103" s="408"/>
      <c r="C103" s="409"/>
      <c r="D103" s="8"/>
      <c r="E103" s="8"/>
      <c r="F103" s="424"/>
      <c r="G103" s="8"/>
      <c r="H103" s="8"/>
      <c r="I103" s="8"/>
      <c r="J103" s="8"/>
      <c r="K103" s="8"/>
      <c r="L103" s="8"/>
      <c r="M103" s="8"/>
      <c r="N103" s="8"/>
      <c r="O103" s="8"/>
      <c r="P103" s="8"/>
      <c r="Q103" s="8"/>
      <c r="R103" s="8"/>
      <c r="S103" s="8"/>
      <c r="T103" s="8"/>
      <c r="U103" s="8"/>
      <c r="V103" s="8"/>
      <c r="W103" s="8"/>
      <c r="X103" s="8"/>
      <c r="Y103" s="8"/>
      <c r="Z103" s="8"/>
      <c r="AA103" s="8"/>
      <c r="AB103" s="8"/>
      <c r="AC103" s="409"/>
      <c r="AD103" s="8"/>
      <c r="AE103" s="424"/>
      <c r="AF103" s="402"/>
    </row>
    <row r="104" spans="2:32" s="1" customFormat="1" ht="7.5" customHeight="1">
      <c r="B104" s="40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424"/>
    </row>
    <row r="105" spans="2:32" s="1" customFormat="1" ht="7.5" customHeight="1"/>
    <row r="106" spans="2:32" s="427" customFormat="1" ht="398.25" customHeight="1">
      <c r="B106" s="1853" t="s">
        <v>791</v>
      </c>
      <c r="C106" s="1853"/>
      <c r="D106" s="1853"/>
      <c r="E106" s="1853"/>
      <c r="F106" s="1853"/>
      <c r="G106" s="1853"/>
      <c r="H106" s="1853"/>
      <c r="I106" s="1853"/>
      <c r="J106" s="1853"/>
      <c r="K106" s="1853"/>
      <c r="L106" s="1853"/>
      <c r="M106" s="1853"/>
      <c r="N106" s="1853"/>
      <c r="O106" s="1853"/>
      <c r="P106" s="1853"/>
      <c r="Q106" s="1853"/>
      <c r="R106" s="1853"/>
      <c r="S106" s="1853"/>
      <c r="T106" s="1853"/>
      <c r="U106" s="1853"/>
      <c r="V106" s="1853"/>
      <c r="W106" s="1853"/>
      <c r="X106" s="1853"/>
      <c r="Y106" s="1853"/>
      <c r="Z106" s="1853"/>
      <c r="AA106" s="1853"/>
      <c r="AB106" s="1853"/>
      <c r="AC106" s="1853"/>
      <c r="AD106" s="1853"/>
      <c r="AE106" s="1853"/>
    </row>
    <row r="107" spans="2:32" s="427" customFormat="1" ht="187.5" customHeight="1">
      <c r="B107" s="1853" t="s">
        <v>1363</v>
      </c>
      <c r="C107" s="1853"/>
      <c r="D107" s="1853"/>
      <c r="E107" s="1853"/>
      <c r="F107" s="1853"/>
      <c r="G107" s="1853"/>
      <c r="H107" s="1853"/>
      <c r="I107" s="1853"/>
      <c r="J107" s="1853"/>
      <c r="K107" s="1853"/>
      <c r="L107" s="1853"/>
      <c r="M107" s="1853"/>
      <c r="N107" s="1853"/>
      <c r="O107" s="1853"/>
      <c r="P107" s="1853"/>
      <c r="Q107" s="1853"/>
      <c r="R107" s="1853"/>
      <c r="S107" s="1853"/>
      <c r="T107" s="1853"/>
      <c r="U107" s="1853"/>
      <c r="V107" s="1853"/>
      <c r="W107" s="1853"/>
      <c r="X107" s="1853"/>
      <c r="Y107" s="1853"/>
      <c r="Z107" s="1853"/>
      <c r="AA107" s="1853"/>
      <c r="AB107" s="1853"/>
      <c r="AC107" s="1853"/>
      <c r="AD107" s="1853"/>
      <c r="AE107" s="1853"/>
    </row>
    <row r="108" spans="2:32" s="428" customFormat="1" ht="21.75" customHeight="1">
      <c r="B108" s="1597" t="s">
        <v>270</v>
      </c>
      <c r="C108" s="1597"/>
      <c r="D108" s="1597"/>
      <c r="E108" s="1597"/>
      <c r="F108" s="1597"/>
      <c r="G108" s="1597"/>
      <c r="H108" s="1597"/>
      <c r="I108" s="1597"/>
      <c r="J108" s="1597"/>
      <c r="K108" s="1597"/>
      <c r="L108" s="1597"/>
      <c r="M108" s="1597"/>
      <c r="N108" s="1597"/>
      <c r="O108" s="1597"/>
      <c r="P108" s="1597"/>
      <c r="Q108" s="1597"/>
      <c r="R108" s="1597"/>
      <c r="S108" s="1597"/>
      <c r="T108" s="1597"/>
      <c r="U108" s="1597"/>
      <c r="V108" s="1597"/>
      <c r="W108" s="1597"/>
      <c r="X108" s="1597"/>
      <c r="Y108" s="1597"/>
      <c r="Z108" s="1597"/>
      <c r="AA108" s="1597"/>
      <c r="AB108" s="1597"/>
      <c r="AC108" s="1597"/>
      <c r="AD108" s="1597"/>
      <c r="AE108" s="1597"/>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3"/>
  <printOptions horizontalCentered="1"/>
  <pageMargins left="0.70866141732283472" right="0.39370078740157483" top="0.51181102362204722" bottom="0.35433070866141736" header="0.31496062992125984" footer="0.31496062992125984"/>
  <pageSetup paperSize="9" scale="51" orientation="portrait" r:id="rId1"/>
  <rowBreaks count="1" manualBreakCount="1">
    <brk id="73"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8FDA585-1865-4E1A-9951-B4C19C78E577}">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AD49:AD52 JZ49:JZ52 TV49:TV52 ADR49:ADR52 ANN49:ANN52 AXJ49:AXJ52 BHF49:BHF52 BRB49:BRB52 CAX49:CAX52 CKT49:CKT52 CUP49:CUP52 DEL49:DEL52 DOH49:DOH52 DYD49:DYD52 EHZ49:EHZ52 ERV49:ERV52 FBR49:FBR52 FLN49:FLN52 FVJ49:FVJ52 GFF49:GFF52 GPB49:GPB52 GYX49:GYX52 HIT49:HIT52 HSP49:HSP52 ICL49:ICL52 IMH49:IMH52 IWD49:IWD52 JFZ49:JFZ52 JPV49:JPV52 JZR49:JZR52 KJN49:KJN52 KTJ49:KTJ52 LDF49:LDF52 LNB49:LNB52 LWX49:LWX52 MGT49:MGT52 MQP49:MQP52 NAL49:NAL52 NKH49:NKH52 NUD49:NUD52 ODZ49:ODZ52 ONV49:ONV52 OXR49:OXR52 PHN49:PHN52 PRJ49:PRJ52 QBF49:QBF52 QLB49:QLB52 QUX49:QUX52 RET49:RET52 ROP49:ROP52 RYL49:RYL52 SIH49:SIH52 SSD49:SSD52 TBZ49:TBZ52 TLV49:TLV52 TVR49:TVR52 UFN49:UFN52 UPJ49:UPJ52 UZF49:UZF52 VJB49:VJB52 VSX49:VSX52 WCT49:WCT52 WMP49:WMP52 WWL49:WWL52 AD65585:AD65588 JZ65585:JZ65588 TV65585:TV65588 ADR65585:ADR65588 ANN65585:ANN65588 AXJ65585:AXJ65588 BHF65585:BHF65588 BRB65585:BRB65588 CAX65585:CAX65588 CKT65585:CKT65588 CUP65585:CUP65588 DEL65585:DEL65588 DOH65585:DOH65588 DYD65585:DYD65588 EHZ65585:EHZ65588 ERV65585:ERV65588 FBR65585:FBR65588 FLN65585:FLN65588 FVJ65585:FVJ65588 GFF65585:GFF65588 GPB65585:GPB65588 GYX65585:GYX65588 HIT65585:HIT65588 HSP65585:HSP65588 ICL65585:ICL65588 IMH65585:IMH65588 IWD65585:IWD65588 JFZ65585:JFZ65588 JPV65585:JPV65588 JZR65585:JZR65588 KJN65585:KJN65588 KTJ65585:KTJ65588 LDF65585:LDF65588 LNB65585:LNB65588 LWX65585:LWX65588 MGT65585:MGT65588 MQP65585:MQP65588 NAL65585:NAL65588 NKH65585:NKH65588 NUD65585:NUD65588 ODZ65585:ODZ65588 ONV65585:ONV65588 OXR65585:OXR65588 PHN65585:PHN65588 PRJ65585:PRJ65588 QBF65585:QBF65588 QLB65585:QLB65588 QUX65585:QUX65588 RET65585:RET65588 ROP65585:ROP65588 RYL65585:RYL65588 SIH65585:SIH65588 SSD65585:SSD65588 TBZ65585:TBZ65588 TLV65585:TLV65588 TVR65585:TVR65588 UFN65585:UFN65588 UPJ65585:UPJ65588 UZF65585:UZF65588 VJB65585:VJB65588 VSX65585:VSX65588 WCT65585:WCT65588 WMP65585:WMP65588 WWL65585:WWL65588 AD131121:AD131124 JZ131121:JZ131124 TV131121:TV131124 ADR131121:ADR131124 ANN131121:ANN131124 AXJ131121:AXJ131124 BHF131121:BHF131124 BRB131121:BRB131124 CAX131121:CAX131124 CKT131121:CKT131124 CUP131121:CUP131124 DEL131121:DEL131124 DOH131121:DOH131124 DYD131121:DYD131124 EHZ131121:EHZ131124 ERV131121:ERV131124 FBR131121:FBR131124 FLN131121:FLN131124 FVJ131121:FVJ131124 GFF131121:GFF131124 GPB131121:GPB131124 GYX131121:GYX131124 HIT131121:HIT131124 HSP131121:HSP131124 ICL131121:ICL131124 IMH131121:IMH131124 IWD131121:IWD131124 JFZ131121:JFZ131124 JPV131121:JPV131124 JZR131121:JZR131124 KJN131121:KJN131124 KTJ131121:KTJ131124 LDF131121:LDF131124 LNB131121:LNB131124 LWX131121:LWX131124 MGT131121:MGT131124 MQP131121:MQP131124 NAL131121:NAL131124 NKH131121:NKH131124 NUD131121:NUD131124 ODZ131121:ODZ131124 ONV131121:ONV131124 OXR131121:OXR131124 PHN131121:PHN131124 PRJ131121:PRJ131124 QBF131121:QBF131124 QLB131121:QLB131124 QUX131121:QUX131124 RET131121:RET131124 ROP131121:ROP131124 RYL131121:RYL131124 SIH131121:SIH131124 SSD131121:SSD131124 TBZ131121:TBZ131124 TLV131121:TLV131124 TVR131121:TVR131124 UFN131121:UFN131124 UPJ131121:UPJ131124 UZF131121:UZF131124 VJB131121:VJB131124 VSX131121:VSX131124 WCT131121:WCT131124 WMP131121:WMP131124 WWL131121:WWL131124 AD196657:AD196660 JZ196657:JZ196660 TV196657:TV196660 ADR196657:ADR196660 ANN196657:ANN196660 AXJ196657:AXJ196660 BHF196657:BHF196660 BRB196657:BRB196660 CAX196657:CAX196660 CKT196657:CKT196660 CUP196657:CUP196660 DEL196657:DEL196660 DOH196657:DOH196660 DYD196657:DYD196660 EHZ196657:EHZ196660 ERV196657:ERV196660 FBR196657:FBR196660 FLN196657:FLN196660 FVJ196657:FVJ196660 GFF196657:GFF196660 GPB196657:GPB196660 GYX196657:GYX196660 HIT196657:HIT196660 HSP196657:HSP196660 ICL196657:ICL196660 IMH196657:IMH196660 IWD196657:IWD196660 JFZ196657:JFZ196660 JPV196657:JPV196660 JZR196657:JZR196660 KJN196657:KJN196660 KTJ196657:KTJ196660 LDF196657:LDF196660 LNB196657:LNB196660 LWX196657:LWX196660 MGT196657:MGT196660 MQP196657:MQP196660 NAL196657:NAL196660 NKH196657:NKH196660 NUD196657:NUD196660 ODZ196657:ODZ196660 ONV196657:ONV196660 OXR196657:OXR196660 PHN196657:PHN196660 PRJ196657:PRJ196660 QBF196657:QBF196660 QLB196657:QLB196660 QUX196657:QUX196660 RET196657:RET196660 ROP196657:ROP196660 RYL196657:RYL196660 SIH196657:SIH196660 SSD196657:SSD196660 TBZ196657:TBZ196660 TLV196657:TLV196660 TVR196657:TVR196660 UFN196657:UFN196660 UPJ196657:UPJ196660 UZF196657:UZF196660 VJB196657:VJB196660 VSX196657:VSX196660 WCT196657:WCT196660 WMP196657:WMP196660 WWL196657:WWL196660 AD262193:AD262196 JZ262193:JZ262196 TV262193:TV262196 ADR262193:ADR262196 ANN262193:ANN262196 AXJ262193:AXJ262196 BHF262193:BHF262196 BRB262193:BRB262196 CAX262193:CAX262196 CKT262193:CKT262196 CUP262193:CUP262196 DEL262193:DEL262196 DOH262193:DOH262196 DYD262193:DYD262196 EHZ262193:EHZ262196 ERV262193:ERV262196 FBR262193:FBR262196 FLN262193:FLN262196 FVJ262193:FVJ262196 GFF262193:GFF262196 GPB262193:GPB262196 GYX262193:GYX262196 HIT262193:HIT262196 HSP262193:HSP262196 ICL262193:ICL262196 IMH262193:IMH262196 IWD262193:IWD262196 JFZ262193:JFZ262196 JPV262193:JPV262196 JZR262193:JZR262196 KJN262193:KJN262196 KTJ262193:KTJ262196 LDF262193:LDF262196 LNB262193:LNB262196 LWX262193:LWX262196 MGT262193:MGT262196 MQP262193:MQP262196 NAL262193:NAL262196 NKH262193:NKH262196 NUD262193:NUD262196 ODZ262193:ODZ262196 ONV262193:ONV262196 OXR262193:OXR262196 PHN262193:PHN262196 PRJ262193:PRJ262196 QBF262193:QBF262196 QLB262193:QLB262196 QUX262193:QUX262196 RET262193:RET262196 ROP262193:ROP262196 RYL262193:RYL262196 SIH262193:SIH262196 SSD262193:SSD262196 TBZ262193:TBZ262196 TLV262193:TLV262196 TVR262193:TVR262196 UFN262193:UFN262196 UPJ262193:UPJ262196 UZF262193:UZF262196 VJB262193:VJB262196 VSX262193:VSX262196 WCT262193:WCT262196 WMP262193:WMP262196 WWL262193:WWL262196 AD327729:AD327732 JZ327729:JZ327732 TV327729:TV327732 ADR327729:ADR327732 ANN327729:ANN327732 AXJ327729:AXJ327732 BHF327729:BHF327732 BRB327729:BRB327732 CAX327729:CAX327732 CKT327729:CKT327732 CUP327729:CUP327732 DEL327729:DEL327732 DOH327729:DOH327732 DYD327729:DYD327732 EHZ327729:EHZ327732 ERV327729:ERV327732 FBR327729:FBR327732 FLN327729:FLN327732 FVJ327729:FVJ327732 GFF327729:GFF327732 GPB327729:GPB327732 GYX327729:GYX327732 HIT327729:HIT327732 HSP327729:HSP327732 ICL327729:ICL327732 IMH327729:IMH327732 IWD327729:IWD327732 JFZ327729:JFZ327732 JPV327729:JPV327732 JZR327729:JZR327732 KJN327729:KJN327732 KTJ327729:KTJ327732 LDF327729:LDF327732 LNB327729:LNB327732 LWX327729:LWX327732 MGT327729:MGT327732 MQP327729:MQP327732 NAL327729:NAL327732 NKH327729:NKH327732 NUD327729:NUD327732 ODZ327729:ODZ327732 ONV327729:ONV327732 OXR327729:OXR327732 PHN327729:PHN327732 PRJ327729:PRJ327732 QBF327729:QBF327732 QLB327729:QLB327732 QUX327729:QUX327732 RET327729:RET327732 ROP327729:ROP327732 RYL327729:RYL327732 SIH327729:SIH327732 SSD327729:SSD327732 TBZ327729:TBZ327732 TLV327729:TLV327732 TVR327729:TVR327732 UFN327729:UFN327732 UPJ327729:UPJ327732 UZF327729:UZF327732 VJB327729:VJB327732 VSX327729:VSX327732 WCT327729:WCT327732 WMP327729:WMP327732 WWL327729:WWL327732 AD393265:AD393268 JZ393265:JZ393268 TV393265:TV393268 ADR393265:ADR393268 ANN393265:ANN393268 AXJ393265:AXJ393268 BHF393265:BHF393268 BRB393265:BRB393268 CAX393265:CAX393268 CKT393265:CKT393268 CUP393265:CUP393268 DEL393265:DEL393268 DOH393265:DOH393268 DYD393265:DYD393268 EHZ393265:EHZ393268 ERV393265:ERV393268 FBR393265:FBR393268 FLN393265:FLN393268 FVJ393265:FVJ393268 GFF393265:GFF393268 GPB393265:GPB393268 GYX393265:GYX393268 HIT393265:HIT393268 HSP393265:HSP393268 ICL393265:ICL393268 IMH393265:IMH393268 IWD393265:IWD393268 JFZ393265:JFZ393268 JPV393265:JPV393268 JZR393265:JZR393268 KJN393265:KJN393268 KTJ393265:KTJ393268 LDF393265:LDF393268 LNB393265:LNB393268 LWX393265:LWX393268 MGT393265:MGT393268 MQP393265:MQP393268 NAL393265:NAL393268 NKH393265:NKH393268 NUD393265:NUD393268 ODZ393265:ODZ393268 ONV393265:ONV393268 OXR393265:OXR393268 PHN393265:PHN393268 PRJ393265:PRJ393268 QBF393265:QBF393268 QLB393265:QLB393268 QUX393265:QUX393268 RET393265:RET393268 ROP393265:ROP393268 RYL393265:RYL393268 SIH393265:SIH393268 SSD393265:SSD393268 TBZ393265:TBZ393268 TLV393265:TLV393268 TVR393265:TVR393268 UFN393265:UFN393268 UPJ393265:UPJ393268 UZF393265:UZF393268 VJB393265:VJB393268 VSX393265:VSX393268 WCT393265:WCT393268 WMP393265:WMP393268 WWL393265:WWL393268 AD458801:AD458804 JZ458801:JZ458804 TV458801:TV458804 ADR458801:ADR458804 ANN458801:ANN458804 AXJ458801:AXJ458804 BHF458801:BHF458804 BRB458801:BRB458804 CAX458801:CAX458804 CKT458801:CKT458804 CUP458801:CUP458804 DEL458801:DEL458804 DOH458801:DOH458804 DYD458801:DYD458804 EHZ458801:EHZ458804 ERV458801:ERV458804 FBR458801:FBR458804 FLN458801:FLN458804 FVJ458801:FVJ458804 GFF458801:GFF458804 GPB458801:GPB458804 GYX458801:GYX458804 HIT458801:HIT458804 HSP458801:HSP458804 ICL458801:ICL458804 IMH458801:IMH458804 IWD458801:IWD458804 JFZ458801:JFZ458804 JPV458801:JPV458804 JZR458801:JZR458804 KJN458801:KJN458804 KTJ458801:KTJ458804 LDF458801:LDF458804 LNB458801:LNB458804 LWX458801:LWX458804 MGT458801:MGT458804 MQP458801:MQP458804 NAL458801:NAL458804 NKH458801:NKH458804 NUD458801:NUD458804 ODZ458801:ODZ458804 ONV458801:ONV458804 OXR458801:OXR458804 PHN458801:PHN458804 PRJ458801:PRJ458804 QBF458801:QBF458804 QLB458801:QLB458804 QUX458801:QUX458804 RET458801:RET458804 ROP458801:ROP458804 RYL458801:RYL458804 SIH458801:SIH458804 SSD458801:SSD458804 TBZ458801:TBZ458804 TLV458801:TLV458804 TVR458801:TVR458804 UFN458801:UFN458804 UPJ458801:UPJ458804 UZF458801:UZF458804 VJB458801:VJB458804 VSX458801:VSX458804 WCT458801:WCT458804 WMP458801:WMP458804 WWL458801:WWL458804 AD524337:AD524340 JZ524337:JZ524340 TV524337:TV524340 ADR524337:ADR524340 ANN524337:ANN524340 AXJ524337:AXJ524340 BHF524337:BHF524340 BRB524337:BRB524340 CAX524337:CAX524340 CKT524337:CKT524340 CUP524337:CUP524340 DEL524337:DEL524340 DOH524337:DOH524340 DYD524337:DYD524340 EHZ524337:EHZ524340 ERV524337:ERV524340 FBR524337:FBR524340 FLN524337:FLN524340 FVJ524337:FVJ524340 GFF524337:GFF524340 GPB524337:GPB524340 GYX524337:GYX524340 HIT524337:HIT524340 HSP524337:HSP524340 ICL524337:ICL524340 IMH524337:IMH524340 IWD524337:IWD524340 JFZ524337:JFZ524340 JPV524337:JPV524340 JZR524337:JZR524340 KJN524337:KJN524340 KTJ524337:KTJ524340 LDF524337:LDF524340 LNB524337:LNB524340 LWX524337:LWX524340 MGT524337:MGT524340 MQP524337:MQP524340 NAL524337:NAL524340 NKH524337:NKH524340 NUD524337:NUD524340 ODZ524337:ODZ524340 ONV524337:ONV524340 OXR524337:OXR524340 PHN524337:PHN524340 PRJ524337:PRJ524340 QBF524337:QBF524340 QLB524337:QLB524340 QUX524337:QUX524340 RET524337:RET524340 ROP524337:ROP524340 RYL524337:RYL524340 SIH524337:SIH524340 SSD524337:SSD524340 TBZ524337:TBZ524340 TLV524337:TLV524340 TVR524337:TVR524340 UFN524337:UFN524340 UPJ524337:UPJ524340 UZF524337:UZF524340 VJB524337:VJB524340 VSX524337:VSX524340 WCT524337:WCT524340 WMP524337:WMP524340 WWL524337:WWL524340 AD589873:AD589876 JZ589873:JZ589876 TV589873:TV589876 ADR589873:ADR589876 ANN589873:ANN589876 AXJ589873:AXJ589876 BHF589873:BHF589876 BRB589873:BRB589876 CAX589873:CAX589876 CKT589873:CKT589876 CUP589873:CUP589876 DEL589873:DEL589876 DOH589873:DOH589876 DYD589873:DYD589876 EHZ589873:EHZ589876 ERV589873:ERV589876 FBR589873:FBR589876 FLN589873:FLN589876 FVJ589873:FVJ589876 GFF589873:GFF589876 GPB589873:GPB589876 GYX589873:GYX589876 HIT589873:HIT589876 HSP589873:HSP589876 ICL589873:ICL589876 IMH589873:IMH589876 IWD589873:IWD589876 JFZ589873:JFZ589876 JPV589873:JPV589876 JZR589873:JZR589876 KJN589873:KJN589876 KTJ589873:KTJ589876 LDF589873:LDF589876 LNB589873:LNB589876 LWX589873:LWX589876 MGT589873:MGT589876 MQP589873:MQP589876 NAL589873:NAL589876 NKH589873:NKH589876 NUD589873:NUD589876 ODZ589873:ODZ589876 ONV589873:ONV589876 OXR589873:OXR589876 PHN589873:PHN589876 PRJ589873:PRJ589876 QBF589873:QBF589876 QLB589873:QLB589876 QUX589873:QUX589876 RET589873:RET589876 ROP589873:ROP589876 RYL589873:RYL589876 SIH589873:SIH589876 SSD589873:SSD589876 TBZ589873:TBZ589876 TLV589873:TLV589876 TVR589873:TVR589876 UFN589873:UFN589876 UPJ589873:UPJ589876 UZF589873:UZF589876 VJB589873:VJB589876 VSX589873:VSX589876 WCT589873:WCT589876 WMP589873:WMP589876 WWL589873:WWL589876 AD655409:AD655412 JZ655409:JZ655412 TV655409:TV655412 ADR655409:ADR655412 ANN655409:ANN655412 AXJ655409:AXJ655412 BHF655409:BHF655412 BRB655409:BRB655412 CAX655409:CAX655412 CKT655409:CKT655412 CUP655409:CUP655412 DEL655409:DEL655412 DOH655409:DOH655412 DYD655409:DYD655412 EHZ655409:EHZ655412 ERV655409:ERV655412 FBR655409:FBR655412 FLN655409:FLN655412 FVJ655409:FVJ655412 GFF655409:GFF655412 GPB655409:GPB655412 GYX655409:GYX655412 HIT655409:HIT655412 HSP655409:HSP655412 ICL655409:ICL655412 IMH655409:IMH655412 IWD655409:IWD655412 JFZ655409:JFZ655412 JPV655409:JPV655412 JZR655409:JZR655412 KJN655409:KJN655412 KTJ655409:KTJ655412 LDF655409:LDF655412 LNB655409:LNB655412 LWX655409:LWX655412 MGT655409:MGT655412 MQP655409:MQP655412 NAL655409:NAL655412 NKH655409:NKH655412 NUD655409:NUD655412 ODZ655409:ODZ655412 ONV655409:ONV655412 OXR655409:OXR655412 PHN655409:PHN655412 PRJ655409:PRJ655412 QBF655409:QBF655412 QLB655409:QLB655412 QUX655409:QUX655412 RET655409:RET655412 ROP655409:ROP655412 RYL655409:RYL655412 SIH655409:SIH655412 SSD655409:SSD655412 TBZ655409:TBZ655412 TLV655409:TLV655412 TVR655409:TVR655412 UFN655409:UFN655412 UPJ655409:UPJ655412 UZF655409:UZF655412 VJB655409:VJB655412 VSX655409:VSX655412 WCT655409:WCT655412 WMP655409:WMP655412 WWL655409:WWL655412 AD720945:AD720948 JZ720945:JZ720948 TV720945:TV720948 ADR720945:ADR720948 ANN720945:ANN720948 AXJ720945:AXJ720948 BHF720945:BHF720948 BRB720945:BRB720948 CAX720945:CAX720948 CKT720945:CKT720948 CUP720945:CUP720948 DEL720945:DEL720948 DOH720945:DOH720948 DYD720945:DYD720948 EHZ720945:EHZ720948 ERV720945:ERV720948 FBR720945:FBR720948 FLN720945:FLN720948 FVJ720945:FVJ720948 GFF720945:GFF720948 GPB720945:GPB720948 GYX720945:GYX720948 HIT720945:HIT720948 HSP720945:HSP720948 ICL720945:ICL720948 IMH720945:IMH720948 IWD720945:IWD720948 JFZ720945:JFZ720948 JPV720945:JPV720948 JZR720945:JZR720948 KJN720945:KJN720948 KTJ720945:KTJ720948 LDF720945:LDF720948 LNB720945:LNB720948 LWX720945:LWX720948 MGT720945:MGT720948 MQP720945:MQP720948 NAL720945:NAL720948 NKH720945:NKH720948 NUD720945:NUD720948 ODZ720945:ODZ720948 ONV720945:ONV720948 OXR720945:OXR720948 PHN720945:PHN720948 PRJ720945:PRJ720948 QBF720945:QBF720948 QLB720945:QLB720948 QUX720945:QUX720948 RET720945:RET720948 ROP720945:ROP720948 RYL720945:RYL720948 SIH720945:SIH720948 SSD720945:SSD720948 TBZ720945:TBZ720948 TLV720945:TLV720948 TVR720945:TVR720948 UFN720945:UFN720948 UPJ720945:UPJ720948 UZF720945:UZF720948 VJB720945:VJB720948 VSX720945:VSX720948 WCT720945:WCT720948 WMP720945:WMP720948 WWL720945:WWL720948 AD786481:AD786484 JZ786481:JZ786484 TV786481:TV786484 ADR786481:ADR786484 ANN786481:ANN786484 AXJ786481:AXJ786484 BHF786481:BHF786484 BRB786481:BRB786484 CAX786481:CAX786484 CKT786481:CKT786484 CUP786481:CUP786484 DEL786481:DEL786484 DOH786481:DOH786484 DYD786481:DYD786484 EHZ786481:EHZ786484 ERV786481:ERV786484 FBR786481:FBR786484 FLN786481:FLN786484 FVJ786481:FVJ786484 GFF786481:GFF786484 GPB786481:GPB786484 GYX786481:GYX786484 HIT786481:HIT786484 HSP786481:HSP786484 ICL786481:ICL786484 IMH786481:IMH786484 IWD786481:IWD786484 JFZ786481:JFZ786484 JPV786481:JPV786484 JZR786481:JZR786484 KJN786481:KJN786484 KTJ786481:KTJ786484 LDF786481:LDF786484 LNB786481:LNB786484 LWX786481:LWX786484 MGT786481:MGT786484 MQP786481:MQP786484 NAL786481:NAL786484 NKH786481:NKH786484 NUD786481:NUD786484 ODZ786481:ODZ786484 ONV786481:ONV786484 OXR786481:OXR786484 PHN786481:PHN786484 PRJ786481:PRJ786484 QBF786481:QBF786484 QLB786481:QLB786484 QUX786481:QUX786484 RET786481:RET786484 ROP786481:ROP786484 RYL786481:RYL786484 SIH786481:SIH786484 SSD786481:SSD786484 TBZ786481:TBZ786484 TLV786481:TLV786484 TVR786481:TVR786484 UFN786481:UFN786484 UPJ786481:UPJ786484 UZF786481:UZF786484 VJB786481:VJB786484 VSX786481:VSX786484 WCT786481:WCT786484 WMP786481:WMP786484 WWL786481:WWL786484 AD852017:AD852020 JZ852017:JZ852020 TV852017:TV852020 ADR852017:ADR852020 ANN852017:ANN852020 AXJ852017:AXJ852020 BHF852017:BHF852020 BRB852017:BRB852020 CAX852017:CAX852020 CKT852017:CKT852020 CUP852017:CUP852020 DEL852017:DEL852020 DOH852017:DOH852020 DYD852017:DYD852020 EHZ852017:EHZ852020 ERV852017:ERV852020 FBR852017:FBR852020 FLN852017:FLN852020 FVJ852017:FVJ852020 GFF852017:GFF852020 GPB852017:GPB852020 GYX852017:GYX852020 HIT852017:HIT852020 HSP852017:HSP852020 ICL852017:ICL852020 IMH852017:IMH852020 IWD852017:IWD852020 JFZ852017:JFZ852020 JPV852017:JPV852020 JZR852017:JZR852020 KJN852017:KJN852020 KTJ852017:KTJ852020 LDF852017:LDF852020 LNB852017:LNB852020 LWX852017:LWX852020 MGT852017:MGT852020 MQP852017:MQP852020 NAL852017:NAL852020 NKH852017:NKH852020 NUD852017:NUD852020 ODZ852017:ODZ852020 ONV852017:ONV852020 OXR852017:OXR852020 PHN852017:PHN852020 PRJ852017:PRJ852020 QBF852017:QBF852020 QLB852017:QLB852020 QUX852017:QUX852020 RET852017:RET852020 ROP852017:ROP852020 RYL852017:RYL852020 SIH852017:SIH852020 SSD852017:SSD852020 TBZ852017:TBZ852020 TLV852017:TLV852020 TVR852017:TVR852020 UFN852017:UFN852020 UPJ852017:UPJ852020 UZF852017:UZF852020 VJB852017:VJB852020 VSX852017:VSX852020 WCT852017:WCT852020 WMP852017:WMP852020 WWL852017:WWL852020 AD917553:AD917556 JZ917553:JZ917556 TV917553:TV917556 ADR917553:ADR917556 ANN917553:ANN917556 AXJ917553:AXJ917556 BHF917553:BHF917556 BRB917553:BRB917556 CAX917553:CAX917556 CKT917553:CKT917556 CUP917553:CUP917556 DEL917553:DEL917556 DOH917553:DOH917556 DYD917553:DYD917556 EHZ917553:EHZ917556 ERV917553:ERV917556 FBR917553:FBR917556 FLN917553:FLN917556 FVJ917553:FVJ917556 GFF917553:GFF917556 GPB917553:GPB917556 GYX917553:GYX917556 HIT917553:HIT917556 HSP917553:HSP917556 ICL917553:ICL917556 IMH917553:IMH917556 IWD917553:IWD917556 JFZ917553:JFZ917556 JPV917553:JPV917556 JZR917553:JZR917556 KJN917553:KJN917556 KTJ917553:KTJ917556 LDF917553:LDF917556 LNB917553:LNB917556 LWX917553:LWX917556 MGT917553:MGT917556 MQP917553:MQP917556 NAL917553:NAL917556 NKH917553:NKH917556 NUD917553:NUD917556 ODZ917553:ODZ917556 ONV917553:ONV917556 OXR917553:OXR917556 PHN917553:PHN917556 PRJ917553:PRJ917556 QBF917553:QBF917556 QLB917553:QLB917556 QUX917553:QUX917556 RET917553:RET917556 ROP917553:ROP917556 RYL917553:RYL917556 SIH917553:SIH917556 SSD917553:SSD917556 TBZ917553:TBZ917556 TLV917553:TLV917556 TVR917553:TVR917556 UFN917553:UFN917556 UPJ917553:UPJ917556 UZF917553:UZF917556 VJB917553:VJB917556 VSX917553:VSX917556 WCT917553:WCT917556 WMP917553:WMP917556 WWL917553:WWL917556 AD983089:AD983092 JZ983089:JZ983092 TV983089:TV983092 ADR983089:ADR983092 ANN983089:ANN983092 AXJ983089:AXJ983092 BHF983089:BHF983092 BRB983089:BRB983092 CAX983089:CAX983092 CKT983089:CKT983092 CUP983089:CUP983092 DEL983089:DEL983092 DOH983089:DOH983092 DYD983089:DYD983092 EHZ983089:EHZ983092 ERV983089:ERV983092 FBR983089:FBR983092 FLN983089:FLN983092 FVJ983089:FVJ983092 GFF983089:GFF983092 GPB983089:GPB983092 GYX983089:GYX983092 HIT983089:HIT983092 HSP983089:HSP983092 ICL983089:ICL983092 IMH983089:IMH983092 IWD983089:IWD983092 JFZ983089:JFZ983092 JPV983089:JPV983092 JZR983089:JZR983092 KJN983089:KJN983092 KTJ983089:KTJ983092 LDF983089:LDF983092 LNB983089:LNB983092 LWX983089:LWX983092 MGT983089:MGT983092 MQP983089:MQP983092 NAL983089:NAL983092 NKH983089:NKH983092 NUD983089:NUD983092 ODZ983089:ODZ983092 ONV983089:ONV983092 OXR983089:OXR983092 PHN983089:PHN983092 PRJ983089:PRJ983092 QBF983089:QBF983092 QLB983089:QLB983092 QUX983089:QUX983092 RET983089:RET983092 ROP983089:ROP983092 RYL983089:RYL983092 SIH983089:SIH983092 SSD983089:SSD983092 TBZ983089:TBZ983092 TLV983089:TLV983092 TVR983089:TVR983092 UFN983089:UFN983092 UPJ983089:UPJ983092 UZF983089:UZF983092 VJB983089:VJB983092 VSX983089:VSX983092 WCT983089:WCT983092 WMP983089:WMP983092 WWL983089:WWL983092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2BABC-662B-4F51-84C9-6C0ED2A030EC}">
  <sheetPr>
    <tabColor rgb="FFFFFF00"/>
    <pageSetUpPr fitToPage="1"/>
  </sheetPr>
  <dimension ref="B1:AH40"/>
  <sheetViews>
    <sheetView view="pageBreakPreview" zoomScale="70" zoomScaleNormal="100" zoomScaleSheetLayoutView="70" workbookViewId="0"/>
  </sheetViews>
  <sheetFormatPr defaultColWidth="3.44140625" defaultRowHeight="13.2"/>
  <cols>
    <col min="1" max="1" width="1.44140625" style="3" customWidth="1"/>
    <col min="2" max="2" width="2.109375" style="3" customWidth="1"/>
    <col min="3" max="3" width="3" style="616"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256" width="3.44140625" style="3"/>
    <col min="257" max="257" width="1.44140625" style="3" customWidth="1"/>
    <col min="258" max="258" width="2.109375" style="3" customWidth="1"/>
    <col min="259" max="259" width="3" style="3" customWidth="1"/>
    <col min="260" max="263" width="3.44140625" style="3"/>
    <col min="264" max="264" width="1.44140625" style="3" customWidth="1"/>
    <col min="265" max="265" width="3.109375" style="3" customWidth="1"/>
    <col min="266" max="266" width="4.77734375" style="3" customWidth="1"/>
    <col min="267" max="273" width="3.44140625" style="3"/>
    <col min="274" max="274" width="5.44140625" style="3" customWidth="1"/>
    <col min="275" max="282" width="4.44140625" style="3" customWidth="1"/>
    <col min="283" max="283" width="3.88671875" style="3" customWidth="1"/>
    <col min="284" max="285" width="4.6640625" style="3" customWidth="1"/>
    <col min="286" max="286" width="4.44140625" style="3" customWidth="1"/>
    <col min="287" max="288" width="4.33203125" style="3" customWidth="1"/>
    <col min="289" max="289" width="4" style="3" customWidth="1"/>
    <col min="290" max="290" width="2.109375" style="3" customWidth="1"/>
    <col min="291" max="291" width="1.44140625" style="3" customWidth="1"/>
    <col min="292" max="512" width="3.44140625" style="3"/>
    <col min="513" max="513" width="1.44140625" style="3" customWidth="1"/>
    <col min="514" max="514" width="2.109375" style="3" customWidth="1"/>
    <col min="515" max="515" width="3" style="3" customWidth="1"/>
    <col min="516" max="519" width="3.44140625" style="3"/>
    <col min="520" max="520" width="1.44140625" style="3" customWidth="1"/>
    <col min="521" max="521" width="3.109375" style="3" customWidth="1"/>
    <col min="522" max="522" width="4.77734375" style="3" customWidth="1"/>
    <col min="523" max="529" width="3.44140625" style="3"/>
    <col min="530" max="530" width="5.44140625" style="3" customWidth="1"/>
    <col min="531" max="538" width="4.44140625" style="3" customWidth="1"/>
    <col min="539" max="539" width="3.88671875" style="3" customWidth="1"/>
    <col min="540" max="541" width="4.6640625" style="3" customWidth="1"/>
    <col min="542" max="542" width="4.44140625" style="3" customWidth="1"/>
    <col min="543" max="544" width="4.33203125" style="3" customWidth="1"/>
    <col min="545" max="545" width="4" style="3" customWidth="1"/>
    <col min="546" max="546" width="2.109375" style="3" customWidth="1"/>
    <col min="547" max="547" width="1.44140625" style="3" customWidth="1"/>
    <col min="548" max="768" width="3.44140625" style="3"/>
    <col min="769" max="769" width="1.44140625" style="3" customWidth="1"/>
    <col min="770" max="770" width="2.109375" style="3" customWidth="1"/>
    <col min="771" max="771" width="3" style="3" customWidth="1"/>
    <col min="772" max="775" width="3.44140625" style="3"/>
    <col min="776" max="776" width="1.44140625" style="3" customWidth="1"/>
    <col min="777" max="777" width="3.109375" style="3" customWidth="1"/>
    <col min="778" max="778" width="4.77734375" style="3" customWidth="1"/>
    <col min="779" max="785" width="3.44140625" style="3"/>
    <col min="786" max="786" width="5.44140625" style="3" customWidth="1"/>
    <col min="787" max="794" width="4.44140625" style="3" customWidth="1"/>
    <col min="795" max="795" width="3.88671875" style="3" customWidth="1"/>
    <col min="796" max="797" width="4.6640625" style="3" customWidth="1"/>
    <col min="798" max="798" width="4.44140625" style="3" customWidth="1"/>
    <col min="799" max="800" width="4.33203125" style="3" customWidth="1"/>
    <col min="801" max="801" width="4" style="3" customWidth="1"/>
    <col min="802" max="802" width="2.109375" style="3" customWidth="1"/>
    <col min="803" max="803" width="1.44140625" style="3" customWidth="1"/>
    <col min="804" max="1024" width="3.44140625" style="3"/>
    <col min="1025" max="1025" width="1.44140625" style="3" customWidth="1"/>
    <col min="1026" max="1026" width="2.109375" style="3" customWidth="1"/>
    <col min="1027" max="1027" width="3" style="3" customWidth="1"/>
    <col min="1028" max="1031" width="3.44140625" style="3"/>
    <col min="1032" max="1032" width="1.44140625" style="3" customWidth="1"/>
    <col min="1033" max="1033" width="3.109375" style="3" customWidth="1"/>
    <col min="1034" max="1034" width="4.77734375" style="3" customWidth="1"/>
    <col min="1035" max="1041" width="3.44140625" style="3"/>
    <col min="1042" max="1042" width="5.44140625" style="3" customWidth="1"/>
    <col min="1043" max="1050" width="4.44140625" style="3" customWidth="1"/>
    <col min="1051" max="1051" width="3.88671875" style="3" customWidth="1"/>
    <col min="1052" max="1053" width="4.6640625" style="3" customWidth="1"/>
    <col min="1054" max="1054" width="4.44140625" style="3" customWidth="1"/>
    <col min="1055" max="1056" width="4.33203125" style="3" customWidth="1"/>
    <col min="1057" max="1057" width="4" style="3" customWidth="1"/>
    <col min="1058" max="1058" width="2.109375" style="3" customWidth="1"/>
    <col min="1059" max="1059" width="1.44140625" style="3" customWidth="1"/>
    <col min="1060" max="1280" width="3.44140625" style="3"/>
    <col min="1281" max="1281" width="1.44140625" style="3" customWidth="1"/>
    <col min="1282" max="1282" width="2.109375" style="3" customWidth="1"/>
    <col min="1283" max="1283" width="3" style="3" customWidth="1"/>
    <col min="1284" max="1287" width="3.44140625" style="3"/>
    <col min="1288" max="1288" width="1.44140625" style="3" customWidth="1"/>
    <col min="1289" max="1289" width="3.109375" style="3" customWidth="1"/>
    <col min="1290" max="1290" width="4.77734375" style="3" customWidth="1"/>
    <col min="1291" max="1297" width="3.44140625" style="3"/>
    <col min="1298" max="1298" width="5.44140625" style="3" customWidth="1"/>
    <col min="1299" max="1306" width="4.44140625" style="3" customWidth="1"/>
    <col min="1307" max="1307" width="3.88671875" style="3" customWidth="1"/>
    <col min="1308" max="1309" width="4.6640625" style="3" customWidth="1"/>
    <col min="1310" max="1310" width="4.44140625" style="3" customWidth="1"/>
    <col min="1311" max="1312" width="4.33203125" style="3" customWidth="1"/>
    <col min="1313" max="1313" width="4" style="3" customWidth="1"/>
    <col min="1314" max="1314" width="2.109375" style="3" customWidth="1"/>
    <col min="1315" max="1315" width="1.44140625" style="3" customWidth="1"/>
    <col min="1316" max="1536" width="3.44140625" style="3"/>
    <col min="1537" max="1537" width="1.44140625" style="3" customWidth="1"/>
    <col min="1538" max="1538" width="2.109375" style="3" customWidth="1"/>
    <col min="1539" max="1539" width="3" style="3" customWidth="1"/>
    <col min="1540" max="1543" width="3.44140625" style="3"/>
    <col min="1544" max="1544" width="1.44140625" style="3" customWidth="1"/>
    <col min="1545" max="1545" width="3.109375" style="3" customWidth="1"/>
    <col min="1546" max="1546" width="4.77734375" style="3" customWidth="1"/>
    <col min="1547" max="1553" width="3.44140625" style="3"/>
    <col min="1554" max="1554" width="5.44140625" style="3" customWidth="1"/>
    <col min="1555" max="1562" width="4.44140625" style="3" customWidth="1"/>
    <col min="1563" max="1563" width="3.88671875" style="3" customWidth="1"/>
    <col min="1564" max="1565" width="4.6640625" style="3" customWidth="1"/>
    <col min="1566" max="1566" width="4.44140625" style="3" customWidth="1"/>
    <col min="1567" max="1568" width="4.33203125" style="3" customWidth="1"/>
    <col min="1569" max="1569" width="4" style="3" customWidth="1"/>
    <col min="1570" max="1570" width="2.109375" style="3" customWidth="1"/>
    <col min="1571" max="1571" width="1.44140625" style="3" customWidth="1"/>
    <col min="1572" max="1792" width="3.44140625" style="3"/>
    <col min="1793" max="1793" width="1.44140625" style="3" customWidth="1"/>
    <col min="1794" max="1794" width="2.109375" style="3" customWidth="1"/>
    <col min="1795" max="1795" width="3" style="3" customWidth="1"/>
    <col min="1796" max="1799" width="3.44140625" style="3"/>
    <col min="1800" max="1800" width="1.44140625" style="3" customWidth="1"/>
    <col min="1801" max="1801" width="3.109375" style="3" customWidth="1"/>
    <col min="1802" max="1802" width="4.77734375" style="3" customWidth="1"/>
    <col min="1803" max="1809" width="3.44140625" style="3"/>
    <col min="1810" max="1810" width="5.44140625" style="3" customWidth="1"/>
    <col min="1811" max="1818" width="4.44140625" style="3" customWidth="1"/>
    <col min="1819" max="1819" width="3.88671875" style="3" customWidth="1"/>
    <col min="1820" max="1821" width="4.6640625" style="3" customWidth="1"/>
    <col min="1822" max="1822" width="4.44140625" style="3" customWidth="1"/>
    <col min="1823" max="1824" width="4.33203125" style="3" customWidth="1"/>
    <col min="1825" max="1825" width="4" style="3" customWidth="1"/>
    <col min="1826" max="1826" width="2.109375" style="3" customWidth="1"/>
    <col min="1827" max="1827" width="1.44140625" style="3" customWidth="1"/>
    <col min="1828" max="2048" width="3.44140625" style="3"/>
    <col min="2049" max="2049" width="1.44140625" style="3" customWidth="1"/>
    <col min="2050" max="2050" width="2.109375" style="3" customWidth="1"/>
    <col min="2051" max="2051" width="3" style="3" customWidth="1"/>
    <col min="2052" max="2055" width="3.44140625" style="3"/>
    <col min="2056" max="2056" width="1.44140625" style="3" customWidth="1"/>
    <col min="2057" max="2057" width="3.109375" style="3" customWidth="1"/>
    <col min="2058" max="2058" width="4.77734375" style="3" customWidth="1"/>
    <col min="2059" max="2065" width="3.44140625" style="3"/>
    <col min="2066" max="2066" width="5.44140625" style="3" customWidth="1"/>
    <col min="2067" max="2074" width="4.44140625" style="3" customWidth="1"/>
    <col min="2075" max="2075" width="3.88671875" style="3" customWidth="1"/>
    <col min="2076" max="2077" width="4.6640625" style="3" customWidth="1"/>
    <col min="2078" max="2078" width="4.44140625" style="3" customWidth="1"/>
    <col min="2079" max="2080" width="4.33203125" style="3" customWidth="1"/>
    <col min="2081" max="2081" width="4" style="3" customWidth="1"/>
    <col min="2082" max="2082" width="2.109375" style="3" customWidth="1"/>
    <col min="2083" max="2083" width="1.44140625" style="3" customWidth="1"/>
    <col min="2084" max="2304" width="3.44140625" style="3"/>
    <col min="2305" max="2305" width="1.44140625" style="3" customWidth="1"/>
    <col min="2306" max="2306" width="2.109375" style="3" customWidth="1"/>
    <col min="2307" max="2307" width="3" style="3" customWidth="1"/>
    <col min="2308" max="2311" width="3.44140625" style="3"/>
    <col min="2312" max="2312" width="1.44140625" style="3" customWidth="1"/>
    <col min="2313" max="2313" width="3.109375" style="3" customWidth="1"/>
    <col min="2314" max="2314" width="4.77734375" style="3" customWidth="1"/>
    <col min="2315" max="2321" width="3.44140625" style="3"/>
    <col min="2322" max="2322" width="5.44140625" style="3" customWidth="1"/>
    <col min="2323" max="2330" width="4.44140625" style="3" customWidth="1"/>
    <col min="2331" max="2331" width="3.88671875" style="3" customWidth="1"/>
    <col min="2332" max="2333" width="4.6640625" style="3" customWidth="1"/>
    <col min="2334" max="2334" width="4.44140625" style="3" customWidth="1"/>
    <col min="2335" max="2336" width="4.33203125" style="3" customWidth="1"/>
    <col min="2337" max="2337" width="4" style="3" customWidth="1"/>
    <col min="2338" max="2338" width="2.109375" style="3" customWidth="1"/>
    <col min="2339" max="2339" width="1.44140625" style="3" customWidth="1"/>
    <col min="2340" max="2560" width="3.44140625" style="3"/>
    <col min="2561" max="2561" width="1.44140625" style="3" customWidth="1"/>
    <col min="2562" max="2562" width="2.109375" style="3" customWidth="1"/>
    <col min="2563" max="2563" width="3" style="3" customWidth="1"/>
    <col min="2564" max="2567" width="3.44140625" style="3"/>
    <col min="2568" max="2568" width="1.44140625" style="3" customWidth="1"/>
    <col min="2569" max="2569" width="3.109375" style="3" customWidth="1"/>
    <col min="2570" max="2570" width="4.77734375" style="3" customWidth="1"/>
    <col min="2571" max="2577" width="3.44140625" style="3"/>
    <col min="2578" max="2578" width="5.44140625" style="3" customWidth="1"/>
    <col min="2579" max="2586" width="4.44140625" style="3" customWidth="1"/>
    <col min="2587" max="2587" width="3.88671875" style="3" customWidth="1"/>
    <col min="2588" max="2589" width="4.6640625" style="3" customWidth="1"/>
    <col min="2590" max="2590" width="4.44140625" style="3" customWidth="1"/>
    <col min="2591" max="2592" width="4.33203125" style="3" customWidth="1"/>
    <col min="2593" max="2593" width="4" style="3" customWidth="1"/>
    <col min="2594" max="2594" width="2.109375" style="3" customWidth="1"/>
    <col min="2595" max="2595" width="1.44140625" style="3" customWidth="1"/>
    <col min="2596" max="2816" width="3.44140625" style="3"/>
    <col min="2817" max="2817" width="1.44140625" style="3" customWidth="1"/>
    <col min="2818" max="2818" width="2.109375" style="3" customWidth="1"/>
    <col min="2819" max="2819" width="3" style="3" customWidth="1"/>
    <col min="2820" max="2823" width="3.44140625" style="3"/>
    <col min="2824" max="2824" width="1.44140625" style="3" customWidth="1"/>
    <col min="2825" max="2825" width="3.109375" style="3" customWidth="1"/>
    <col min="2826" max="2826" width="4.77734375" style="3" customWidth="1"/>
    <col min="2827" max="2833" width="3.44140625" style="3"/>
    <col min="2834" max="2834" width="5.44140625" style="3" customWidth="1"/>
    <col min="2835" max="2842" width="4.44140625" style="3" customWidth="1"/>
    <col min="2843" max="2843" width="3.88671875" style="3" customWidth="1"/>
    <col min="2844" max="2845" width="4.6640625" style="3" customWidth="1"/>
    <col min="2846" max="2846" width="4.44140625" style="3" customWidth="1"/>
    <col min="2847" max="2848" width="4.33203125" style="3" customWidth="1"/>
    <col min="2849" max="2849" width="4" style="3" customWidth="1"/>
    <col min="2850" max="2850" width="2.109375" style="3" customWidth="1"/>
    <col min="2851" max="2851" width="1.44140625" style="3" customWidth="1"/>
    <col min="2852" max="3072" width="3.44140625" style="3"/>
    <col min="3073" max="3073" width="1.44140625" style="3" customWidth="1"/>
    <col min="3074" max="3074" width="2.109375" style="3" customWidth="1"/>
    <col min="3075" max="3075" width="3" style="3" customWidth="1"/>
    <col min="3076" max="3079" width="3.44140625" style="3"/>
    <col min="3080" max="3080" width="1.44140625" style="3" customWidth="1"/>
    <col min="3081" max="3081" width="3.109375" style="3" customWidth="1"/>
    <col min="3082" max="3082" width="4.77734375" style="3" customWidth="1"/>
    <col min="3083" max="3089" width="3.44140625" style="3"/>
    <col min="3090" max="3090" width="5.44140625" style="3" customWidth="1"/>
    <col min="3091" max="3098" width="4.44140625" style="3" customWidth="1"/>
    <col min="3099" max="3099" width="3.88671875" style="3" customWidth="1"/>
    <col min="3100" max="3101" width="4.6640625" style="3" customWidth="1"/>
    <col min="3102" max="3102" width="4.44140625" style="3" customWidth="1"/>
    <col min="3103" max="3104" width="4.33203125" style="3" customWidth="1"/>
    <col min="3105" max="3105" width="4" style="3" customWidth="1"/>
    <col min="3106" max="3106" width="2.109375" style="3" customWidth="1"/>
    <col min="3107" max="3107" width="1.44140625" style="3" customWidth="1"/>
    <col min="3108" max="3328" width="3.44140625" style="3"/>
    <col min="3329" max="3329" width="1.44140625" style="3" customWidth="1"/>
    <col min="3330" max="3330" width="2.109375" style="3" customWidth="1"/>
    <col min="3331" max="3331" width="3" style="3" customWidth="1"/>
    <col min="3332" max="3335" width="3.44140625" style="3"/>
    <col min="3336" max="3336" width="1.44140625" style="3" customWidth="1"/>
    <col min="3337" max="3337" width="3.109375" style="3" customWidth="1"/>
    <col min="3338" max="3338" width="4.77734375" style="3" customWidth="1"/>
    <col min="3339" max="3345" width="3.44140625" style="3"/>
    <col min="3346" max="3346" width="5.44140625" style="3" customWidth="1"/>
    <col min="3347" max="3354" width="4.44140625" style="3" customWidth="1"/>
    <col min="3355" max="3355" width="3.88671875" style="3" customWidth="1"/>
    <col min="3356" max="3357" width="4.6640625" style="3" customWidth="1"/>
    <col min="3358" max="3358" width="4.44140625" style="3" customWidth="1"/>
    <col min="3359" max="3360" width="4.33203125" style="3" customWidth="1"/>
    <col min="3361" max="3361" width="4" style="3" customWidth="1"/>
    <col min="3362" max="3362" width="2.109375" style="3" customWidth="1"/>
    <col min="3363" max="3363" width="1.44140625" style="3" customWidth="1"/>
    <col min="3364" max="3584" width="3.44140625" style="3"/>
    <col min="3585" max="3585" width="1.44140625" style="3" customWidth="1"/>
    <col min="3586" max="3586" width="2.109375" style="3" customWidth="1"/>
    <col min="3587" max="3587" width="3" style="3" customWidth="1"/>
    <col min="3588" max="3591" width="3.44140625" style="3"/>
    <col min="3592" max="3592" width="1.44140625" style="3" customWidth="1"/>
    <col min="3593" max="3593" width="3.109375" style="3" customWidth="1"/>
    <col min="3594" max="3594" width="4.77734375" style="3" customWidth="1"/>
    <col min="3595" max="3601" width="3.44140625" style="3"/>
    <col min="3602" max="3602" width="5.44140625" style="3" customWidth="1"/>
    <col min="3603" max="3610" width="4.44140625" style="3" customWidth="1"/>
    <col min="3611" max="3611" width="3.88671875" style="3" customWidth="1"/>
    <col min="3612" max="3613" width="4.6640625" style="3" customWidth="1"/>
    <col min="3614" max="3614" width="4.44140625" style="3" customWidth="1"/>
    <col min="3615" max="3616" width="4.33203125" style="3" customWidth="1"/>
    <col min="3617" max="3617" width="4" style="3" customWidth="1"/>
    <col min="3618" max="3618" width="2.109375" style="3" customWidth="1"/>
    <col min="3619" max="3619" width="1.44140625" style="3" customWidth="1"/>
    <col min="3620" max="3840" width="3.44140625" style="3"/>
    <col min="3841" max="3841" width="1.44140625" style="3" customWidth="1"/>
    <col min="3842" max="3842" width="2.109375" style="3" customWidth="1"/>
    <col min="3843" max="3843" width="3" style="3" customWidth="1"/>
    <col min="3844" max="3847" width="3.44140625" style="3"/>
    <col min="3848" max="3848" width="1.44140625" style="3" customWidth="1"/>
    <col min="3849" max="3849" width="3.109375" style="3" customWidth="1"/>
    <col min="3850" max="3850" width="4.77734375" style="3" customWidth="1"/>
    <col min="3851" max="3857" width="3.44140625" style="3"/>
    <col min="3858" max="3858" width="5.44140625" style="3" customWidth="1"/>
    <col min="3859" max="3866" width="4.44140625" style="3" customWidth="1"/>
    <col min="3867" max="3867" width="3.88671875" style="3" customWidth="1"/>
    <col min="3868" max="3869" width="4.6640625" style="3" customWidth="1"/>
    <col min="3870" max="3870" width="4.44140625" style="3" customWidth="1"/>
    <col min="3871" max="3872" width="4.33203125" style="3" customWidth="1"/>
    <col min="3873" max="3873" width="4" style="3" customWidth="1"/>
    <col min="3874" max="3874" width="2.109375" style="3" customWidth="1"/>
    <col min="3875" max="3875" width="1.44140625" style="3" customWidth="1"/>
    <col min="3876" max="4096" width="3.44140625" style="3"/>
    <col min="4097" max="4097" width="1.44140625" style="3" customWidth="1"/>
    <col min="4098" max="4098" width="2.109375" style="3" customWidth="1"/>
    <col min="4099" max="4099" width="3" style="3" customWidth="1"/>
    <col min="4100" max="4103" width="3.44140625" style="3"/>
    <col min="4104" max="4104" width="1.44140625" style="3" customWidth="1"/>
    <col min="4105" max="4105" width="3.109375" style="3" customWidth="1"/>
    <col min="4106" max="4106" width="4.77734375" style="3" customWidth="1"/>
    <col min="4107" max="4113" width="3.44140625" style="3"/>
    <col min="4114" max="4114" width="5.44140625" style="3" customWidth="1"/>
    <col min="4115" max="4122" width="4.44140625" style="3" customWidth="1"/>
    <col min="4123" max="4123" width="3.88671875" style="3" customWidth="1"/>
    <col min="4124" max="4125" width="4.6640625" style="3" customWidth="1"/>
    <col min="4126" max="4126" width="4.44140625" style="3" customWidth="1"/>
    <col min="4127" max="4128" width="4.33203125" style="3" customWidth="1"/>
    <col min="4129" max="4129" width="4" style="3" customWidth="1"/>
    <col min="4130" max="4130" width="2.109375" style="3" customWidth="1"/>
    <col min="4131" max="4131" width="1.44140625" style="3" customWidth="1"/>
    <col min="4132" max="4352" width="3.44140625" style="3"/>
    <col min="4353" max="4353" width="1.44140625" style="3" customWidth="1"/>
    <col min="4354" max="4354" width="2.109375" style="3" customWidth="1"/>
    <col min="4355" max="4355" width="3" style="3" customWidth="1"/>
    <col min="4356" max="4359" width="3.44140625" style="3"/>
    <col min="4360" max="4360" width="1.44140625" style="3" customWidth="1"/>
    <col min="4361" max="4361" width="3.109375" style="3" customWidth="1"/>
    <col min="4362" max="4362" width="4.77734375" style="3" customWidth="1"/>
    <col min="4363" max="4369" width="3.44140625" style="3"/>
    <col min="4370" max="4370" width="5.44140625" style="3" customWidth="1"/>
    <col min="4371" max="4378" width="4.44140625" style="3" customWidth="1"/>
    <col min="4379" max="4379" width="3.88671875" style="3" customWidth="1"/>
    <col min="4380" max="4381" width="4.6640625" style="3" customWidth="1"/>
    <col min="4382" max="4382" width="4.44140625" style="3" customWidth="1"/>
    <col min="4383" max="4384" width="4.33203125" style="3" customWidth="1"/>
    <col min="4385" max="4385" width="4" style="3" customWidth="1"/>
    <col min="4386" max="4386" width="2.109375" style="3" customWidth="1"/>
    <col min="4387" max="4387" width="1.44140625" style="3" customWidth="1"/>
    <col min="4388" max="4608" width="3.44140625" style="3"/>
    <col min="4609" max="4609" width="1.44140625" style="3" customWidth="1"/>
    <col min="4610" max="4610" width="2.109375" style="3" customWidth="1"/>
    <col min="4611" max="4611" width="3" style="3" customWidth="1"/>
    <col min="4612" max="4615" width="3.44140625" style="3"/>
    <col min="4616" max="4616" width="1.44140625" style="3" customWidth="1"/>
    <col min="4617" max="4617" width="3.109375" style="3" customWidth="1"/>
    <col min="4618" max="4618" width="4.77734375" style="3" customWidth="1"/>
    <col min="4619" max="4625" width="3.44140625" style="3"/>
    <col min="4626" max="4626" width="5.44140625" style="3" customWidth="1"/>
    <col min="4627" max="4634" width="4.44140625" style="3" customWidth="1"/>
    <col min="4635" max="4635" width="3.88671875" style="3" customWidth="1"/>
    <col min="4636" max="4637" width="4.6640625" style="3" customWidth="1"/>
    <col min="4638" max="4638" width="4.44140625" style="3" customWidth="1"/>
    <col min="4639" max="4640" width="4.33203125" style="3" customWidth="1"/>
    <col min="4641" max="4641" width="4" style="3" customWidth="1"/>
    <col min="4642" max="4642" width="2.109375" style="3" customWidth="1"/>
    <col min="4643" max="4643" width="1.44140625" style="3" customWidth="1"/>
    <col min="4644" max="4864" width="3.44140625" style="3"/>
    <col min="4865" max="4865" width="1.44140625" style="3" customWidth="1"/>
    <col min="4866" max="4866" width="2.109375" style="3" customWidth="1"/>
    <col min="4867" max="4867" width="3" style="3" customWidth="1"/>
    <col min="4868" max="4871" width="3.44140625" style="3"/>
    <col min="4872" max="4872" width="1.44140625" style="3" customWidth="1"/>
    <col min="4873" max="4873" width="3.109375" style="3" customWidth="1"/>
    <col min="4874" max="4874" width="4.77734375" style="3" customWidth="1"/>
    <col min="4875" max="4881" width="3.44140625" style="3"/>
    <col min="4882" max="4882" width="5.44140625" style="3" customWidth="1"/>
    <col min="4883" max="4890" width="4.44140625" style="3" customWidth="1"/>
    <col min="4891" max="4891" width="3.88671875" style="3" customWidth="1"/>
    <col min="4892" max="4893" width="4.6640625" style="3" customWidth="1"/>
    <col min="4894" max="4894" width="4.44140625" style="3" customWidth="1"/>
    <col min="4895" max="4896" width="4.33203125" style="3" customWidth="1"/>
    <col min="4897" max="4897" width="4" style="3" customWidth="1"/>
    <col min="4898" max="4898" width="2.109375" style="3" customWidth="1"/>
    <col min="4899" max="4899" width="1.44140625" style="3" customWidth="1"/>
    <col min="4900" max="5120" width="3.44140625" style="3"/>
    <col min="5121" max="5121" width="1.44140625" style="3" customWidth="1"/>
    <col min="5122" max="5122" width="2.109375" style="3" customWidth="1"/>
    <col min="5123" max="5123" width="3" style="3" customWidth="1"/>
    <col min="5124" max="5127" width="3.44140625" style="3"/>
    <col min="5128" max="5128" width="1.44140625" style="3" customWidth="1"/>
    <col min="5129" max="5129" width="3.109375" style="3" customWidth="1"/>
    <col min="5130" max="5130" width="4.77734375" style="3" customWidth="1"/>
    <col min="5131" max="5137" width="3.44140625" style="3"/>
    <col min="5138" max="5138" width="5.44140625" style="3" customWidth="1"/>
    <col min="5139" max="5146" width="4.44140625" style="3" customWidth="1"/>
    <col min="5147" max="5147" width="3.88671875" style="3" customWidth="1"/>
    <col min="5148" max="5149" width="4.6640625" style="3" customWidth="1"/>
    <col min="5150" max="5150" width="4.44140625" style="3" customWidth="1"/>
    <col min="5151" max="5152" width="4.33203125" style="3" customWidth="1"/>
    <col min="5153" max="5153" width="4" style="3" customWidth="1"/>
    <col min="5154" max="5154" width="2.109375" style="3" customWidth="1"/>
    <col min="5155" max="5155" width="1.44140625" style="3" customWidth="1"/>
    <col min="5156" max="5376" width="3.44140625" style="3"/>
    <col min="5377" max="5377" width="1.44140625" style="3" customWidth="1"/>
    <col min="5378" max="5378" width="2.109375" style="3" customWidth="1"/>
    <col min="5379" max="5379" width="3" style="3" customWidth="1"/>
    <col min="5380" max="5383" width="3.44140625" style="3"/>
    <col min="5384" max="5384" width="1.44140625" style="3" customWidth="1"/>
    <col min="5385" max="5385" width="3.109375" style="3" customWidth="1"/>
    <col min="5386" max="5386" width="4.77734375" style="3" customWidth="1"/>
    <col min="5387" max="5393" width="3.44140625" style="3"/>
    <col min="5394" max="5394" width="5.44140625" style="3" customWidth="1"/>
    <col min="5395" max="5402" width="4.44140625" style="3" customWidth="1"/>
    <col min="5403" max="5403" width="3.88671875" style="3" customWidth="1"/>
    <col min="5404" max="5405" width="4.6640625" style="3" customWidth="1"/>
    <col min="5406" max="5406" width="4.44140625" style="3" customWidth="1"/>
    <col min="5407" max="5408" width="4.33203125" style="3" customWidth="1"/>
    <col min="5409" max="5409" width="4" style="3" customWidth="1"/>
    <col min="5410" max="5410" width="2.109375" style="3" customWidth="1"/>
    <col min="5411" max="5411" width="1.44140625" style="3" customWidth="1"/>
    <col min="5412" max="5632" width="3.44140625" style="3"/>
    <col min="5633" max="5633" width="1.44140625" style="3" customWidth="1"/>
    <col min="5634" max="5634" width="2.109375" style="3" customWidth="1"/>
    <col min="5635" max="5635" width="3" style="3" customWidth="1"/>
    <col min="5636" max="5639" width="3.44140625" style="3"/>
    <col min="5640" max="5640" width="1.44140625" style="3" customWidth="1"/>
    <col min="5641" max="5641" width="3.109375" style="3" customWidth="1"/>
    <col min="5642" max="5642" width="4.77734375" style="3" customWidth="1"/>
    <col min="5643" max="5649" width="3.44140625" style="3"/>
    <col min="5650" max="5650" width="5.44140625" style="3" customWidth="1"/>
    <col min="5651" max="5658" width="4.44140625" style="3" customWidth="1"/>
    <col min="5659" max="5659" width="3.88671875" style="3" customWidth="1"/>
    <col min="5660" max="5661" width="4.6640625" style="3" customWidth="1"/>
    <col min="5662" max="5662" width="4.44140625" style="3" customWidth="1"/>
    <col min="5663" max="5664" width="4.33203125" style="3" customWidth="1"/>
    <col min="5665" max="5665" width="4" style="3" customWidth="1"/>
    <col min="5666" max="5666" width="2.109375" style="3" customWidth="1"/>
    <col min="5667" max="5667" width="1.44140625" style="3" customWidth="1"/>
    <col min="5668" max="5888" width="3.44140625" style="3"/>
    <col min="5889" max="5889" width="1.44140625" style="3" customWidth="1"/>
    <col min="5890" max="5890" width="2.109375" style="3" customWidth="1"/>
    <col min="5891" max="5891" width="3" style="3" customWidth="1"/>
    <col min="5892" max="5895" width="3.44140625" style="3"/>
    <col min="5896" max="5896" width="1.44140625" style="3" customWidth="1"/>
    <col min="5897" max="5897" width="3.109375" style="3" customWidth="1"/>
    <col min="5898" max="5898" width="4.77734375" style="3" customWidth="1"/>
    <col min="5899" max="5905" width="3.44140625" style="3"/>
    <col min="5906" max="5906" width="5.44140625" style="3" customWidth="1"/>
    <col min="5907" max="5914" width="4.44140625" style="3" customWidth="1"/>
    <col min="5915" max="5915" width="3.88671875" style="3" customWidth="1"/>
    <col min="5916" max="5917" width="4.6640625" style="3" customWidth="1"/>
    <col min="5918" max="5918" width="4.44140625" style="3" customWidth="1"/>
    <col min="5919" max="5920" width="4.33203125" style="3" customWidth="1"/>
    <col min="5921" max="5921" width="4" style="3" customWidth="1"/>
    <col min="5922" max="5922" width="2.109375" style="3" customWidth="1"/>
    <col min="5923" max="5923" width="1.44140625" style="3" customWidth="1"/>
    <col min="5924" max="6144" width="3.44140625" style="3"/>
    <col min="6145" max="6145" width="1.44140625" style="3" customWidth="1"/>
    <col min="6146" max="6146" width="2.109375" style="3" customWidth="1"/>
    <col min="6147" max="6147" width="3" style="3" customWidth="1"/>
    <col min="6148" max="6151" width="3.44140625" style="3"/>
    <col min="6152" max="6152" width="1.44140625" style="3" customWidth="1"/>
    <col min="6153" max="6153" width="3.109375" style="3" customWidth="1"/>
    <col min="6154" max="6154" width="4.77734375" style="3" customWidth="1"/>
    <col min="6155" max="6161" width="3.44140625" style="3"/>
    <col min="6162" max="6162" width="5.44140625" style="3" customWidth="1"/>
    <col min="6163" max="6170" width="4.44140625" style="3" customWidth="1"/>
    <col min="6171" max="6171" width="3.88671875" style="3" customWidth="1"/>
    <col min="6172" max="6173" width="4.6640625" style="3" customWidth="1"/>
    <col min="6174" max="6174" width="4.44140625" style="3" customWidth="1"/>
    <col min="6175" max="6176" width="4.33203125" style="3" customWidth="1"/>
    <col min="6177" max="6177" width="4" style="3" customWidth="1"/>
    <col min="6178" max="6178" width="2.109375" style="3" customWidth="1"/>
    <col min="6179" max="6179" width="1.44140625" style="3" customWidth="1"/>
    <col min="6180" max="6400" width="3.44140625" style="3"/>
    <col min="6401" max="6401" width="1.44140625" style="3" customWidth="1"/>
    <col min="6402" max="6402" width="2.109375" style="3" customWidth="1"/>
    <col min="6403" max="6403" width="3" style="3" customWidth="1"/>
    <col min="6404" max="6407" width="3.44140625" style="3"/>
    <col min="6408" max="6408" width="1.44140625" style="3" customWidth="1"/>
    <col min="6409" max="6409" width="3.109375" style="3" customWidth="1"/>
    <col min="6410" max="6410" width="4.77734375" style="3" customWidth="1"/>
    <col min="6411" max="6417" width="3.44140625" style="3"/>
    <col min="6418" max="6418" width="5.44140625" style="3" customWidth="1"/>
    <col min="6419" max="6426" width="4.44140625" style="3" customWidth="1"/>
    <col min="6427" max="6427" width="3.88671875" style="3" customWidth="1"/>
    <col min="6428" max="6429" width="4.6640625" style="3" customWidth="1"/>
    <col min="6430" max="6430" width="4.44140625" style="3" customWidth="1"/>
    <col min="6431" max="6432" width="4.33203125" style="3" customWidth="1"/>
    <col min="6433" max="6433" width="4" style="3" customWidth="1"/>
    <col min="6434" max="6434" width="2.109375" style="3" customWidth="1"/>
    <col min="6435" max="6435" width="1.44140625" style="3" customWidth="1"/>
    <col min="6436" max="6656" width="3.44140625" style="3"/>
    <col min="6657" max="6657" width="1.44140625" style="3" customWidth="1"/>
    <col min="6658" max="6658" width="2.109375" style="3" customWidth="1"/>
    <col min="6659" max="6659" width="3" style="3" customWidth="1"/>
    <col min="6660" max="6663" width="3.44140625" style="3"/>
    <col min="6664" max="6664" width="1.44140625" style="3" customWidth="1"/>
    <col min="6665" max="6665" width="3.109375" style="3" customWidth="1"/>
    <col min="6666" max="6666" width="4.77734375" style="3" customWidth="1"/>
    <col min="6667" max="6673" width="3.44140625" style="3"/>
    <col min="6674" max="6674" width="5.44140625" style="3" customWidth="1"/>
    <col min="6675" max="6682" width="4.44140625" style="3" customWidth="1"/>
    <col min="6683" max="6683" width="3.88671875" style="3" customWidth="1"/>
    <col min="6684" max="6685" width="4.6640625" style="3" customWidth="1"/>
    <col min="6686" max="6686" width="4.44140625" style="3" customWidth="1"/>
    <col min="6687" max="6688" width="4.33203125" style="3" customWidth="1"/>
    <col min="6689" max="6689" width="4" style="3" customWidth="1"/>
    <col min="6690" max="6690" width="2.109375" style="3" customWidth="1"/>
    <col min="6691" max="6691" width="1.44140625" style="3" customWidth="1"/>
    <col min="6692" max="6912" width="3.44140625" style="3"/>
    <col min="6913" max="6913" width="1.44140625" style="3" customWidth="1"/>
    <col min="6914" max="6914" width="2.109375" style="3" customWidth="1"/>
    <col min="6915" max="6915" width="3" style="3" customWidth="1"/>
    <col min="6916" max="6919" width="3.44140625" style="3"/>
    <col min="6920" max="6920" width="1.44140625" style="3" customWidth="1"/>
    <col min="6921" max="6921" width="3.109375" style="3" customWidth="1"/>
    <col min="6922" max="6922" width="4.77734375" style="3" customWidth="1"/>
    <col min="6923" max="6929" width="3.44140625" style="3"/>
    <col min="6930" max="6930" width="5.44140625" style="3" customWidth="1"/>
    <col min="6931" max="6938" width="4.44140625" style="3" customWidth="1"/>
    <col min="6939" max="6939" width="3.88671875" style="3" customWidth="1"/>
    <col min="6940" max="6941" width="4.6640625" style="3" customWidth="1"/>
    <col min="6942" max="6942" width="4.44140625" style="3" customWidth="1"/>
    <col min="6943" max="6944" width="4.33203125" style="3" customWidth="1"/>
    <col min="6945" max="6945" width="4" style="3" customWidth="1"/>
    <col min="6946" max="6946" width="2.109375" style="3" customWidth="1"/>
    <col min="6947" max="6947" width="1.44140625" style="3" customWidth="1"/>
    <col min="6948" max="7168" width="3.44140625" style="3"/>
    <col min="7169" max="7169" width="1.44140625" style="3" customWidth="1"/>
    <col min="7170" max="7170" width="2.109375" style="3" customWidth="1"/>
    <col min="7171" max="7171" width="3" style="3" customWidth="1"/>
    <col min="7172" max="7175" width="3.44140625" style="3"/>
    <col min="7176" max="7176" width="1.44140625" style="3" customWidth="1"/>
    <col min="7177" max="7177" width="3.109375" style="3" customWidth="1"/>
    <col min="7178" max="7178" width="4.77734375" style="3" customWidth="1"/>
    <col min="7179" max="7185" width="3.44140625" style="3"/>
    <col min="7186" max="7186" width="5.44140625" style="3" customWidth="1"/>
    <col min="7187" max="7194" width="4.44140625" style="3" customWidth="1"/>
    <col min="7195" max="7195" width="3.88671875" style="3" customWidth="1"/>
    <col min="7196" max="7197" width="4.6640625" style="3" customWidth="1"/>
    <col min="7198" max="7198" width="4.44140625" style="3" customWidth="1"/>
    <col min="7199" max="7200" width="4.33203125" style="3" customWidth="1"/>
    <col min="7201" max="7201" width="4" style="3" customWidth="1"/>
    <col min="7202" max="7202" width="2.109375" style="3" customWidth="1"/>
    <col min="7203" max="7203" width="1.44140625" style="3" customWidth="1"/>
    <col min="7204" max="7424" width="3.44140625" style="3"/>
    <col min="7425" max="7425" width="1.44140625" style="3" customWidth="1"/>
    <col min="7426" max="7426" width="2.109375" style="3" customWidth="1"/>
    <col min="7427" max="7427" width="3" style="3" customWidth="1"/>
    <col min="7428" max="7431" width="3.44140625" style="3"/>
    <col min="7432" max="7432" width="1.44140625" style="3" customWidth="1"/>
    <col min="7433" max="7433" width="3.109375" style="3" customWidth="1"/>
    <col min="7434" max="7434" width="4.77734375" style="3" customWidth="1"/>
    <col min="7435" max="7441" width="3.44140625" style="3"/>
    <col min="7442" max="7442" width="5.44140625" style="3" customWidth="1"/>
    <col min="7443" max="7450" width="4.44140625" style="3" customWidth="1"/>
    <col min="7451" max="7451" width="3.88671875" style="3" customWidth="1"/>
    <col min="7452" max="7453" width="4.6640625" style="3" customWidth="1"/>
    <col min="7454" max="7454" width="4.44140625" style="3" customWidth="1"/>
    <col min="7455" max="7456" width="4.33203125" style="3" customWidth="1"/>
    <col min="7457" max="7457" width="4" style="3" customWidth="1"/>
    <col min="7458" max="7458" width="2.109375" style="3" customWidth="1"/>
    <col min="7459" max="7459" width="1.44140625" style="3" customWidth="1"/>
    <col min="7460" max="7680" width="3.44140625" style="3"/>
    <col min="7681" max="7681" width="1.44140625" style="3" customWidth="1"/>
    <col min="7682" max="7682" width="2.109375" style="3" customWidth="1"/>
    <col min="7683" max="7683" width="3" style="3" customWidth="1"/>
    <col min="7684" max="7687" width="3.44140625" style="3"/>
    <col min="7688" max="7688" width="1.44140625" style="3" customWidth="1"/>
    <col min="7689" max="7689" width="3.109375" style="3" customWidth="1"/>
    <col min="7690" max="7690" width="4.77734375" style="3" customWidth="1"/>
    <col min="7691" max="7697" width="3.44140625" style="3"/>
    <col min="7698" max="7698" width="5.44140625" style="3" customWidth="1"/>
    <col min="7699" max="7706" width="4.44140625" style="3" customWidth="1"/>
    <col min="7707" max="7707" width="3.88671875" style="3" customWidth="1"/>
    <col min="7708" max="7709" width="4.6640625" style="3" customWidth="1"/>
    <col min="7710" max="7710" width="4.44140625" style="3" customWidth="1"/>
    <col min="7711" max="7712" width="4.33203125" style="3" customWidth="1"/>
    <col min="7713" max="7713" width="4" style="3" customWidth="1"/>
    <col min="7714" max="7714" width="2.109375" style="3" customWidth="1"/>
    <col min="7715" max="7715" width="1.44140625" style="3" customWidth="1"/>
    <col min="7716" max="7936" width="3.44140625" style="3"/>
    <col min="7937" max="7937" width="1.44140625" style="3" customWidth="1"/>
    <col min="7938" max="7938" width="2.109375" style="3" customWidth="1"/>
    <col min="7939" max="7939" width="3" style="3" customWidth="1"/>
    <col min="7940" max="7943" width="3.44140625" style="3"/>
    <col min="7944" max="7944" width="1.44140625" style="3" customWidth="1"/>
    <col min="7945" max="7945" width="3.109375" style="3" customWidth="1"/>
    <col min="7946" max="7946" width="4.77734375" style="3" customWidth="1"/>
    <col min="7947" max="7953" width="3.44140625" style="3"/>
    <col min="7954" max="7954" width="5.44140625" style="3" customWidth="1"/>
    <col min="7955" max="7962" width="4.44140625" style="3" customWidth="1"/>
    <col min="7963" max="7963" width="3.88671875" style="3" customWidth="1"/>
    <col min="7964" max="7965" width="4.6640625" style="3" customWidth="1"/>
    <col min="7966" max="7966" width="4.44140625" style="3" customWidth="1"/>
    <col min="7967" max="7968" width="4.33203125" style="3" customWidth="1"/>
    <col min="7969" max="7969" width="4" style="3" customWidth="1"/>
    <col min="7970" max="7970" width="2.109375" style="3" customWidth="1"/>
    <col min="7971" max="7971" width="1.44140625" style="3" customWidth="1"/>
    <col min="7972" max="8192" width="3.44140625" style="3"/>
    <col min="8193" max="8193" width="1.44140625" style="3" customWidth="1"/>
    <col min="8194" max="8194" width="2.109375" style="3" customWidth="1"/>
    <col min="8195" max="8195" width="3" style="3" customWidth="1"/>
    <col min="8196" max="8199" width="3.44140625" style="3"/>
    <col min="8200" max="8200" width="1.44140625" style="3" customWidth="1"/>
    <col min="8201" max="8201" width="3.109375" style="3" customWidth="1"/>
    <col min="8202" max="8202" width="4.77734375" style="3" customWidth="1"/>
    <col min="8203" max="8209" width="3.44140625" style="3"/>
    <col min="8210" max="8210" width="5.44140625" style="3" customWidth="1"/>
    <col min="8211" max="8218" width="4.44140625" style="3" customWidth="1"/>
    <col min="8219" max="8219" width="3.88671875" style="3" customWidth="1"/>
    <col min="8220" max="8221" width="4.6640625" style="3" customWidth="1"/>
    <col min="8222" max="8222" width="4.44140625" style="3" customWidth="1"/>
    <col min="8223" max="8224" width="4.33203125" style="3" customWidth="1"/>
    <col min="8225" max="8225" width="4" style="3" customWidth="1"/>
    <col min="8226" max="8226" width="2.109375" style="3" customWidth="1"/>
    <col min="8227" max="8227" width="1.44140625" style="3" customWidth="1"/>
    <col min="8228" max="8448" width="3.44140625" style="3"/>
    <col min="8449" max="8449" width="1.44140625" style="3" customWidth="1"/>
    <col min="8450" max="8450" width="2.109375" style="3" customWidth="1"/>
    <col min="8451" max="8451" width="3" style="3" customWidth="1"/>
    <col min="8452" max="8455" width="3.44140625" style="3"/>
    <col min="8456" max="8456" width="1.44140625" style="3" customWidth="1"/>
    <col min="8457" max="8457" width="3.109375" style="3" customWidth="1"/>
    <col min="8458" max="8458" width="4.77734375" style="3" customWidth="1"/>
    <col min="8459" max="8465" width="3.44140625" style="3"/>
    <col min="8466" max="8466" width="5.44140625" style="3" customWidth="1"/>
    <col min="8467" max="8474" width="4.44140625" style="3" customWidth="1"/>
    <col min="8475" max="8475" width="3.88671875" style="3" customWidth="1"/>
    <col min="8476" max="8477" width="4.6640625" style="3" customWidth="1"/>
    <col min="8478" max="8478" width="4.44140625" style="3" customWidth="1"/>
    <col min="8479" max="8480" width="4.33203125" style="3" customWidth="1"/>
    <col min="8481" max="8481" width="4" style="3" customWidth="1"/>
    <col min="8482" max="8482" width="2.109375" style="3" customWidth="1"/>
    <col min="8483" max="8483" width="1.44140625" style="3" customWidth="1"/>
    <col min="8484" max="8704" width="3.44140625" style="3"/>
    <col min="8705" max="8705" width="1.44140625" style="3" customWidth="1"/>
    <col min="8706" max="8706" width="2.109375" style="3" customWidth="1"/>
    <col min="8707" max="8707" width="3" style="3" customWidth="1"/>
    <col min="8708" max="8711" width="3.44140625" style="3"/>
    <col min="8712" max="8712" width="1.44140625" style="3" customWidth="1"/>
    <col min="8713" max="8713" width="3.109375" style="3" customWidth="1"/>
    <col min="8714" max="8714" width="4.77734375" style="3" customWidth="1"/>
    <col min="8715" max="8721" width="3.44140625" style="3"/>
    <col min="8722" max="8722" width="5.44140625" style="3" customWidth="1"/>
    <col min="8723" max="8730" width="4.44140625" style="3" customWidth="1"/>
    <col min="8731" max="8731" width="3.88671875" style="3" customWidth="1"/>
    <col min="8732" max="8733" width="4.6640625" style="3" customWidth="1"/>
    <col min="8734" max="8734" width="4.44140625" style="3" customWidth="1"/>
    <col min="8735" max="8736" width="4.33203125" style="3" customWidth="1"/>
    <col min="8737" max="8737" width="4" style="3" customWidth="1"/>
    <col min="8738" max="8738" width="2.109375" style="3" customWidth="1"/>
    <col min="8739" max="8739" width="1.44140625" style="3" customWidth="1"/>
    <col min="8740" max="8960" width="3.44140625" style="3"/>
    <col min="8961" max="8961" width="1.44140625" style="3" customWidth="1"/>
    <col min="8962" max="8962" width="2.109375" style="3" customWidth="1"/>
    <col min="8963" max="8963" width="3" style="3" customWidth="1"/>
    <col min="8964" max="8967" width="3.44140625" style="3"/>
    <col min="8968" max="8968" width="1.44140625" style="3" customWidth="1"/>
    <col min="8969" max="8969" width="3.109375" style="3" customWidth="1"/>
    <col min="8970" max="8970" width="4.77734375" style="3" customWidth="1"/>
    <col min="8971" max="8977" width="3.44140625" style="3"/>
    <col min="8978" max="8978" width="5.44140625" style="3" customWidth="1"/>
    <col min="8979" max="8986" width="4.44140625" style="3" customWidth="1"/>
    <col min="8987" max="8987" width="3.88671875" style="3" customWidth="1"/>
    <col min="8988" max="8989" width="4.6640625" style="3" customWidth="1"/>
    <col min="8990" max="8990" width="4.44140625" style="3" customWidth="1"/>
    <col min="8991" max="8992" width="4.33203125" style="3" customWidth="1"/>
    <col min="8993" max="8993" width="4" style="3" customWidth="1"/>
    <col min="8994" max="8994" width="2.109375" style="3" customWidth="1"/>
    <col min="8995" max="8995" width="1.44140625" style="3" customWidth="1"/>
    <col min="8996" max="9216" width="3.44140625" style="3"/>
    <col min="9217" max="9217" width="1.44140625" style="3" customWidth="1"/>
    <col min="9218" max="9218" width="2.109375" style="3" customWidth="1"/>
    <col min="9219" max="9219" width="3" style="3" customWidth="1"/>
    <col min="9220" max="9223" width="3.44140625" style="3"/>
    <col min="9224" max="9224" width="1.44140625" style="3" customWidth="1"/>
    <col min="9225" max="9225" width="3.109375" style="3" customWidth="1"/>
    <col min="9226" max="9226" width="4.77734375" style="3" customWidth="1"/>
    <col min="9227" max="9233" width="3.44140625" style="3"/>
    <col min="9234" max="9234" width="5.44140625" style="3" customWidth="1"/>
    <col min="9235" max="9242" width="4.44140625" style="3" customWidth="1"/>
    <col min="9243" max="9243" width="3.88671875" style="3" customWidth="1"/>
    <col min="9244" max="9245" width="4.6640625" style="3" customWidth="1"/>
    <col min="9246" max="9246" width="4.44140625" style="3" customWidth="1"/>
    <col min="9247" max="9248" width="4.33203125" style="3" customWidth="1"/>
    <col min="9249" max="9249" width="4" style="3" customWidth="1"/>
    <col min="9250" max="9250" width="2.109375" style="3" customWidth="1"/>
    <col min="9251" max="9251" width="1.44140625" style="3" customWidth="1"/>
    <col min="9252" max="9472" width="3.44140625" style="3"/>
    <col min="9473" max="9473" width="1.44140625" style="3" customWidth="1"/>
    <col min="9474" max="9474" width="2.109375" style="3" customWidth="1"/>
    <col min="9475" max="9475" width="3" style="3" customWidth="1"/>
    <col min="9476" max="9479" width="3.44140625" style="3"/>
    <col min="9480" max="9480" width="1.44140625" style="3" customWidth="1"/>
    <col min="9481" max="9481" width="3.109375" style="3" customWidth="1"/>
    <col min="9482" max="9482" width="4.77734375" style="3" customWidth="1"/>
    <col min="9483" max="9489" width="3.44140625" style="3"/>
    <col min="9490" max="9490" width="5.44140625" style="3" customWidth="1"/>
    <col min="9491" max="9498" width="4.44140625" style="3" customWidth="1"/>
    <col min="9499" max="9499" width="3.88671875" style="3" customWidth="1"/>
    <col min="9500" max="9501" width="4.6640625" style="3" customWidth="1"/>
    <col min="9502" max="9502" width="4.44140625" style="3" customWidth="1"/>
    <col min="9503" max="9504" width="4.33203125" style="3" customWidth="1"/>
    <col min="9505" max="9505" width="4" style="3" customWidth="1"/>
    <col min="9506" max="9506" width="2.109375" style="3" customWidth="1"/>
    <col min="9507" max="9507" width="1.44140625" style="3" customWidth="1"/>
    <col min="9508" max="9728" width="3.44140625" style="3"/>
    <col min="9729" max="9729" width="1.44140625" style="3" customWidth="1"/>
    <col min="9730" max="9730" width="2.109375" style="3" customWidth="1"/>
    <col min="9731" max="9731" width="3" style="3" customWidth="1"/>
    <col min="9732" max="9735" width="3.44140625" style="3"/>
    <col min="9736" max="9736" width="1.44140625" style="3" customWidth="1"/>
    <col min="9737" max="9737" width="3.109375" style="3" customWidth="1"/>
    <col min="9738" max="9738" width="4.77734375" style="3" customWidth="1"/>
    <col min="9739" max="9745" width="3.44140625" style="3"/>
    <col min="9746" max="9746" width="5.44140625" style="3" customWidth="1"/>
    <col min="9747" max="9754" width="4.44140625" style="3" customWidth="1"/>
    <col min="9755" max="9755" width="3.88671875" style="3" customWidth="1"/>
    <col min="9756" max="9757" width="4.6640625" style="3" customWidth="1"/>
    <col min="9758" max="9758" width="4.44140625" style="3" customWidth="1"/>
    <col min="9759" max="9760" width="4.33203125" style="3" customWidth="1"/>
    <col min="9761" max="9761" width="4" style="3" customWidth="1"/>
    <col min="9762" max="9762" width="2.109375" style="3" customWidth="1"/>
    <col min="9763" max="9763" width="1.44140625" style="3" customWidth="1"/>
    <col min="9764" max="9984" width="3.44140625" style="3"/>
    <col min="9985" max="9985" width="1.44140625" style="3" customWidth="1"/>
    <col min="9986" max="9986" width="2.109375" style="3" customWidth="1"/>
    <col min="9987" max="9987" width="3" style="3" customWidth="1"/>
    <col min="9988" max="9991" width="3.44140625" style="3"/>
    <col min="9992" max="9992" width="1.44140625" style="3" customWidth="1"/>
    <col min="9993" max="9993" width="3.109375" style="3" customWidth="1"/>
    <col min="9994" max="9994" width="4.77734375" style="3" customWidth="1"/>
    <col min="9995" max="10001" width="3.44140625" style="3"/>
    <col min="10002" max="10002" width="5.44140625" style="3" customWidth="1"/>
    <col min="10003" max="10010" width="4.44140625" style="3" customWidth="1"/>
    <col min="10011" max="10011" width="3.88671875" style="3" customWidth="1"/>
    <col min="10012" max="10013" width="4.6640625" style="3" customWidth="1"/>
    <col min="10014" max="10014" width="4.44140625" style="3" customWidth="1"/>
    <col min="10015" max="10016" width="4.33203125" style="3" customWidth="1"/>
    <col min="10017" max="10017" width="4" style="3" customWidth="1"/>
    <col min="10018" max="10018" width="2.109375" style="3" customWidth="1"/>
    <col min="10019" max="10019" width="1.44140625" style="3" customWidth="1"/>
    <col min="10020" max="10240" width="3.44140625" style="3"/>
    <col min="10241" max="10241" width="1.44140625" style="3" customWidth="1"/>
    <col min="10242" max="10242" width="2.109375" style="3" customWidth="1"/>
    <col min="10243" max="10243" width="3" style="3" customWidth="1"/>
    <col min="10244" max="10247" width="3.44140625" style="3"/>
    <col min="10248" max="10248" width="1.44140625" style="3" customWidth="1"/>
    <col min="10249" max="10249" width="3.109375" style="3" customWidth="1"/>
    <col min="10250" max="10250" width="4.77734375" style="3" customWidth="1"/>
    <col min="10251" max="10257" width="3.44140625" style="3"/>
    <col min="10258" max="10258" width="5.44140625" style="3" customWidth="1"/>
    <col min="10259" max="10266" width="4.44140625" style="3" customWidth="1"/>
    <col min="10267" max="10267" width="3.88671875" style="3" customWidth="1"/>
    <col min="10268" max="10269" width="4.6640625" style="3" customWidth="1"/>
    <col min="10270" max="10270" width="4.44140625" style="3" customWidth="1"/>
    <col min="10271" max="10272" width="4.33203125" style="3" customWidth="1"/>
    <col min="10273" max="10273" width="4" style="3" customWidth="1"/>
    <col min="10274" max="10274" width="2.109375" style="3" customWidth="1"/>
    <col min="10275" max="10275" width="1.44140625" style="3" customWidth="1"/>
    <col min="10276" max="10496" width="3.44140625" style="3"/>
    <col min="10497" max="10497" width="1.44140625" style="3" customWidth="1"/>
    <col min="10498" max="10498" width="2.109375" style="3" customWidth="1"/>
    <col min="10499" max="10499" width="3" style="3" customWidth="1"/>
    <col min="10500" max="10503" width="3.44140625" style="3"/>
    <col min="10504" max="10504" width="1.44140625" style="3" customWidth="1"/>
    <col min="10505" max="10505" width="3.109375" style="3" customWidth="1"/>
    <col min="10506" max="10506" width="4.77734375" style="3" customWidth="1"/>
    <col min="10507" max="10513" width="3.44140625" style="3"/>
    <col min="10514" max="10514" width="5.44140625" style="3" customWidth="1"/>
    <col min="10515" max="10522" width="4.44140625" style="3" customWidth="1"/>
    <col min="10523" max="10523" width="3.88671875" style="3" customWidth="1"/>
    <col min="10524" max="10525" width="4.6640625" style="3" customWidth="1"/>
    <col min="10526" max="10526" width="4.44140625" style="3" customWidth="1"/>
    <col min="10527" max="10528" width="4.33203125" style="3" customWidth="1"/>
    <col min="10529" max="10529" width="4" style="3" customWidth="1"/>
    <col min="10530" max="10530" width="2.109375" style="3" customWidth="1"/>
    <col min="10531" max="10531" width="1.44140625" style="3" customWidth="1"/>
    <col min="10532" max="10752" width="3.44140625" style="3"/>
    <col min="10753" max="10753" width="1.44140625" style="3" customWidth="1"/>
    <col min="10754" max="10754" width="2.109375" style="3" customWidth="1"/>
    <col min="10755" max="10755" width="3" style="3" customWidth="1"/>
    <col min="10756" max="10759" width="3.44140625" style="3"/>
    <col min="10760" max="10760" width="1.44140625" style="3" customWidth="1"/>
    <col min="10761" max="10761" width="3.109375" style="3" customWidth="1"/>
    <col min="10762" max="10762" width="4.77734375" style="3" customWidth="1"/>
    <col min="10763" max="10769" width="3.44140625" style="3"/>
    <col min="10770" max="10770" width="5.44140625" style="3" customWidth="1"/>
    <col min="10771" max="10778" width="4.44140625" style="3" customWidth="1"/>
    <col min="10779" max="10779" width="3.88671875" style="3" customWidth="1"/>
    <col min="10780" max="10781" width="4.6640625" style="3" customWidth="1"/>
    <col min="10782" max="10782" width="4.44140625" style="3" customWidth="1"/>
    <col min="10783" max="10784" width="4.33203125" style="3" customWidth="1"/>
    <col min="10785" max="10785" width="4" style="3" customWidth="1"/>
    <col min="10786" max="10786" width="2.109375" style="3" customWidth="1"/>
    <col min="10787" max="10787" width="1.44140625" style="3" customWidth="1"/>
    <col min="10788" max="11008" width="3.44140625" style="3"/>
    <col min="11009" max="11009" width="1.44140625" style="3" customWidth="1"/>
    <col min="11010" max="11010" width="2.109375" style="3" customWidth="1"/>
    <col min="11011" max="11011" width="3" style="3" customWidth="1"/>
    <col min="11012" max="11015" width="3.44140625" style="3"/>
    <col min="11016" max="11016" width="1.44140625" style="3" customWidth="1"/>
    <col min="11017" max="11017" width="3.109375" style="3" customWidth="1"/>
    <col min="11018" max="11018" width="4.77734375" style="3" customWidth="1"/>
    <col min="11019" max="11025" width="3.44140625" style="3"/>
    <col min="11026" max="11026" width="5.44140625" style="3" customWidth="1"/>
    <col min="11027" max="11034" width="4.44140625" style="3" customWidth="1"/>
    <col min="11035" max="11035" width="3.88671875" style="3" customWidth="1"/>
    <col min="11036" max="11037" width="4.6640625" style="3" customWidth="1"/>
    <col min="11038" max="11038" width="4.44140625" style="3" customWidth="1"/>
    <col min="11039" max="11040" width="4.33203125" style="3" customWidth="1"/>
    <col min="11041" max="11041" width="4" style="3" customWidth="1"/>
    <col min="11042" max="11042" width="2.109375" style="3" customWidth="1"/>
    <col min="11043" max="11043" width="1.44140625" style="3" customWidth="1"/>
    <col min="11044" max="11264" width="3.44140625" style="3"/>
    <col min="11265" max="11265" width="1.44140625" style="3" customWidth="1"/>
    <col min="11266" max="11266" width="2.109375" style="3" customWidth="1"/>
    <col min="11267" max="11267" width="3" style="3" customWidth="1"/>
    <col min="11268" max="11271" width="3.44140625" style="3"/>
    <col min="11272" max="11272" width="1.44140625" style="3" customWidth="1"/>
    <col min="11273" max="11273" width="3.109375" style="3" customWidth="1"/>
    <col min="11274" max="11274" width="4.77734375" style="3" customWidth="1"/>
    <col min="11275" max="11281" width="3.44140625" style="3"/>
    <col min="11282" max="11282" width="5.44140625" style="3" customWidth="1"/>
    <col min="11283" max="11290" width="4.44140625" style="3" customWidth="1"/>
    <col min="11291" max="11291" width="3.88671875" style="3" customWidth="1"/>
    <col min="11292" max="11293" width="4.6640625" style="3" customWidth="1"/>
    <col min="11294" max="11294" width="4.44140625" style="3" customWidth="1"/>
    <col min="11295" max="11296" width="4.33203125" style="3" customWidth="1"/>
    <col min="11297" max="11297" width="4" style="3" customWidth="1"/>
    <col min="11298" max="11298" width="2.109375" style="3" customWidth="1"/>
    <col min="11299" max="11299" width="1.44140625" style="3" customWidth="1"/>
    <col min="11300" max="11520" width="3.44140625" style="3"/>
    <col min="11521" max="11521" width="1.44140625" style="3" customWidth="1"/>
    <col min="11522" max="11522" width="2.109375" style="3" customWidth="1"/>
    <col min="11523" max="11523" width="3" style="3" customWidth="1"/>
    <col min="11524" max="11527" width="3.44140625" style="3"/>
    <col min="11528" max="11528" width="1.44140625" style="3" customWidth="1"/>
    <col min="11529" max="11529" width="3.109375" style="3" customWidth="1"/>
    <col min="11530" max="11530" width="4.77734375" style="3" customWidth="1"/>
    <col min="11531" max="11537" width="3.44140625" style="3"/>
    <col min="11538" max="11538" width="5.44140625" style="3" customWidth="1"/>
    <col min="11539" max="11546" width="4.44140625" style="3" customWidth="1"/>
    <col min="11547" max="11547" width="3.88671875" style="3" customWidth="1"/>
    <col min="11548" max="11549" width="4.6640625" style="3" customWidth="1"/>
    <col min="11550" max="11550" width="4.44140625" style="3" customWidth="1"/>
    <col min="11551" max="11552" width="4.33203125" style="3" customWidth="1"/>
    <col min="11553" max="11553" width="4" style="3" customWidth="1"/>
    <col min="11554" max="11554" width="2.109375" style="3" customWidth="1"/>
    <col min="11555" max="11555" width="1.44140625" style="3" customWidth="1"/>
    <col min="11556" max="11776" width="3.44140625" style="3"/>
    <col min="11777" max="11777" width="1.44140625" style="3" customWidth="1"/>
    <col min="11778" max="11778" width="2.109375" style="3" customWidth="1"/>
    <col min="11779" max="11779" width="3" style="3" customWidth="1"/>
    <col min="11780" max="11783" width="3.44140625" style="3"/>
    <col min="11784" max="11784" width="1.44140625" style="3" customWidth="1"/>
    <col min="11785" max="11785" width="3.109375" style="3" customWidth="1"/>
    <col min="11786" max="11786" width="4.77734375" style="3" customWidth="1"/>
    <col min="11787" max="11793" width="3.44140625" style="3"/>
    <col min="11794" max="11794" width="5.44140625" style="3" customWidth="1"/>
    <col min="11795" max="11802" width="4.44140625" style="3" customWidth="1"/>
    <col min="11803" max="11803" width="3.88671875" style="3" customWidth="1"/>
    <col min="11804" max="11805" width="4.6640625" style="3" customWidth="1"/>
    <col min="11806" max="11806" width="4.44140625" style="3" customWidth="1"/>
    <col min="11807" max="11808" width="4.33203125" style="3" customWidth="1"/>
    <col min="11809" max="11809" width="4" style="3" customWidth="1"/>
    <col min="11810" max="11810" width="2.109375" style="3" customWidth="1"/>
    <col min="11811" max="11811" width="1.44140625" style="3" customWidth="1"/>
    <col min="11812" max="12032" width="3.44140625" style="3"/>
    <col min="12033" max="12033" width="1.44140625" style="3" customWidth="1"/>
    <col min="12034" max="12034" width="2.109375" style="3" customWidth="1"/>
    <col min="12035" max="12035" width="3" style="3" customWidth="1"/>
    <col min="12036" max="12039" width="3.44140625" style="3"/>
    <col min="12040" max="12040" width="1.44140625" style="3" customWidth="1"/>
    <col min="12041" max="12041" width="3.109375" style="3" customWidth="1"/>
    <col min="12042" max="12042" width="4.77734375" style="3" customWidth="1"/>
    <col min="12043" max="12049" width="3.44140625" style="3"/>
    <col min="12050" max="12050" width="5.44140625" style="3" customWidth="1"/>
    <col min="12051" max="12058" width="4.44140625" style="3" customWidth="1"/>
    <col min="12059" max="12059" width="3.88671875" style="3" customWidth="1"/>
    <col min="12060" max="12061" width="4.6640625" style="3" customWidth="1"/>
    <col min="12062" max="12062" width="4.44140625" style="3" customWidth="1"/>
    <col min="12063" max="12064" width="4.33203125" style="3" customWidth="1"/>
    <col min="12065" max="12065" width="4" style="3" customWidth="1"/>
    <col min="12066" max="12066" width="2.109375" style="3" customWidth="1"/>
    <col min="12067" max="12067" width="1.44140625" style="3" customWidth="1"/>
    <col min="12068" max="12288" width="3.44140625" style="3"/>
    <col min="12289" max="12289" width="1.44140625" style="3" customWidth="1"/>
    <col min="12290" max="12290" width="2.109375" style="3" customWidth="1"/>
    <col min="12291" max="12291" width="3" style="3" customWidth="1"/>
    <col min="12292" max="12295" width="3.44140625" style="3"/>
    <col min="12296" max="12296" width="1.44140625" style="3" customWidth="1"/>
    <col min="12297" max="12297" width="3.109375" style="3" customWidth="1"/>
    <col min="12298" max="12298" width="4.77734375" style="3" customWidth="1"/>
    <col min="12299" max="12305" width="3.44140625" style="3"/>
    <col min="12306" max="12306" width="5.44140625" style="3" customWidth="1"/>
    <col min="12307" max="12314" width="4.44140625" style="3" customWidth="1"/>
    <col min="12315" max="12315" width="3.88671875" style="3" customWidth="1"/>
    <col min="12316" max="12317" width="4.6640625" style="3" customWidth="1"/>
    <col min="12318" max="12318" width="4.44140625" style="3" customWidth="1"/>
    <col min="12319" max="12320" width="4.33203125" style="3" customWidth="1"/>
    <col min="12321" max="12321" width="4" style="3" customWidth="1"/>
    <col min="12322" max="12322" width="2.109375" style="3" customWidth="1"/>
    <col min="12323" max="12323" width="1.44140625" style="3" customWidth="1"/>
    <col min="12324" max="12544" width="3.44140625" style="3"/>
    <col min="12545" max="12545" width="1.44140625" style="3" customWidth="1"/>
    <col min="12546" max="12546" width="2.109375" style="3" customWidth="1"/>
    <col min="12547" max="12547" width="3" style="3" customWidth="1"/>
    <col min="12548" max="12551" width="3.44140625" style="3"/>
    <col min="12552" max="12552" width="1.44140625" style="3" customWidth="1"/>
    <col min="12553" max="12553" width="3.109375" style="3" customWidth="1"/>
    <col min="12554" max="12554" width="4.77734375" style="3" customWidth="1"/>
    <col min="12555" max="12561" width="3.44140625" style="3"/>
    <col min="12562" max="12562" width="5.44140625" style="3" customWidth="1"/>
    <col min="12563" max="12570" width="4.44140625" style="3" customWidth="1"/>
    <col min="12571" max="12571" width="3.88671875" style="3" customWidth="1"/>
    <col min="12572" max="12573" width="4.6640625" style="3" customWidth="1"/>
    <col min="12574" max="12574" width="4.44140625" style="3" customWidth="1"/>
    <col min="12575" max="12576" width="4.33203125" style="3" customWidth="1"/>
    <col min="12577" max="12577" width="4" style="3" customWidth="1"/>
    <col min="12578" max="12578" width="2.109375" style="3" customWidth="1"/>
    <col min="12579" max="12579" width="1.44140625" style="3" customWidth="1"/>
    <col min="12580" max="12800" width="3.44140625" style="3"/>
    <col min="12801" max="12801" width="1.44140625" style="3" customWidth="1"/>
    <col min="12802" max="12802" width="2.109375" style="3" customWidth="1"/>
    <col min="12803" max="12803" width="3" style="3" customWidth="1"/>
    <col min="12804" max="12807" width="3.44140625" style="3"/>
    <col min="12808" max="12808" width="1.44140625" style="3" customWidth="1"/>
    <col min="12809" max="12809" width="3.109375" style="3" customWidth="1"/>
    <col min="12810" max="12810" width="4.77734375" style="3" customWidth="1"/>
    <col min="12811" max="12817" width="3.44140625" style="3"/>
    <col min="12818" max="12818" width="5.44140625" style="3" customWidth="1"/>
    <col min="12819" max="12826" width="4.44140625" style="3" customWidth="1"/>
    <col min="12827" max="12827" width="3.88671875" style="3" customWidth="1"/>
    <col min="12828" max="12829" width="4.6640625" style="3" customWidth="1"/>
    <col min="12830" max="12830" width="4.44140625" style="3" customWidth="1"/>
    <col min="12831" max="12832" width="4.33203125" style="3" customWidth="1"/>
    <col min="12833" max="12833" width="4" style="3" customWidth="1"/>
    <col min="12834" max="12834" width="2.109375" style="3" customWidth="1"/>
    <col min="12835" max="12835" width="1.44140625" style="3" customWidth="1"/>
    <col min="12836" max="13056" width="3.44140625" style="3"/>
    <col min="13057" max="13057" width="1.44140625" style="3" customWidth="1"/>
    <col min="13058" max="13058" width="2.109375" style="3" customWidth="1"/>
    <col min="13059" max="13059" width="3" style="3" customWidth="1"/>
    <col min="13060" max="13063" width="3.44140625" style="3"/>
    <col min="13064" max="13064" width="1.44140625" style="3" customWidth="1"/>
    <col min="13065" max="13065" width="3.109375" style="3" customWidth="1"/>
    <col min="13066" max="13066" width="4.77734375" style="3" customWidth="1"/>
    <col min="13067" max="13073" width="3.44140625" style="3"/>
    <col min="13074" max="13074" width="5.44140625" style="3" customWidth="1"/>
    <col min="13075" max="13082" width="4.44140625" style="3" customWidth="1"/>
    <col min="13083" max="13083" width="3.88671875" style="3" customWidth="1"/>
    <col min="13084" max="13085" width="4.6640625" style="3" customWidth="1"/>
    <col min="13086" max="13086" width="4.44140625" style="3" customWidth="1"/>
    <col min="13087" max="13088" width="4.33203125" style="3" customWidth="1"/>
    <col min="13089" max="13089" width="4" style="3" customWidth="1"/>
    <col min="13090" max="13090" width="2.109375" style="3" customWidth="1"/>
    <col min="13091" max="13091" width="1.44140625" style="3" customWidth="1"/>
    <col min="13092" max="13312" width="3.44140625" style="3"/>
    <col min="13313" max="13313" width="1.44140625" style="3" customWidth="1"/>
    <col min="13314" max="13314" width="2.109375" style="3" customWidth="1"/>
    <col min="13315" max="13315" width="3" style="3" customWidth="1"/>
    <col min="13316" max="13319" width="3.44140625" style="3"/>
    <col min="13320" max="13320" width="1.44140625" style="3" customWidth="1"/>
    <col min="13321" max="13321" width="3.109375" style="3" customWidth="1"/>
    <col min="13322" max="13322" width="4.77734375" style="3" customWidth="1"/>
    <col min="13323" max="13329" width="3.44140625" style="3"/>
    <col min="13330" max="13330" width="5.44140625" style="3" customWidth="1"/>
    <col min="13331" max="13338" width="4.44140625" style="3" customWidth="1"/>
    <col min="13339" max="13339" width="3.88671875" style="3" customWidth="1"/>
    <col min="13340" max="13341" width="4.6640625" style="3" customWidth="1"/>
    <col min="13342" max="13342" width="4.44140625" style="3" customWidth="1"/>
    <col min="13343" max="13344" width="4.33203125" style="3" customWidth="1"/>
    <col min="13345" max="13345" width="4" style="3" customWidth="1"/>
    <col min="13346" max="13346" width="2.109375" style="3" customWidth="1"/>
    <col min="13347" max="13347" width="1.44140625" style="3" customWidth="1"/>
    <col min="13348" max="13568" width="3.44140625" style="3"/>
    <col min="13569" max="13569" width="1.44140625" style="3" customWidth="1"/>
    <col min="13570" max="13570" width="2.109375" style="3" customWidth="1"/>
    <col min="13571" max="13571" width="3" style="3" customWidth="1"/>
    <col min="13572" max="13575" width="3.44140625" style="3"/>
    <col min="13576" max="13576" width="1.44140625" style="3" customWidth="1"/>
    <col min="13577" max="13577" width="3.109375" style="3" customWidth="1"/>
    <col min="13578" max="13578" width="4.77734375" style="3" customWidth="1"/>
    <col min="13579" max="13585" width="3.44140625" style="3"/>
    <col min="13586" max="13586" width="5.44140625" style="3" customWidth="1"/>
    <col min="13587" max="13594" width="4.44140625" style="3" customWidth="1"/>
    <col min="13595" max="13595" width="3.88671875" style="3" customWidth="1"/>
    <col min="13596" max="13597" width="4.6640625" style="3" customWidth="1"/>
    <col min="13598" max="13598" width="4.44140625" style="3" customWidth="1"/>
    <col min="13599" max="13600" width="4.33203125" style="3" customWidth="1"/>
    <col min="13601" max="13601" width="4" style="3" customWidth="1"/>
    <col min="13602" max="13602" width="2.109375" style="3" customWidth="1"/>
    <col min="13603" max="13603" width="1.44140625" style="3" customWidth="1"/>
    <col min="13604" max="13824" width="3.44140625" style="3"/>
    <col min="13825" max="13825" width="1.44140625" style="3" customWidth="1"/>
    <col min="13826" max="13826" width="2.109375" style="3" customWidth="1"/>
    <col min="13827" max="13827" width="3" style="3" customWidth="1"/>
    <col min="13828" max="13831" width="3.44140625" style="3"/>
    <col min="13832" max="13832" width="1.44140625" style="3" customWidth="1"/>
    <col min="13833" max="13833" width="3.109375" style="3" customWidth="1"/>
    <col min="13834" max="13834" width="4.77734375" style="3" customWidth="1"/>
    <col min="13835" max="13841" width="3.44140625" style="3"/>
    <col min="13842" max="13842" width="5.44140625" style="3" customWidth="1"/>
    <col min="13843" max="13850" width="4.44140625" style="3" customWidth="1"/>
    <col min="13851" max="13851" width="3.88671875" style="3" customWidth="1"/>
    <col min="13852" max="13853" width="4.6640625" style="3" customWidth="1"/>
    <col min="13854" max="13854" width="4.44140625" style="3" customWidth="1"/>
    <col min="13855" max="13856" width="4.33203125" style="3" customWidth="1"/>
    <col min="13857" max="13857" width="4" style="3" customWidth="1"/>
    <col min="13858" max="13858" width="2.109375" style="3" customWidth="1"/>
    <col min="13859" max="13859" width="1.44140625" style="3" customWidth="1"/>
    <col min="13860" max="14080" width="3.44140625" style="3"/>
    <col min="14081" max="14081" width="1.44140625" style="3" customWidth="1"/>
    <col min="14082" max="14082" width="2.109375" style="3" customWidth="1"/>
    <col min="14083" max="14083" width="3" style="3" customWidth="1"/>
    <col min="14084" max="14087" width="3.44140625" style="3"/>
    <col min="14088" max="14088" width="1.44140625" style="3" customWidth="1"/>
    <col min="14089" max="14089" width="3.109375" style="3" customWidth="1"/>
    <col min="14090" max="14090" width="4.77734375" style="3" customWidth="1"/>
    <col min="14091" max="14097" width="3.44140625" style="3"/>
    <col min="14098" max="14098" width="5.44140625" style="3" customWidth="1"/>
    <col min="14099" max="14106" width="4.44140625" style="3" customWidth="1"/>
    <col min="14107" max="14107" width="3.88671875" style="3" customWidth="1"/>
    <col min="14108" max="14109" width="4.6640625" style="3" customWidth="1"/>
    <col min="14110" max="14110" width="4.44140625" style="3" customWidth="1"/>
    <col min="14111" max="14112" width="4.33203125" style="3" customWidth="1"/>
    <col min="14113" max="14113" width="4" style="3" customWidth="1"/>
    <col min="14114" max="14114" width="2.109375" style="3" customWidth="1"/>
    <col min="14115" max="14115" width="1.44140625" style="3" customWidth="1"/>
    <col min="14116" max="14336" width="3.44140625" style="3"/>
    <col min="14337" max="14337" width="1.44140625" style="3" customWidth="1"/>
    <col min="14338" max="14338" width="2.109375" style="3" customWidth="1"/>
    <col min="14339" max="14339" width="3" style="3" customWidth="1"/>
    <col min="14340" max="14343" width="3.44140625" style="3"/>
    <col min="14344" max="14344" width="1.44140625" style="3" customWidth="1"/>
    <col min="14345" max="14345" width="3.109375" style="3" customWidth="1"/>
    <col min="14346" max="14346" width="4.77734375" style="3" customWidth="1"/>
    <col min="14347" max="14353" width="3.44140625" style="3"/>
    <col min="14354" max="14354" width="5.44140625" style="3" customWidth="1"/>
    <col min="14355" max="14362" width="4.44140625" style="3" customWidth="1"/>
    <col min="14363" max="14363" width="3.88671875" style="3" customWidth="1"/>
    <col min="14364" max="14365" width="4.6640625" style="3" customWidth="1"/>
    <col min="14366" max="14366" width="4.44140625" style="3" customWidth="1"/>
    <col min="14367" max="14368" width="4.33203125" style="3" customWidth="1"/>
    <col min="14369" max="14369" width="4" style="3" customWidth="1"/>
    <col min="14370" max="14370" width="2.109375" style="3" customWidth="1"/>
    <col min="14371" max="14371" width="1.44140625" style="3" customWidth="1"/>
    <col min="14372" max="14592" width="3.44140625" style="3"/>
    <col min="14593" max="14593" width="1.44140625" style="3" customWidth="1"/>
    <col min="14594" max="14594" width="2.109375" style="3" customWidth="1"/>
    <col min="14595" max="14595" width="3" style="3" customWidth="1"/>
    <col min="14596" max="14599" width="3.44140625" style="3"/>
    <col min="14600" max="14600" width="1.44140625" style="3" customWidth="1"/>
    <col min="14601" max="14601" width="3.109375" style="3" customWidth="1"/>
    <col min="14602" max="14602" width="4.77734375" style="3" customWidth="1"/>
    <col min="14603" max="14609" width="3.44140625" style="3"/>
    <col min="14610" max="14610" width="5.44140625" style="3" customWidth="1"/>
    <col min="14611" max="14618" width="4.44140625" style="3" customWidth="1"/>
    <col min="14619" max="14619" width="3.88671875" style="3" customWidth="1"/>
    <col min="14620" max="14621" width="4.6640625" style="3" customWidth="1"/>
    <col min="14622" max="14622" width="4.44140625" style="3" customWidth="1"/>
    <col min="14623" max="14624" width="4.33203125" style="3" customWidth="1"/>
    <col min="14625" max="14625" width="4" style="3" customWidth="1"/>
    <col min="14626" max="14626" width="2.109375" style="3" customWidth="1"/>
    <col min="14627" max="14627" width="1.44140625" style="3" customWidth="1"/>
    <col min="14628" max="14848" width="3.44140625" style="3"/>
    <col min="14849" max="14849" width="1.44140625" style="3" customWidth="1"/>
    <col min="14850" max="14850" width="2.109375" style="3" customWidth="1"/>
    <col min="14851" max="14851" width="3" style="3" customWidth="1"/>
    <col min="14852" max="14855" width="3.44140625" style="3"/>
    <col min="14856" max="14856" width="1.44140625" style="3" customWidth="1"/>
    <col min="14857" max="14857" width="3.109375" style="3" customWidth="1"/>
    <col min="14858" max="14858" width="4.77734375" style="3" customWidth="1"/>
    <col min="14859" max="14865" width="3.44140625" style="3"/>
    <col min="14866" max="14866" width="5.44140625" style="3" customWidth="1"/>
    <col min="14867" max="14874" width="4.44140625" style="3" customWidth="1"/>
    <col min="14875" max="14875" width="3.88671875" style="3" customWidth="1"/>
    <col min="14876" max="14877" width="4.6640625" style="3" customWidth="1"/>
    <col min="14878" max="14878" width="4.44140625" style="3" customWidth="1"/>
    <col min="14879" max="14880" width="4.33203125" style="3" customWidth="1"/>
    <col min="14881" max="14881" width="4" style="3" customWidth="1"/>
    <col min="14882" max="14882" width="2.109375" style="3" customWidth="1"/>
    <col min="14883" max="14883" width="1.44140625" style="3" customWidth="1"/>
    <col min="14884" max="15104" width="3.44140625" style="3"/>
    <col min="15105" max="15105" width="1.44140625" style="3" customWidth="1"/>
    <col min="15106" max="15106" width="2.109375" style="3" customWidth="1"/>
    <col min="15107" max="15107" width="3" style="3" customWidth="1"/>
    <col min="15108" max="15111" width="3.44140625" style="3"/>
    <col min="15112" max="15112" width="1.44140625" style="3" customWidth="1"/>
    <col min="15113" max="15113" width="3.109375" style="3" customWidth="1"/>
    <col min="15114" max="15114" width="4.77734375" style="3" customWidth="1"/>
    <col min="15115" max="15121" width="3.44140625" style="3"/>
    <col min="15122" max="15122" width="5.44140625" style="3" customWidth="1"/>
    <col min="15123" max="15130" width="4.44140625" style="3" customWidth="1"/>
    <col min="15131" max="15131" width="3.88671875" style="3" customWidth="1"/>
    <col min="15132" max="15133" width="4.6640625" style="3" customWidth="1"/>
    <col min="15134" max="15134" width="4.44140625" style="3" customWidth="1"/>
    <col min="15135" max="15136" width="4.33203125" style="3" customWidth="1"/>
    <col min="15137" max="15137" width="4" style="3" customWidth="1"/>
    <col min="15138" max="15138" width="2.109375" style="3" customWidth="1"/>
    <col min="15139" max="15139" width="1.44140625" style="3" customWidth="1"/>
    <col min="15140" max="15360" width="3.44140625" style="3"/>
    <col min="15361" max="15361" width="1.44140625" style="3" customWidth="1"/>
    <col min="15362" max="15362" width="2.109375" style="3" customWidth="1"/>
    <col min="15363" max="15363" width="3" style="3" customWidth="1"/>
    <col min="15364" max="15367" width="3.44140625" style="3"/>
    <col min="15368" max="15368" width="1.44140625" style="3" customWidth="1"/>
    <col min="15369" max="15369" width="3.109375" style="3" customWidth="1"/>
    <col min="15370" max="15370" width="4.77734375" style="3" customWidth="1"/>
    <col min="15371" max="15377" width="3.44140625" style="3"/>
    <col min="15378" max="15378" width="5.44140625" style="3" customWidth="1"/>
    <col min="15379" max="15386" width="4.44140625" style="3" customWidth="1"/>
    <col min="15387" max="15387" width="3.88671875" style="3" customWidth="1"/>
    <col min="15388" max="15389" width="4.6640625" style="3" customWidth="1"/>
    <col min="15390" max="15390" width="4.44140625" style="3" customWidth="1"/>
    <col min="15391" max="15392" width="4.33203125" style="3" customWidth="1"/>
    <col min="15393" max="15393" width="4" style="3" customWidth="1"/>
    <col min="15394" max="15394" width="2.109375" style="3" customWidth="1"/>
    <col min="15395" max="15395" width="1.44140625" style="3" customWidth="1"/>
    <col min="15396" max="15616" width="3.44140625" style="3"/>
    <col min="15617" max="15617" width="1.44140625" style="3" customWidth="1"/>
    <col min="15618" max="15618" width="2.109375" style="3" customWidth="1"/>
    <col min="15619" max="15619" width="3" style="3" customWidth="1"/>
    <col min="15620" max="15623" width="3.44140625" style="3"/>
    <col min="15624" max="15624" width="1.44140625" style="3" customWidth="1"/>
    <col min="15625" max="15625" width="3.109375" style="3" customWidth="1"/>
    <col min="15626" max="15626" width="4.77734375" style="3" customWidth="1"/>
    <col min="15627" max="15633" width="3.44140625" style="3"/>
    <col min="15634" max="15634" width="5.44140625" style="3" customWidth="1"/>
    <col min="15635" max="15642" width="4.44140625" style="3" customWidth="1"/>
    <col min="15643" max="15643" width="3.88671875" style="3" customWidth="1"/>
    <col min="15644" max="15645" width="4.6640625" style="3" customWidth="1"/>
    <col min="15646" max="15646" width="4.44140625" style="3" customWidth="1"/>
    <col min="15647" max="15648" width="4.33203125" style="3" customWidth="1"/>
    <col min="15649" max="15649" width="4" style="3" customWidth="1"/>
    <col min="15650" max="15650" width="2.109375" style="3" customWidth="1"/>
    <col min="15651" max="15651" width="1.44140625" style="3" customWidth="1"/>
    <col min="15652" max="15872" width="3.44140625" style="3"/>
    <col min="15873" max="15873" width="1.44140625" style="3" customWidth="1"/>
    <col min="15874" max="15874" width="2.109375" style="3" customWidth="1"/>
    <col min="15875" max="15875" width="3" style="3" customWidth="1"/>
    <col min="15876" max="15879" width="3.44140625" style="3"/>
    <col min="15880" max="15880" width="1.44140625" style="3" customWidth="1"/>
    <col min="15881" max="15881" width="3.109375" style="3" customWidth="1"/>
    <col min="15882" max="15882" width="4.77734375" style="3" customWidth="1"/>
    <col min="15883" max="15889" width="3.44140625" style="3"/>
    <col min="15890" max="15890" width="5.44140625" style="3" customWidth="1"/>
    <col min="15891" max="15898" width="4.44140625" style="3" customWidth="1"/>
    <col min="15899" max="15899" width="3.88671875" style="3" customWidth="1"/>
    <col min="15900" max="15901" width="4.6640625" style="3" customWidth="1"/>
    <col min="15902" max="15902" width="4.44140625" style="3" customWidth="1"/>
    <col min="15903" max="15904" width="4.33203125" style="3" customWidth="1"/>
    <col min="15905" max="15905" width="4" style="3" customWidth="1"/>
    <col min="15906" max="15906" width="2.109375" style="3" customWidth="1"/>
    <col min="15907" max="15907" width="1.44140625" style="3" customWidth="1"/>
    <col min="15908" max="16128" width="3.44140625" style="3"/>
    <col min="16129" max="16129" width="1.44140625" style="3" customWidth="1"/>
    <col min="16130" max="16130" width="2.109375" style="3" customWidth="1"/>
    <col min="16131" max="16131" width="3" style="3" customWidth="1"/>
    <col min="16132" max="16135" width="3.44140625" style="3"/>
    <col min="16136" max="16136" width="1.44140625" style="3" customWidth="1"/>
    <col min="16137" max="16137" width="3.109375" style="3" customWidth="1"/>
    <col min="16138" max="16138" width="4.77734375" style="3" customWidth="1"/>
    <col min="16139" max="16145" width="3.44140625" style="3"/>
    <col min="16146" max="16146" width="5.44140625" style="3" customWidth="1"/>
    <col min="16147" max="16154" width="4.44140625" style="3" customWidth="1"/>
    <col min="16155" max="16155" width="3.88671875" style="3" customWidth="1"/>
    <col min="16156" max="16157" width="4.6640625" style="3" customWidth="1"/>
    <col min="16158" max="16158" width="4.44140625" style="3" customWidth="1"/>
    <col min="16159" max="16160" width="4.33203125" style="3" customWidth="1"/>
    <col min="16161" max="16161" width="4" style="3" customWidth="1"/>
    <col min="16162" max="16162" width="2.109375" style="3" customWidth="1"/>
    <col min="16163" max="16163" width="1.44140625" style="3" customWidth="1"/>
    <col min="16164" max="16384" width="3.44140625" style="3"/>
  </cols>
  <sheetData>
    <row r="1" spans="2:34" s="1" customFormat="1" ht="13.5" customHeight="1"/>
    <row r="2" spans="2:34" s="1" customFormat="1" ht="13.5" customHeight="1">
      <c r="C2" s="1" t="s">
        <v>1364</v>
      </c>
    </row>
    <row r="3" spans="2:34" s="1" customFormat="1" ht="13.5" customHeight="1">
      <c r="AA3" s="45" t="s">
        <v>544</v>
      </c>
      <c r="AB3" s="12"/>
      <c r="AC3" s="12" t="s">
        <v>34</v>
      </c>
      <c r="AD3" s="12"/>
      <c r="AE3" s="12" t="s">
        <v>1108</v>
      </c>
      <c r="AF3" s="12"/>
      <c r="AG3" s="12" t="s">
        <v>241</v>
      </c>
    </row>
    <row r="4" spans="2:34" s="1" customFormat="1" ht="9.75" customHeight="1">
      <c r="AG4" s="45"/>
    </row>
    <row r="5" spans="2:34" s="1" customFormat="1" ht="33" customHeight="1">
      <c r="C5" s="1814" t="s">
        <v>1365</v>
      </c>
      <c r="D5" s="1814"/>
      <c r="E5" s="1814"/>
      <c r="F5" s="1814"/>
      <c r="G5" s="1814"/>
      <c r="H5" s="1814"/>
      <c r="I5" s="1814"/>
      <c r="J5" s="1814"/>
      <c r="K5" s="1814"/>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2:34" s="1" customFormat="1" ht="11.25" customHeight="1"/>
    <row r="7" spans="2:34" s="1" customFormat="1" ht="39.75" customHeight="1">
      <c r="B7" s="9"/>
      <c r="C7" s="1790" t="s">
        <v>199</v>
      </c>
      <c r="D7" s="1790"/>
      <c r="E7" s="1790"/>
      <c r="F7" s="1790"/>
      <c r="G7" s="1791"/>
      <c r="H7" s="1580"/>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2"/>
    </row>
    <row r="8" spans="2:34" ht="36" customHeight="1">
      <c r="B8" s="15"/>
      <c r="C8" s="1790" t="s">
        <v>200</v>
      </c>
      <c r="D8" s="1790"/>
      <c r="E8" s="1790"/>
      <c r="F8" s="1790"/>
      <c r="G8" s="1791"/>
      <c r="H8" s="638"/>
      <c r="I8" s="646" t="s">
        <v>121</v>
      </c>
      <c r="J8" s="639" t="s">
        <v>1173</v>
      </c>
      <c r="K8" s="639"/>
      <c r="L8" s="639"/>
      <c r="M8" s="639"/>
      <c r="N8" s="646" t="s">
        <v>121</v>
      </c>
      <c r="O8" s="639" t="s">
        <v>1174</v>
      </c>
      <c r="P8" s="639"/>
      <c r="Q8" s="639"/>
      <c r="R8" s="639"/>
      <c r="S8" s="646" t="s">
        <v>121</v>
      </c>
      <c r="T8" s="639" t="s">
        <v>1175</v>
      </c>
      <c r="U8" s="639"/>
      <c r="V8" s="639"/>
      <c r="W8" s="639"/>
      <c r="X8" s="639"/>
      <c r="Y8" s="639"/>
      <c r="Z8" s="639"/>
      <c r="AA8" s="639"/>
      <c r="AB8" s="639"/>
      <c r="AC8" s="639"/>
      <c r="AD8" s="639"/>
      <c r="AE8" s="639"/>
      <c r="AF8" s="639"/>
      <c r="AG8" s="639"/>
      <c r="AH8" s="17"/>
    </row>
    <row r="9" spans="2:34" ht="36" customHeight="1">
      <c r="B9" s="15"/>
      <c r="C9" s="1790" t="s">
        <v>201</v>
      </c>
      <c r="D9" s="1790"/>
      <c r="E9" s="1790"/>
      <c r="F9" s="1790"/>
      <c r="G9" s="1790"/>
      <c r="H9" s="638"/>
      <c r="I9" s="646" t="s">
        <v>121</v>
      </c>
      <c r="J9" s="7" t="s">
        <v>1366</v>
      </c>
      <c r="K9" s="639"/>
      <c r="L9" s="639"/>
      <c r="M9" s="639"/>
      <c r="N9" s="639"/>
      <c r="O9" s="639"/>
      <c r="P9" s="639"/>
      <c r="Q9" s="639"/>
      <c r="R9" s="639"/>
      <c r="S9" s="639"/>
      <c r="T9" s="639"/>
      <c r="U9" s="639"/>
      <c r="V9" s="639"/>
      <c r="W9" s="639"/>
      <c r="X9" s="639"/>
      <c r="Y9" s="639"/>
      <c r="Z9" s="639"/>
      <c r="AA9" s="639"/>
      <c r="AB9" s="639"/>
      <c r="AC9" s="639"/>
      <c r="AD9" s="639"/>
      <c r="AE9" s="639"/>
      <c r="AF9" s="639"/>
      <c r="AG9" s="639"/>
      <c r="AH9" s="17"/>
    </row>
    <row r="10" spans="2:34" ht="36" customHeight="1">
      <c r="B10" s="15"/>
      <c r="C10" s="1790" t="s">
        <v>271</v>
      </c>
      <c r="D10" s="1790"/>
      <c r="E10" s="1790"/>
      <c r="F10" s="1790"/>
      <c r="G10" s="1790"/>
      <c r="H10" s="638"/>
      <c r="I10" s="646" t="s">
        <v>121</v>
      </c>
      <c r="J10" s="10" t="s">
        <v>1367</v>
      </c>
      <c r="K10" s="639"/>
      <c r="L10" s="639"/>
      <c r="M10" s="639"/>
      <c r="N10" s="639"/>
      <c r="O10" s="639"/>
      <c r="P10" s="639"/>
      <c r="Q10" s="639"/>
      <c r="R10" s="639"/>
      <c r="S10" s="639"/>
      <c r="T10" s="639"/>
      <c r="U10" s="639"/>
      <c r="V10" s="639"/>
      <c r="W10" s="639"/>
      <c r="X10" s="639"/>
      <c r="Y10" s="639"/>
      <c r="Z10" s="639"/>
      <c r="AA10" s="639"/>
      <c r="AB10" s="639"/>
      <c r="AC10" s="639"/>
      <c r="AD10" s="639"/>
      <c r="AE10" s="639"/>
      <c r="AF10" s="639"/>
      <c r="AG10" s="639"/>
      <c r="AH10" s="17"/>
    </row>
    <row r="11" spans="2:34" s="1" customFormat="1"/>
    <row r="12" spans="2:34" s="1" customFormat="1" ht="25.5" customHeight="1">
      <c r="B12" s="6" t="s">
        <v>323</v>
      </c>
      <c r="C12" s="10" t="s">
        <v>663</v>
      </c>
      <c r="D12" s="10"/>
      <c r="E12" s="10"/>
      <c r="F12" s="10"/>
      <c r="G12" s="10"/>
      <c r="H12" s="10"/>
      <c r="I12" s="10"/>
      <c r="J12" s="10"/>
      <c r="K12" s="10"/>
      <c r="L12" s="10"/>
      <c r="M12" s="10"/>
      <c r="N12" s="10"/>
      <c r="O12" s="10"/>
      <c r="P12" s="10"/>
      <c r="Q12" s="10"/>
      <c r="R12" s="10"/>
      <c r="S12" s="657"/>
      <c r="T12" s="10"/>
      <c r="U12" s="10"/>
      <c r="V12" s="10"/>
      <c r="W12" s="10"/>
      <c r="X12" s="10"/>
      <c r="Y12" s="7"/>
      <c r="Z12" s="7"/>
      <c r="AA12" s="10"/>
      <c r="AB12" s="10"/>
      <c r="AC12" s="10"/>
      <c r="AD12" s="7"/>
      <c r="AE12" s="7"/>
      <c r="AF12" s="7"/>
      <c r="AG12" s="7"/>
      <c r="AH12" s="4"/>
    </row>
    <row r="13" spans="2:34" s="1" customFormat="1" ht="11.25" customHeight="1">
      <c r="B13" s="408"/>
      <c r="C13" s="6"/>
      <c r="D13" s="7"/>
      <c r="E13" s="7"/>
      <c r="F13" s="7"/>
      <c r="G13" s="4"/>
      <c r="H13" s="6"/>
      <c r="Y13" s="7"/>
      <c r="Z13" s="7"/>
      <c r="AA13" s="7"/>
      <c r="AB13" s="7"/>
      <c r="AC13" s="7"/>
      <c r="AD13" s="7"/>
      <c r="AE13" s="6"/>
      <c r="AF13" s="7"/>
      <c r="AG13" s="4"/>
      <c r="AH13" s="402"/>
    </row>
    <row r="14" spans="2:34" s="1" customFormat="1" ht="27" customHeight="1">
      <c r="B14" s="408"/>
      <c r="C14" s="1866" t="s">
        <v>793</v>
      </c>
      <c r="D14" s="1814"/>
      <c r="E14" s="1814"/>
      <c r="F14" s="1814"/>
      <c r="G14" s="1867"/>
      <c r="I14" s="605" t="s">
        <v>107</v>
      </c>
      <c r="J14" s="2054" t="s">
        <v>272</v>
      </c>
      <c r="K14" s="2055"/>
      <c r="L14" s="2055"/>
      <c r="M14" s="2055"/>
      <c r="N14" s="2055"/>
      <c r="O14" s="2055"/>
      <c r="P14" s="2055"/>
      <c r="Q14" s="2055"/>
      <c r="R14" s="2055"/>
      <c r="S14" s="2055"/>
      <c r="T14" s="2055"/>
      <c r="U14" s="2056"/>
      <c r="V14" s="1580"/>
      <c r="W14" s="1581"/>
      <c r="X14" s="11" t="s">
        <v>89</v>
      </c>
      <c r="AE14" s="408"/>
      <c r="AG14" s="402"/>
      <c r="AH14" s="402"/>
    </row>
    <row r="15" spans="2:34" s="1" customFormat="1" ht="27" customHeight="1">
      <c r="B15" s="408"/>
      <c r="C15" s="1866"/>
      <c r="D15" s="1814"/>
      <c r="E15" s="1814"/>
      <c r="F15" s="1814"/>
      <c r="G15" s="1867"/>
      <c r="I15" s="605" t="s">
        <v>104</v>
      </c>
      <c r="J15" s="2023" t="s">
        <v>273</v>
      </c>
      <c r="K15" s="2057"/>
      <c r="L15" s="2057"/>
      <c r="M15" s="2057"/>
      <c r="N15" s="2057"/>
      <c r="O15" s="2057"/>
      <c r="P15" s="2057"/>
      <c r="Q15" s="2057"/>
      <c r="R15" s="2057"/>
      <c r="S15" s="2057"/>
      <c r="T15" s="2057"/>
      <c r="U15" s="2058"/>
      <c r="V15" s="1580"/>
      <c r="W15" s="1581"/>
      <c r="X15" s="11" t="s">
        <v>89</v>
      </c>
      <c r="Z15" s="1890"/>
      <c r="AA15" s="1890"/>
      <c r="AB15" s="1890"/>
      <c r="AC15" s="1890"/>
      <c r="AE15" s="625"/>
      <c r="AF15" s="2"/>
      <c r="AG15" s="617"/>
      <c r="AH15" s="402"/>
    </row>
    <row r="16" spans="2:34" s="1" customFormat="1" ht="27" customHeight="1">
      <c r="B16" s="408"/>
      <c r="C16" s="1866"/>
      <c r="D16" s="1814"/>
      <c r="E16" s="1814"/>
      <c r="F16" s="1814"/>
      <c r="G16" s="1867"/>
      <c r="I16" s="605" t="s">
        <v>211</v>
      </c>
      <c r="J16" s="2054" t="s">
        <v>274</v>
      </c>
      <c r="K16" s="2059"/>
      <c r="L16" s="2059"/>
      <c r="M16" s="2059"/>
      <c r="N16" s="2059"/>
      <c r="O16" s="2059"/>
      <c r="P16" s="2059"/>
      <c r="Q16" s="2059"/>
      <c r="R16" s="2059"/>
      <c r="S16" s="2059"/>
      <c r="T16" s="2059"/>
      <c r="U16" s="2060"/>
      <c r="V16" s="1580"/>
      <c r="W16" s="1581"/>
      <c r="X16" s="11" t="s">
        <v>89</v>
      </c>
      <c r="Z16" s="1890"/>
      <c r="AA16" s="1890"/>
      <c r="AB16" s="1890"/>
      <c r="AC16" s="1890"/>
      <c r="AE16" s="652" t="s">
        <v>1118</v>
      </c>
      <c r="AF16" s="653" t="s">
        <v>440</v>
      </c>
      <c r="AG16" s="654" t="s">
        <v>674</v>
      </c>
      <c r="AH16" s="402"/>
    </row>
    <row r="17" spans="2:34" s="1" customFormat="1" ht="27" customHeight="1">
      <c r="B17" s="408"/>
      <c r="C17" s="408"/>
      <c r="G17" s="402"/>
      <c r="I17" s="605" t="s">
        <v>207</v>
      </c>
      <c r="J17" s="2054" t="s">
        <v>275</v>
      </c>
      <c r="K17" s="2059"/>
      <c r="L17" s="2059"/>
      <c r="M17" s="2059"/>
      <c r="N17" s="2059"/>
      <c r="O17" s="2059"/>
      <c r="P17" s="2059"/>
      <c r="Q17" s="2059"/>
      <c r="R17" s="2059"/>
      <c r="S17" s="2059"/>
      <c r="T17" s="2059"/>
      <c r="U17" s="2060"/>
      <c r="V17" s="1580"/>
      <c r="W17" s="1581"/>
      <c r="X17" s="11" t="s">
        <v>60</v>
      </c>
      <c r="Y17" s="1" t="s">
        <v>198</v>
      </c>
      <c r="Z17" s="1890" t="s">
        <v>276</v>
      </c>
      <c r="AA17" s="1890"/>
      <c r="AB17" s="1890"/>
      <c r="AC17" s="1890"/>
      <c r="AE17" s="655" t="s">
        <v>121</v>
      </c>
      <c r="AF17" s="641" t="s">
        <v>440</v>
      </c>
      <c r="AG17" s="656" t="s">
        <v>121</v>
      </c>
      <c r="AH17" s="402"/>
    </row>
    <row r="18" spans="2:34" s="1" customFormat="1" ht="11.25" customHeight="1">
      <c r="B18" s="408"/>
      <c r="C18" s="409"/>
      <c r="D18" s="8"/>
      <c r="E18" s="8"/>
      <c r="F18" s="8"/>
      <c r="G18" s="424"/>
      <c r="H18" s="8"/>
      <c r="I18" s="8"/>
      <c r="J18" s="8"/>
      <c r="K18" s="8"/>
      <c r="L18" s="8"/>
      <c r="M18" s="8"/>
      <c r="N18" s="8"/>
      <c r="O18" s="8"/>
      <c r="P18" s="8"/>
      <c r="Q18" s="8"/>
      <c r="R18" s="8"/>
      <c r="S18" s="8"/>
      <c r="T18" s="8"/>
      <c r="U18" s="8"/>
      <c r="V18" s="8"/>
      <c r="W18" s="8"/>
      <c r="X18" s="8"/>
      <c r="Y18" s="8"/>
      <c r="Z18" s="8"/>
      <c r="AA18" s="8"/>
      <c r="AB18" s="8"/>
      <c r="AC18" s="8"/>
      <c r="AD18" s="8"/>
      <c r="AE18" s="409"/>
      <c r="AF18" s="8"/>
      <c r="AG18" s="424"/>
      <c r="AH18" s="402"/>
    </row>
    <row r="19" spans="2:34" s="1" customFormat="1" ht="11.25" customHeight="1">
      <c r="B19" s="408"/>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402"/>
    </row>
    <row r="20" spans="2:34" s="1" customFormat="1" ht="27" customHeight="1">
      <c r="B20" s="408"/>
      <c r="C20" s="1866" t="s">
        <v>794</v>
      </c>
      <c r="D20" s="1814"/>
      <c r="E20" s="1814"/>
      <c r="F20" s="1814"/>
      <c r="G20" s="1867"/>
      <c r="S20" s="2061" t="s">
        <v>277</v>
      </c>
      <c r="T20" s="2062"/>
      <c r="U20" s="2061" t="s">
        <v>278</v>
      </c>
      <c r="V20" s="2062"/>
      <c r="W20" s="2061" t="s">
        <v>279</v>
      </c>
      <c r="X20" s="2062"/>
      <c r="Y20" s="1580" t="s">
        <v>280</v>
      </c>
      <c r="Z20" s="1582"/>
      <c r="AE20" s="408"/>
      <c r="AG20" s="402"/>
      <c r="AH20" s="402"/>
    </row>
    <row r="21" spans="2:34" s="1" customFormat="1" ht="27" customHeight="1">
      <c r="B21" s="408"/>
      <c r="C21" s="1866"/>
      <c r="D21" s="1814"/>
      <c r="E21" s="1814"/>
      <c r="F21" s="1814"/>
      <c r="G21" s="1867"/>
      <c r="I21" s="613" t="s">
        <v>107</v>
      </c>
      <c r="J21" s="2063" t="s">
        <v>281</v>
      </c>
      <c r="K21" s="2064"/>
      <c r="L21" s="2064"/>
      <c r="M21" s="2064"/>
      <c r="N21" s="2064"/>
      <c r="O21" s="2064"/>
      <c r="P21" s="2064"/>
      <c r="Q21" s="2064"/>
      <c r="R21" s="2065"/>
      <c r="S21" s="9"/>
      <c r="T21" s="657" t="s">
        <v>89</v>
      </c>
      <c r="U21" s="9"/>
      <c r="V21" s="658" t="s">
        <v>89</v>
      </c>
      <c r="W21" s="10"/>
      <c r="X21" s="658" t="s">
        <v>89</v>
      </c>
      <c r="Y21" s="2066"/>
      <c r="Z21" s="2067"/>
      <c r="AE21" s="408"/>
      <c r="AG21" s="402"/>
      <c r="AH21" s="402"/>
    </row>
    <row r="22" spans="2:34" s="1" customFormat="1" ht="27" customHeight="1">
      <c r="B22" s="408"/>
      <c r="C22" s="1866"/>
      <c r="D22" s="1814"/>
      <c r="E22" s="1814"/>
      <c r="F22" s="1814"/>
      <c r="G22" s="1867"/>
      <c r="I22" s="613" t="s">
        <v>104</v>
      </c>
      <c r="J22" s="2068" t="s">
        <v>282</v>
      </c>
      <c r="K22" s="2069"/>
      <c r="L22" s="2069"/>
      <c r="M22" s="2069"/>
      <c r="N22" s="2069"/>
      <c r="O22" s="2069"/>
      <c r="P22" s="2069"/>
      <c r="Q22" s="2069"/>
      <c r="R22" s="2070"/>
      <c r="S22" s="9"/>
      <c r="T22" s="657" t="s">
        <v>89</v>
      </c>
      <c r="U22" s="9"/>
      <c r="V22" s="658" t="s">
        <v>89</v>
      </c>
      <c r="W22" s="10"/>
      <c r="X22" s="658" t="s">
        <v>89</v>
      </c>
      <c r="Y22" s="2066"/>
      <c r="Z22" s="2067"/>
      <c r="AA22" s="1575" t="s">
        <v>283</v>
      </c>
      <c r="AB22" s="1575"/>
      <c r="AC22" s="1575"/>
      <c r="AD22" s="1802"/>
      <c r="AE22" s="408"/>
      <c r="AG22" s="402"/>
      <c r="AH22" s="402"/>
    </row>
    <row r="23" spans="2:34" s="1" customFormat="1" ht="27" customHeight="1">
      <c r="B23" s="408"/>
      <c r="C23" s="408"/>
      <c r="G23" s="402"/>
      <c r="I23" s="613" t="s">
        <v>211</v>
      </c>
      <c r="J23" s="2063" t="s">
        <v>284</v>
      </c>
      <c r="K23" s="2064"/>
      <c r="L23" s="2064"/>
      <c r="M23" s="2064"/>
      <c r="N23" s="2064"/>
      <c r="O23" s="2064"/>
      <c r="P23" s="2064"/>
      <c r="Q23" s="2064"/>
      <c r="R23" s="2065"/>
      <c r="S23" s="6"/>
      <c r="T23" s="401" t="s">
        <v>60</v>
      </c>
      <c r="U23" s="6"/>
      <c r="V23" s="659" t="s">
        <v>60</v>
      </c>
      <c r="W23" s="7"/>
      <c r="X23" s="659" t="s">
        <v>60</v>
      </c>
      <c r="Y23" s="638"/>
      <c r="Z23" s="658" t="s">
        <v>60</v>
      </c>
      <c r="AA23" s="1" t="s">
        <v>198</v>
      </c>
      <c r="AB23" s="1890" t="s">
        <v>95</v>
      </c>
      <c r="AC23" s="1890"/>
      <c r="AD23" s="2044"/>
      <c r="AE23" s="652" t="s">
        <v>1118</v>
      </c>
      <c r="AF23" s="653" t="s">
        <v>440</v>
      </c>
      <c r="AG23" s="654" t="s">
        <v>674</v>
      </c>
      <c r="AH23" s="402"/>
    </row>
    <row r="24" spans="2:34" s="1" customFormat="1" ht="27" customHeight="1">
      <c r="B24" s="408"/>
      <c r="C24" s="1801"/>
      <c r="D24" s="2071"/>
      <c r="E24" s="2071"/>
      <c r="F24" s="2071"/>
      <c r="G24" s="2072"/>
      <c r="I24" s="613" t="s">
        <v>207</v>
      </c>
      <c r="J24" s="2068" t="s">
        <v>285</v>
      </c>
      <c r="K24" s="2069"/>
      <c r="L24" s="2069"/>
      <c r="M24" s="2069"/>
      <c r="N24" s="2069"/>
      <c r="O24" s="2069"/>
      <c r="P24" s="2069"/>
      <c r="Q24" s="2069"/>
      <c r="R24" s="2070"/>
      <c r="S24" s="9"/>
      <c r="T24" s="657" t="s">
        <v>89</v>
      </c>
      <c r="U24" s="9"/>
      <c r="V24" s="658" t="s">
        <v>89</v>
      </c>
      <c r="W24" s="10"/>
      <c r="X24" s="658" t="s">
        <v>89</v>
      </c>
      <c r="Y24" s="2066"/>
      <c r="Z24" s="2067"/>
      <c r="AB24" s="1575" t="s">
        <v>286</v>
      </c>
      <c r="AC24" s="1575"/>
      <c r="AE24" s="655" t="s">
        <v>121</v>
      </c>
      <c r="AF24" s="641" t="s">
        <v>440</v>
      </c>
      <c r="AG24" s="656" t="s">
        <v>121</v>
      </c>
      <c r="AH24" s="402"/>
    </row>
    <row r="25" spans="2:34" s="1" customFormat="1" ht="27" customHeight="1">
      <c r="B25" s="408"/>
      <c r="C25" s="602"/>
      <c r="D25" s="633"/>
      <c r="E25" s="633"/>
      <c r="F25" s="633"/>
      <c r="G25" s="660"/>
      <c r="I25" s="613" t="s">
        <v>236</v>
      </c>
      <c r="J25" s="2063" t="s">
        <v>287</v>
      </c>
      <c r="K25" s="2064"/>
      <c r="L25" s="2064"/>
      <c r="M25" s="2064"/>
      <c r="N25" s="2064"/>
      <c r="O25" s="2064"/>
      <c r="P25" s="2064"/>
      <c r="Q25" s="2064"/>
      <c r="R25" s="2065"/>
      <c r="S25" s="9"/>
      <c r="T25" s="657" t="s">
        <v>60</v>
      </c>
      <c r="U25" s="9"/>
      <c r="V25" s="658" t="s">
        <v>60</v>
      </c>
      <c r="W25" s="10"/>
      <c r="X25" s="658" t="s">
        <v>60</v>
      </c>
      <c r="Y25" s="638"/>
      <c r="Z25" s="658" t="s">
        <v>60</v>
      </c>
      <c r="AA25" s="1" t="s">
        <v>198</v>
      </c>
      <c r="AB25" s="1890" t="s">
        <v>288</v>
      </c>
      <c r="AC25" s="1890"/>
      <c r="AD25" s="2044"/>
      <c r="AE25" s="625"/>
      <c r="AF25" s="2"/>
      <c r="AG25" s="617"/>
      <c r="AH25" s="402"/>
    </row>
    <row r="26" spans="2:34" s="1" customFormat="1" ht="11.25" customHeight="1">
      <c r="B26" s="408"/>
      <c r="C26" s="409"/>
      <c r="D26" s="8"/>
      <c r="E26" s="8"/>
      <c r="F26" s="8"/>
      <c r="G26" s="424"/>
      <c r="J26" s="21"/>
      <c r="K26" s="21"/>
      <c r="L26" s="21"/>
      <c r="M26" s="21"/>
      <c r="N26" s="21"/>
      <c r="O26" s="21"/>
      <c r="P26" s="21"/>
      <c r="Q26" s="21"/>
      <c r="R26" s="21"/>
      <c r="S26" s="21"/>
      <c r="T26" s="21"/>
      <c r="U26" s="21"/>
      <c r="W26" s="45"/>
      <c r="Y26" s="45"/>
      <c r="AA26" s="45"/>
      <c r="AB26" s="45"/>
      <c r="AE26" s="1801"/>
      <c r="AF26" s="1575"/>
      <c r="AG26" s="1802"/>
      <c r="AH26" s="402"/>
    </row>
    <row r="27" spans="2:34" s="1" customFormat="1" ht="11.25" customHeight="1">
      <c r="B27" s="40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402"/>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289</v>
      </c>
      <c r="C29" s="10" t="s">
        <v>290</v>
      </c>
      <c r="D29" s="10"/>
      <c r="E29" s="10"/>
      <c r="F29" s="10"/>
      <c r="G29" s="10"/>
      <c r="H29" s="10"/>
      <c r="I29" s="10"/>
      <c r="J29" s="10"/>
      <c r="K29" s="10"/>
      <c r="L29" s="10"/>
      <c r="M29" s="10"/>
      <c r="N29" s="10"/>
      <c r="O29" s="10"/>
      <c r="P29" s="10"/>
      <c r="Q29" s="10"/>
      <c r="R29" s="10"/>
      <c r="S29" s="657"/>
      <c r="T29" s="10"/>
      <c r="U29" s="10"/>
      <c r="V29" s="10"/>
      <c r="W29" s="10"/>
      <c r="X29" s="10"/>
      <c r="Y29" s="7"/>
      <c r="Z29" s="7"/>
      <c r="AA29" s="10"/>
      <c r="AB29" s="10"/>
      <c r="AC29" s="10"/>
      <c r="AD29" s="7"/>
      <c r="AE29" s="7"/>
      <c r="AF29" s="7"/>
      <c r="AG29" s="7"/>
      <c r="AH29" s="4"/>
    </row>
    <row r="30" spans="2:34" s="1" customFormat="1" ht="11.25" customHeight="1">
      <c r="B30" s="408"/>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402"/>
    </row>
    <row r="31" spans="2:34" s="1" customFormat="1" ht="27" customHeight="1">
      <c r="B31" s="408"/>
      <c r="C31" s="1866" t="s">
        <v>795</v>
      </c>
      <c r="D31" s="1814"/>
      <c r="E31" s="1814"/>
      <c r="F31" s="1814"/>
      <c r="G31" s="1867"/>
      <c r="S31" s="2061" t="s">
        <v>277</v>
      </c>
      <c r="T31" s="2062"/>
      <c r="U31" s="2061" t="s">
        <v>278</v>
      </c>
      <c r="V31" s="2062"/>
      <c r="W31" s="2061" t="s">
        <v>279</v>
      </c>
      <c r="X31" s="2062"/>
      <c r="Y31" s="1580" t="s">
        <v>280</v>
      </c>
      <c r="Z31" s="1582"/>
      <c r="AE31" s="408"/>
      <c r="AG31" s="402"/>
      <c r="AH31" s="402"/>
    </row>
    <row r="32" spans="2:34" s="1" customFormat="1" ht="27" customHeight="1">
      <c r="B32" s="408"/>
      <c r="C32" s="1866"/>
      <c r="D32" s="1814"/>
      <c r="E32" s="1814"/>
      <c r="F32" s="1814"/>
      <c r="G32" s="1867"/>
      <c r="I32" s="613" t="s">
        <v>107</v>
      </c>
      <c r="J32" s="2063" t="s">
        <v>281</v>
      </c>
      <c r="K32" s="2064"/>
      <c r="L32" s="2064"/>
      <c r="M32" s="2064"/>
      <c r="N32" s="2064"/>
      <c r="O32" s="2064"/>
      <c r="P32" s="2064"/>
      <c r="Q32" s="2064"/>
      <c r="R32" s="2065"/>
      <c r="S32" s="9"/>
      <c r="T32" s="657" t="s">
        <v>89</v>
      </c>
      <c r="U32" s="9"/>
      <c r="V32" s="658" t="s">
        <v>89</v>
      </c>
      <c r="W32" s="10"/>
      <c r="X32" s="658" t="s">
        <v>89</v>
      </c>
      <c r="Y32" s="2066"/>
      <c r="Z32" s="2067"/>
      <c r="AE32" s="408"/>
      <c r="AG32" s="402"/>
      <c r="AH32" s="402"/>
    </row>
    <row r="33" spans="2:34" s="1" customFormat="1" ht="27" customHeight="1">
      <c r="B33" s="408"/>
      <c r="C33" s="1866"/>
      <c r="D33" s="1814"/>
      <c r="E33" s="1814"/>
      <c r="F33" s="1814"/>
      <c r="G33" s="1867"/>
      <c r="I33" s="613" t="s">
        <v>104</v>
      </c>
      <c r="J33" s="2068" t="s">
        <v>282</v>
      </c>
      <c r="K33" s="2069"/>
      <c r="L33" s="2069"/>
      <c r="M33" s="2069"/>
      <c r="N33" s="2069"/>
      <c r="O33" s="2069"/>
      <c r="P33" s="2069"/>
      <c r="Q33" s="2069"/>
      <c r="R33" s="2070"/>
      <c r="S33" s="9"/>
      <c r="T33" s="657" t="s">
        <v>89</v>
      </c>
      <c r="U33" s="9"/>
      <c r="V33" s="658" t="s">
        <v>89</v>
      </c>
      <c r="W33" s="10"/>
      <c r="X33" s="658" t="s">
        <v>89</v>
      </c>
      <c r="Y33" s="2066"/>
      <c r="Z33" s="2067"/>
      <c r="AA33" s="1575" t="s">
        <v>283</v>
      </c>
      <c r="AB33" s="1575"/>
      <c r="AC33" s="1575"/>
      <c r="AD33" s="1802"/>
      <c r="AE33" s="408"/>
      <c r="AG33" s="402"/>
      <c r="AH33" s="402"/>
    </row>
    <row r="34" spans="2:34" s="1" customFormat="1" ht="27" customHeight="1">
      <c r="B34" s="408"/>
      <c r="C34" s="408"/>
      <c r="G34" s="402"/>
      <c r="I34" s="613" t="s">
        <v>211</v>
      </c>
      <c r="J34" s="2063" t="s">
        <v>284</v>
      </c>
      <c r="K34" s="2064"/>
      <c r="L34" s="2064"/>
      <c r="M34" s="2064"/>
      <c r="N34" s="2064"/>
      <c r="O34" s="2064"/>
      <c r="P34" s="2064"/>
      <c r="Q34" s="2064"/>
      <c r="R34" s="2065"/>
      <c r="S34" s="6"/>
      <c r="T34" s="401" t="s">
        <v>60</v>
      </c>
      <c r="U34" s="6"/>
      <c r="V34" s="659" t="s">
        <v>60</v>
      </c>
      <c r="W34" s="7"/>
      <c r="X34" s="659" t="s">
        <v>60</v>
      </c>
      <c r="Y34" s="638"/>
      <c r="Z34" s="658" t="s">
        <v>60</v>
      </c>
      <c r="AA34" s="1" t="s">
        <v>198</v>
      </c>
      <c r="AB34" s="1890" t="s">
        <v>288</v>
      </c>
      <c r="AC34" s="1890"/>
      <c r="AD34" s="2044"/>
      <c r="AE34" s="652" t="s">
        <v>1118</v>
      </c>
      <c r="AF34" s="653" t="s">
        <v>440</v>
      </c>
      <c r="AG34" s="654" t="s">
        <v>674</v>
      </c>
      <c r="AH34" s="402"/>
    </row>
    <row r="35" spans="2:34" s="1" customFormat="1" ht="27" customHeight="1">
      <c r="B35" s="408"/>
      <c r="C35" s="1801"/>
      <c r="D35" s="2071"/>
      <c r="E35" s="2071"/>
      <c r="F35" s="2071"/>
      <c r="G35" s="2072"/>
      <c r="I35" s="613" t="s">
        <v>207</v>
      </c>
      <c r="J35" s="2068" t="s">
        <v>291</v>
      </c>
      <c r="K35" s="2069"/>
      <c r="L35" s="2069"/>
      <c r="M35" s="2069"/>
      <c r="N35" s="2069"/>
      <c r="O35" s="2069"/>
      <c r="P35" s="2069"/>
      <c r="Q35" s="2069"/>
      <c r="R35" s="2070"/>
      <c r="S35" s="9"/>
      <c r="T35" s="657" t="s">
        <v>89</v>
      </c>
      <c r="U35" s="9"/>
      <c r="V35" s="658" t="s">
        <v>89</v>
      </c>
      <c r="W35" s="10"/>
      <c r="X35" s="658" t="s">
        <v>89</v>
      </c>
      <c r="Y35" s="2066"/>
      <c r="Z35" s="2067"/>
      <c r="AA35" s="2"/>
      <c r="AB35" s="1575" t="s">
        <v>292</v>
      </c>
      <c r="AC35" s="1575"/>
      <c r="AE35" s="655" t="s">
        <v>121</v>
      </c>
      <c r="AF35" s="641" t="s">
        <v>440</v>
      </c>
      <c r="AG35" s="656" t="s">
        <v>121</v>
      </c>
      <c r="AH35" s="402"/>
    </row>
    <row r="36" spans="2:34" s="1" customFormat="1" ht="27" customHeight="1">
      <c r="B36" s="408"/>
      <c r="C36" s="602"/>
      <c r="D36" s="633"/>
      <c r="E36" s="633"/>
      <c r="F36" s="633"/>
      <c r="G36" s="660"/>
      <c r="I36" s="613" t="s">
        <v>236</v>
      </c>
      <c r="J36" s="2063" t="s">
        <v>287</v>
      </c>
      <c r="K36" s="2064"/>
      <c r="L36" s="2064"/>
      <c r="M36" s="2064"/>
      <c r="N36" s="2064"/>
      <c r="O36" s="2064"/>
      <c r="P36" s="2064"/>
      <c r="Q36" s="2064"/>
      <c r="R36" s="2065"/>
      <c r="S36" s="9"/>
      <c r="T36" s="657" t="s">
        <v>60</v>
      </c>
      <c r="U36" s="9"/>
      <c r="V36" s="658" t="s">
        <v>60</v>
      </c>
      <c r="W36" s="10"/>
      <c r="X36" s="658" t="s">
        <v>60</v>
      </c>
      <c r="Y36" s="638"/>
      <c r="Z36" s="658" t="s">
        <v>60</v>
      </c>
      <c r="AA36" s="1" t="s">
        <v>198</v>
      </c>
      <c r="AB36" s="1890" t="s">
        <v>249</v>
      </c>
      <c r="AC36" s="1890"/>
      <c r="AD36" s="2044"/>
      <c r="AE36" s="625"/>
      <c r="AF36" s="2"/>
      <c r="AG36" s="617"/>
      <c r="AH36" s="402"/>
    </row>
    <row r="37" spans="2:34" s="1" customFormat="1" ht="12" customHeight="1">
      <c r="B37" s="408"/>
      <c r="C37" s="409"/>
      <c r="D37" s="8"/>
      <c r="E37" s="8"/>
      <c r="F37" s="8"/>
      <c r="G37" s="424"/>
      <c r="J37" s="21"/>
      <c r="K37" s="21"/>
      <c r="L37" s="21"/>
      <c r="M37" s="21"/>
      <c r="N37" s="21"/>
      <c r="O37" s="21"/>
      <c r="P37" s="21"/>
      <c r="Q37" s="21"/>
      <c r="R37" s="21"/>
      <c r="S37" s="21"/>
      <c r="T37" s="21"/>
      <c r="U37" s="21"/>
      <c r="W37" s="45"/>
      <c r="Y37" s="45"/>
      <c r="AA37" s="45"/>
      <c r="AB37" s="45"/>
      <c r="AE37" s="1801"/>
      <c r="AF37" s="1575"/>
      <c r="AG37" s="1802"/>
      <c r="AH37" s="402"/>
    </row>
    <row r="38" spans="2:34" s="1" customFormat="1" ht="11.25" customHeight="1">
      <c r="B38" s="409"/>
      <c r="C38" s="8"/>
      <c r="D38" s="8"/>
      <c r="E38" s="8"/>
      <c r="F38" s="8"/>
      <c r="G38" s="8"/>
      <c r="H38" s="10"/>
      <c r="I38" s="10"/>
      <c r="J38" s="623"/>
      <c r="K38" s="623"/>
      <c r="L38" s="623"/>
      <c r="M38" s="623"/>
      <c r="N38" s="623"/>
      <c r="O38" s="623"/>
      <c r="P38" s="623"/>
      <c r="Q38" s="623"/>
      <c r="R38" s="623"/>
      <c r="S38" s="623"/>
      <c r="T38" s="623"/>
      <c r="U38" s="623"/>
      <c r="V38" s="10"/>
      <c r="W38" s="657"/>
      <c r="X38" s="10"/>
      <c r="Y38" s="657"/>
      <c r="Z38" s="10"/>
      <c r="AA38" s="657"/>
      <c r="AB38" s="657"/>
      <c r="AC38" s="10"/>
      <c r="AD38" s="10"/>
      <c r="AE38" s="661"/>
      <c r="AF38" s="661"/>
      <c r="AG38" s="420"/>
      <c r="AH38" s="402"/>
    </row>
    <row r="39" spans="2:34" ht="19.5" customHeight="1">
      <c r="C39" s="1591" t="s">
        <v>293</v>
      </c>
      <c r="D39" s="1597"/>
      <c r="E39" s="1597"/>
      <c r="F39" s="1597"/>
      <c r="G39" s="1597"/>
      <c r="H39" s="1597"/>
      <c r="I39" s="1597"/>
      <c r="J39" s="1597"/>
      <c r="K39" s="1597"/>
      <c r="L39" s="1597"/>
      <c r="M39" s="1597"/>
      <c r="N39" s="1597"/>
      <c r="O39" s="1597"/>
      <c r="P39" s="1597"/>
      <c r="Q39" s="1597"/>
      <c r="R39" s="1597"/>
      <c r="S39" s="1597"/>
      <c r="T39" s="1597"/>
      <c r="U39" s="1597"/>
      <c r="V39" s="1597"/>
      <c r="W39" s="1597"/>
      <c r="X39" s="1597"/>
      <c r="Y39" s="1597"/>
      <c r="Z39" s="1597"/>
      <c r="AA39" s="1597"/>
      <c r="AB39" s="1597"/>
      <c r="AC39" s="1597"/>
      <c r="AD39" s="1597"/>
      <c r="AE39" s="1597"/>
      <c r="AF39" s="1597"/>
      <c r="AG39" s="1591"/>
      <c r="AH39" s="57"/>
    </row>
    <row r="40" spans="2:34">
      <c r="C40" s="1597" t="s">
        <v>270</v>
      </c>
      <c r="D40" s="1597"/>
      <c r="E40" s="1597"/>
      <c r="F40" s="1597"/>
      <c r="G40" s="1597"/>
      <c r="H40" s="1597"/>
      <c r="I40" s="1597"/>
      <c r="J40" s="1597"/>
      <c r="K40" s="1597"/>
      <c r="L40" s="1597"/>
      <c r="M40" s="1597"/>
      <c r="N40" s="1597"/>
      <c r="O40" s="1597"/>
      <c r="P40" s="1597"/>
      <c r="Q40" s="1597"/>
      <c r="R40" s="1597"/>
      <c r="S40" s="1597"/>
      <c r="T40" s="1597"/>
      <c r="U40" s="1597"/>
      <c r="V40" s="1597"/>
      <c r="W40" s="1597"/>
      <c r="X40" s="1597"/>
      <c r="Y40" s="1597"/>
      <c r="Z40" s="1597"/>
      <c r="AA40" s="1597"/>
      <c r="AB40" s="1597"/>
      <c r="AC40" s="1597"/>
      <c r="AD40" s="1597"/>
      <c r="AE40" s="1597"/>
      <c r="AF40" s="1597"/>
      <c r="AG40" s="1597"/>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3"/>
  <printOptions horizontalCentered="1"/>
  <pageMargins left="0.70866141732283472" right="0.39370078740157483" top="0.51181102362204722" bottom="0.35433070866141736" header="0.31496062992125984" footer="0.31496062992125984"/>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954ECE3-574F-4EAE-B6F6-F4C053795410}">
          <x14:formula1>
            <xm:f>"□,■"</xm:f>
          </x14:formula1>
          <xm:sqref>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I65544:I65546 JE65544:JE65546 TA65544:TA65546 ACW65544:ACW65546 AMS65544:AMS65546 AWO65544:AWO65546 BGK65544:BGK65546 BQG65544:BQG65546 CAC65544:CAC65546 CJY65544:CJY65546 CTU65544:CTU65546 DDQ65544:DDQ65546 DNM65544:DNM65546 DXI65544:DXI65546 EHE65544:EHE65546 ERA65544:ERA65546 FAW65544:FAW65546 FKS65544:FKS65546 FUO65544:FUO65546 GEK65544:GEK65546 GOG65544:GOG65546 GYC65544:GYC65546 HHY65544:HHY65546 HRU65544:HRU65546 IBQ65544:IBQ65546 ILM65544:ILM65546 IVI65544:IVI65546 JFE65544:JFE65546 JPA65544:JPA65546 JYW65544:JYW65546 KIS65544:KIS65546 KSO65544:KSO65546 LCK65544:LCK65546 LMG65544:LMG65546 LWC65544:LWC65546 MFY65544:MFY65546 MPU65544:MPU65546 MZQ65544:MZQ65546 NJM65544:NJM65546 NTI65544:NTI65546 ODE65544:ODE65546 ONA65544:ONA65546 OWW65544:OWW65546 PGS65544:PGS65546 PQO65544:PQO65546 QAK65544:QAK65546 QKG65544:QKG65546 QUC65544:QUC65546 RDY65544:RDY65546 RNU65544:RNU65546 RXQ65544:RXQ65546 SHM65544:SHM65546 SRI65544:SRI65546 TBE65544:TBE65546 TLA65544:TLA65546 TUW65544:TUW65546 UES65544:UES65546 UOO65544:UOO65546 UYK65544:UYK65546 VIG65544:VIG65546 VSC65544:VSC65546 WBY65544:WBY65546 WLU65544:WLU65546 WVQ65544:WVQ65546 I131080:I131082 JE131080:JE131082 TA131080:TA131082 ACW131080:ACW131082 AMS131080:AMS131082 AWO131080:AWO131082 BGK131080:BGK131082 BQG131080:BQG131082 CAC131080:CAC131082 CJY131080:CJY131082 CTU131080:CTU131082 DDQ131080:DDQ131082 DNM131080:DNM131082 DXI131080:DXI131082 EHE131080:EHE131082 ERA131080:ERA131082 FAW131080:FAW131082 FKS131080:FKS131082 FUO131080:FUO131082 GEK131080:GEK131082 GOG131080:GOG131082 GYC131080:GYC131082 HHY131080:HHY131082 HRU131080:HRU131082 IBQ131080:IBQ131082 ILM131080:ILM131082 IVI131080:IVI131082 JFE131080:JFE131082 JPA131080:JPA131082 JYW131080:JYW131082 KIS131080:KIS131082 KSO131080:KSO131082 LCK131080:LCK131082 LMG131080:LMG131082 LWC131080:LWC131082 MFY131080:MFY131082 MPU131080:MPU131082 MZQ131080:MZQ131082 NJM131080:NJM131082 NTI131080:NTI131082 ODE131080:ODE131082 ONA131080:ONA131082 OWW131080:OWW131082 PGS131080:PGS131082 PQO131080:PQO131082 QAK131080:QAK131082 QKG131080:QKG131082 QUC131080:QUC131082 RDY131080:RDY131082 RNU131080:RNU131082 RXQ131080:RXQ131082 SHM131080:SHM131082 SRI131080:SRI131082 TBE131080:TBE131082 TLA131080:TLA131082 TUW131080:TUW131082 UES131080:UES131082 UOO131080:UOO131082 UYK131080:UYK131082 VIG131080:VIG131082 VSC131080:VSC131082 WBY131080:WBY131082 WLU131080:WLU131082 WVQ131080:WVQ131082 I196616:I196618 JE196616:JE196618 TA196616:TA196618 ACW196616:ACW196618 AMS196616:AMS196618 AWO196616:AWO196618 BGK196616:BGK196618 BQG196616:BQG196618 CAC196616:CAC196618 CJY196616:CJY196618 CTU196616:CTU196618 DDQ196616:DDQ196618 DNM196616:DNM196618 DXI196616:DXI196618 EHE196616:EHE196618 ERA196616:ERA196618 FAW196616:FAW196618 FKS196616:FKS196618 FUO196616:FUO196618 GEK196616:GEK196618 GOG196616:GOG196618 GYC196616:GYC196618 HHY196616:HHY196618 HRU196616:HRU196618 IBQ196616:IBQ196618 ILM196616:ILM196618 IVI196616:IVI196618 JFE196616:JFE196618 JPA196616:JPA196618 JYW196616:JYW196618 KIS196616:KIS196618 KSO196616:KSO196618 LCK196616:LCK196618 LMG196616:LMG196618 LWC196616:LWC196618 MFY196616:MFY196618 MPU196616:MPU196618 MZQ196616:MZQ196618 NJM196616:NJM196618 NTI196616:NTI196618 ODE196616:ODE196618 ONA196616:ONA196618 OWW196616:OWW196618 PGS196616:PGS196618 PQO196616:PQO196618 QAK196616:QAK196618 QKG196616:QKG196618 QUC196616:QUC196618 RDY196616:RDY196618 RNU196616:RNU196618 RXQ196616:RXQ196618 SHM196616:SHM196618 SRI196616:SRI196618 TBE196616:TBE196618 TLA196616:TLA196618 TUW196616:TUW196618 UES196616:UES196618 UOO196616:UOO196618 UYK196616:UYK196618 VIG196616:VIG196618 VSC196616:VSC196618 WBY196616:WBY196618 WLU196616:WLU196618 WVQ196616:WVQ196618 I262152:I262154 JE262152:JE262154 TA262152:TA262154 ACW262152:ACW262154 AMS262152:AMS262154 AWO262152:AWO262154 BGK262152:BGK262154 BQG262152:BQG262154 CAC262152:CAC262154 CJY262152:CJY262154 CTU262152:CTU262154 DDQ262152:DDQ262154 DNM262152:DNM262154 DXI262152:DXI262154 EHE262152:EHE262154 ERA262152:ERA262154 FAW262152:FAW262154 FKS262152:FKS262154 FUO262152:FUO262154 GEK262152:GEK262154 GOG262152:GOG262154 GYC262152:GYC262154 HHY262152:HHY262154 HRU262152:HRU262154 IBQ262152:IBQ262154 ILM262152:ILM262154 IVI262152:IVI262154 JFE262152:JFE262154 JPA262152:JPA262154 JYW262152:JYW262154 KIS262152:KIS262154 KSO262152:KSO262154 LCK262152:LCK262154 LMG262152:LMG262154 LWC262152:LWC262154 MFY262152:MFY262154 MPU262152:MPU262154 MZQ262152:MZQ262154 NJM262152:NJM262154 NTI262152:NTI262154 ODE262152:ODE262154 ONA262152:ONA262154 OWW262152:OWW262154 PGS262152:PGS262154 PQO262152:PQO262154 QAK262152:QAK262154 QKG262152:QKG262154 QUC262152:QUC262154 RDY262152:RDY262154 RNU262152:RNU262154 RXQ262152:RXQ262154 SHM262152:SHM262154 SRI262152:SRI262154 TBE262152:TBE262154 TLA262152:TLA262154 TUW262152:TUW262154 UES262152:UES262154 UOO262152:UOO262154 UYK262152:UYK262154 VIG262152:VIG262154 VSC262152:VSC262154 WBY262152:WBY262154 WLU262152:WLU262154 WVQ262152:WVQ262154 I327688:I327690 JE327688:JE327690 TA327688:TA327690 ACW327688:ACW327690 AMS327688:AMS327690 AWO327688:AWO327690 BGK327688:BGK327690 BQG327688:BQG327690 CAC327688:CAC327690 CJY327688:CJY327690 CTU327688:CTU327690 DDQ327688:DDQ327690 DNM327688:DNM327690 DXI327688:DXI327690 EHE327688:EHE327690 ERA327688:ERA327690 FAW327688:FAW327690 FKS327688:FKS327690 FUO327688:FUO327690 GEK327688:GEK327690 GOG327688:GOG327690 GYC327688:GYC327690 HHY327688:HHY327690 HRU327688:HRU327690 IBQ327688:IBQ327690 ILM327688:ILM327690 IVI327688:IVI327690 JFE327688:JFE327690 JPA327688:JPA327690 JYW327688:JYW327690 KIS327688:KIS327690 KSO327688:KSO327690 LCK327688:LCK327690 LMG327688:LMG327690 LWC327688:LWC327690 MFY327688:MFY327690 MPU327688:MPU327690 MZQ327688:MZQ327690 NJM327688:NJM327690 NTI327688:NTI327690 ODE327688:ODE327690 ONA327688:ONA327690 OWW327688:OWW327690 PGS327688:PGS327690 PQO327688:PQO327690 QAK327688:QAK327690 QKG327688:QKG327690 QUC327688:QUC327690 RDY327688:RDY327690 RNU327688:RNU327690 RXQ327688:RXQ327690 SHM327688:SHM327690 SRI327688:SRI327690 TBE327688:TBE327690 TLA327688:TLA327690 TUW327688:TUW327690 UES327688:UES327690 UOO327688:UOO327690 UYK327688:UYK327690 VIG327688:VIG327690 VSC327688:VSC327690 WBY327688:WBY327690 WLU327688:WLU327690 WVQ327688:WVQ327690 I393224:I393226 JE393224:JE393226 TA393224:TA393226 ACW393224:ACW393226 AMS393224:AMS393226 AWO393224:AWO393226 BGK393224:BGK393226 BQG393224:BQG393226 CAC393224:CAC393226 CJY393224:CJY393226 CTU393224:CTU393226 DDQ393224:DDQ393226 DNM393224:DNM393226 DXI393224:DXI393226 EHE393224:EHE393226 ERA393224:ERA393226 FAW393224:FAW393226 FKS393224:FKS393226 FUO393224:FUO393226 GEK393224:GEK393226 GOG393224:GOG393226 GYC393224:GYC393226 HHY393224:HHY393226 HRU393224:HRU393226 IBQ393224:IBQ393226 ILM393224:ILM393226 IVI393224:IVI393226 JFE393224:JFE393226 JPA393224:JPA393226 JYW393224:JYW393226 KIS393224:KIS393226 KSO393224:KSO393226 LCK393224:LCK393226 LMG393224:LMG393226 LWC393224:LWC393226 MFY393224:MFY393226 MPU393224:MPU393226 MZQ393224:MZQ393226 NJM393224:NJM393226 NTI393224:NTI393226 ODE393224:ODE393226 ONA393224:ONA393226 OWW393224:OWW393226 PGS393224:PGS393226 PQO393224:PQO393226 QAK393224:QAK393226 QKG393224:QKG393226 QUC393224:QUC393226 RDY393224:RDY393226 RNU393224:RNU393226 RXQ393224:RXQ393226 SHM393224:SHM393226 SRI393224:SRI393226 TBE393224:TBE393226 TLA393224:TLA393226 TUW393224:TUW393226 UES393224:UES393226 UOO393224:UOO393226 UYK393224:UYK393226 VIG393224:VIG393226 VSC393224:VSC393226 WBY393224:WBY393226 WLU393224:WLU393226 WVQ393224:WVQ393226 I458760:I458762 JE458760:JE458762 TA458760:TA458762 ACW458760:ACW458762 AMS458760:AMS458762 AWO458760:AWO458762 BGK458760:BGK458762 BQG458760:BQG458762 CAC458760:CAC458762 CJY458760:CJY458762 CTU458760:CTU458762 DDQ458760:DDQ458762 DNM458760:DNM458762 DXI458760:DXI458762 EHE458760:EHE458762 ERA458760:ERA458762 FAW458760:FAW458762 FKS458760:FKS458762 FUO458760:FUO458762 GEK458760:GEK458762 GOG458760:GOG458762 GYC458760:GYC458762 HHY458760:HHY458762 HRU458760:HRU458762 IBQ458760:IBQ458762 ILM458760:ILM458762 IVI458760:IVI458762 JFE458760:JFE458762 JPA458760:JPA458762 JYW458760:JYW458762 KIS458760:KIS458762 KSO458760:KSO458762 LCK458760:LCK458762 LMG458760:LMG458762 LWC458760:LWC458762 MFY458760:MFY458762 MPU458760:MPU458762 MZQ458760:MZQ458762 NJM458760:NJM458762 NTI458760:NTI458762 ODE458760:ODE458762 ONA458760:ONA458762 OWW458760:OWW458762 PGS458760:PGS458762 PQO458760:PQO458762 QAK458760:QAK458762 QKG458760:QKG458762 QUC458760:QUC458762 RDY458760:RDY458762 RNU458760:RNU458762 RXQ458760:RXQ458762 SHM458760:SHM458762 SRI458760:SRI458762 TBE458760:TBE458762 TLA458760:TLA458762 TUW458760:TUW458762 UES458760:UES458762 UOO458760:UOO458762 UYK458760:UYK458762 VIG458760:VIG458762 VSC458760:VSC458762 WBY458760:WBY458762 WLU458760:WLU458762 WVQ458760:WVQ458762 I524296:I524298 JE524296:JE524298 TA524296:TA524298 ACW524296:ACW524298 AMS524296:AMS524298 AWO524296:AWO524298 BGK524296:BGK524298 BQG524296:BQG524298 CAC524296:CAC524298 CJY524296:CJY524298 CTU524296:CTU524298 DDQ524296:DDQ524298 DNM524296:DNM524298 DXI524296:DXI524298 EHE524296:EHE524298 ERA524296:ERA524298 FAW524296:FAW524298 FKS524296:FKS524298 FUO524296:FUO524298 GEK524296:GEK524298 GOG524296:GOG524298 GYC524296:GYC524298 HHY524296:HHY524298 HRU524296:HRU524298 IBQ524296:IBQ524298 ILM524296:ILM524298 IVI524296:IVI524298 JFE524296:JFE524298 JPA524296:JPA524298 JYW524296:JYW524298 KIS524296:KIS524298 KSO524296:KSO524298 LCK524296:LCK524298 LMG524296:LMG524298 LWC524296:LWC524298 MFY524296:MFY524298 MPU524296:MPU524298 MZQ524296:MZQ524298 NJM524296:NJM524298 NTI524296:NTI524298 ODE524296:ODE524298 ONA524296:ONA524298 OWW524296:OWW524298 PGS524296:PGS524298 PQO524296:PQO524298 QAK524296:QAK524298 QKG524296:QKG524298 QUC524296:QUC524298 RDY524296:RDY524298 RNU524296:RNU524298 RXQ524296:RXQ524298 SHM524296:SHM524298 SRI524296:SRI524298 TBE524296:TBE524298 TLA524296:TLA524298 TUW524296:TUW524298 UES524296:UES524298 UOO524296:UOO524298 UYK524296:UYK524298 VIG524296:VIG524298 VSC524296:VSC524298 WBY524296:WBY524298 WLU524296:WLU524298 WVQ524296:WVQ524298 I589832:I589834 JE589832:JE589834 TA589832:TA589834 ACW589832:ACW589834 AMS589832:AMS589834 AWO589832:AWO589834 BGK589832:BGK589834 BQG589832:BQG589834 CAC589832:CAC589834 CJY589832:CJY589834 CTU589832:CTU589834 DDQ589832:DDQ589834 DNM589832:DNM589834 DXI589832:DXI589834 EHE589832:EHE589834 ERA589832:ERA589834 FAW589832:FAW589834 FKS589832:FKS589834 FUO589832:FUO589834 GEK589832:GEK589834 GOG589832:GOG589834 GYC589832:GYC589834 HHY589832:HHY589834 HRU589832:HRU589834 IBQ589832:IBQ589834 ILM589832:ILM589834 IVI589832:IVI589834 JFE589832:JFE589834 JPA589832:JPA589834 JYW589832:JYW589834 KIS589832:KIS589834 KSO589832:KSO589834 LCK589832:LCK589834 LMG589832:LMG589834 LWC589832:LWC589834 MFY589832:MFY589834 MPU589832:MPU589834 MZQ589832:MZQ589834 NJM589832:NJM589834 NTI589832:NTI589834 ODE589832:ODE589834 ONA589832:ONA589834 OWW589832:OWW589834 PGS589832:PGS589834 PQO589832:PQO589834 QAK589832:QAK589834 QKG589832:QKG589834 QUC589832:QUC589834 RDY589832:RDY589834 RNU589832:RNU589834 RXQ589832:RXQ589834 SHM589832:SHM589834 SRI589832:SRI589834 TBE589832:TBE589834 TLA589832:TLA589834 TUW589832:TUW589834 UES589832:UES589834 UOO589832:UOO589834 UYK589832:UYK589834 VIG589832:VIG589834 VSC589832:VSC589834 WBY589832:WBY589834 WLU589832:WLU589834 WVQ589832:WVQ589834 I655368:I655370 JE655368:JE655370 TA655368:TA655370 ACW655368:ACW655370 AMS655368:AMS655370 AWO655368:AWO655370 BGK655368:BGK655370 BQG655368:BQG655370 CAC655368:CAC655370 CJY655368:CJY655370 CTU655368:CTU655370 DDQ655368:DDQ655370 DNM655368:DNM655370 DXI655368:DXI655370 EHE655368:EHE655370 ERA655368:ERA655370 FAW655368:FAW655370 FKS655368:FKS655370 FUO655368:FUO655370 GEK655368:GEK655370 GOG655368:GOG655370 GYC655368:GYC655370 HHY655368:HHY655370 HRU655368:HRU655370 IBQ655368:IBQ655370 ILM655368:ILM655370 IVI655368:IVI655370 JFE655368:JFE655370 JPA655368:JPA655370 JYW655368:JYW655370 KIS655368:KIS655370 KSO655368:KSO655370 LCK655368:LCK655370 LMG655368:LMG655370 LWC655368:LWC655370 MFY655368:MFY655370 MPU655368:MPU655370 MZQ655368:MZQ655370 NJM655368:NJM655370 NTI655368:NTI655370 ODE655368:ODE655370 ONA655368:ONA655370 OWW655368:OWW655370 PGS655368:PGS655370 PQO655368:PQO655370 QAK655368:QAK655370 QKG655368:QKG655370 QUC655368:QUC655370 RDY655368:RDY655370 RNU655368:RNU655370 RXQ655368:RXQ655370 SHM655368:SHM655370 SRI655368:SRI655370 TBE655368:TBE655370 TLA655368:TLA655370 TUW655368:TUW655370 UES655368:UES655370 UOO655368:UOO655370 UYK655368:UYK655370 VIG655368:VIG655370 VSC655368:VSC655370 WBY655368:WBY655370 WLU655368:WLU655370 WVQ655368:WVQ655370 I720904:I720906 JE720904:JE720906 TA720904:TA720906 ACW720904:ACW720906 AMS720904:AMS720906 AWO720904:AWO720906 BGK720904:BGK720906 BQG720904:BQG720906 CAC720904:CAC720906 CJY720904:CJY720906 CTU720904:CTU720906 DDQ720904:DDQ720906 DNM720904:DNM720906 DXI720904:DXI720906 EHE720904:EHE720906 ERA720904:ERA720906 FAW720904:FAW720906 FKS720904:FKS720906 FUO720904:FUO720906 GEK720904:GEK720906 GOG720904:GOG720906 GYC720904:GYC720906 HHY720904:HHY720906 HRU720904:HRU720906 IBQ720904:IBQ720906 ILM720904:ILM720906 IVI720904:IVI720906 JFE720904:JFE720906 JPA720904:JPA720906 JYW720904:JYW720906 KIS720904:KIS720906 KSO720904:KSO720906 LCK720904:LCK720906 LMG720904:LMG720906 LWC720904:LWC720906 MFY720904:MFY720906 MPU720904:MPU720906 MZQ720904:MZQ720906 NJM720904:NJM720906 NTI720904:NTI720906 ODE720904:ODE720906 ONA720904:ONA720906 OWW720904:OWW720906 PGS720904:PGS720906 PQO720904:PQO720906 QAK720904:QAK720906 QKG720904:QKG720906 QUC720904:QUC720906 RDY720904:RDY720906 RNU720904:RNU720906 RXQ720904:RXQ720906 SHM720904:SHM720906 SRI720904:SRI720906 TBE720904:TBE720906 TLA720904:TLA720906 TUW720904:TUW720906 UES720904:UES720906 UOO720904:UOO720906 UYK720904:UYK720906 VIG720904:VIG720906 VSC720904:VSC720906 WBY720904:WBY720906 WLU720904:WLU720906 WVQ720904:WVQ720906 I786440:I786442 JE786440:JE786442 TA786440:TA786442 ACW786440:ACW786442 AMS786440:AMS786442 AWO786440:AWO786442 BGK786440:BGK786442 BQG786440:BQG786442 CAC786440:CAC786442 CJY786440:CJY786442 CTU786440:CTU786442 DDQ786440:DDQ786442 DNM786440:DNM786442 DXI786440:DXI786442 EHE786440:EHE786442 ERA786440:ERA786442 FAW786440:FAW786442 FKS786440:FKS786442 FUO786440:FUO786442 GEK786440:GEK786442 GOG786440:GOG786442 GYC786440:GYC786442 HHY786440:HHY786442 HRU786440:HRU786442 IBQ786440:IBQ786442 ILM786440:ILM786442 IVI786440:IVI786442 JFE786440:JFE786442 JPA786440:JPA786442 JYW786440:JYW786442 KIS786440:KIS786442 KSO786440:KSO786442 LCK786440:LCK786442 LMG786440:LMG786442 LWC786440:LWC786442 MFY786440:MFY786442 MPU786440:MPU786442 MZQ786440:MZQ786442 NJM786440:NJM786442 NTI786440:NTI786442 ODE786440:ODE786442 ONA786440:ONA786442 OWW786440:OWW786442 PGS786440:PGS786442 PQO786440:PQO786442 QAK786440:QAK786442 QKG786440:QKG786442 QUC786440:QUC786442 RDY786440:RDY786442 RNU786440:RNU786442 RXQ786440:RXQ786442 SHM786440:SHM786442 SRI786440:SRI786442 TBE786440:TBE786442 TLA786440:TLA786442 TUW786440:TUW786442 UES786440:UES786442 UOO786440:UOO786442 UYK786440:UYK786442 VIG786440:VIG786442 VSC786440:VSC786442 WBY786440:WBY786442 WLU786440:WLU786442 WVQ786440:WVQ786442 I851976:I851978 JE851976:JE851978 TA851976:TA851978 ACW851976:ACW851978 AMS851976:AMS851978 AWO851976:AWO851978 BGK851976:BGK851978 BQG851976:BQG851978 CAC851976:CAC851978 CJY851976:CJY851978 CTU851976:CTU851978 DDQ851976:DDQ851978 DNM851976:DNM851978 DXI851976:DXI851978 EHE851976:EHE851978 ERA851976:ERA851978 FAW851976:FAW851978 FKS851976:FKS851978 FUO851976:FUO851978 GEK851976:GEK851978 GOG851976:GOG851978 GYC851976:GYC851978 HHY851976:HHY851978 HRU851976:HRU851978 IBQ851976:IBQ851978 ILM851976:ILM851978 IVI851976:IVI851978 JFE851976:JFE851978 JPA851976:JPA851978 JYW851976:JYW851978 KIS851976:KIS851978 KSO851976:KSO851978 LCK851976:LCK851978 LMG851976:LMG851978 LWC851976:LWC851978 MFY851976:MFY851978 MPU851976:MPU851978 MZQ851976:MZQ851978 NJM851976:NJM851978 NTI851976:NTI851978 ODE851976:ODE851978 ONA851976:ONA851978 OWW851976:OWW851978 PGS851976:PGS851978 PQO851976:PQO851978 QAK851976:QAK851978 QKG851976:QKG851978 QUC851976:QUC851978 RDY851976:RDY851978 RNU851976:RNU851978 RXQ851976:RXQ851978 SHM851976:SHM851978 SRI851976:SRI851978 TBE851976:TBE851978 TLA851976:TLA851978 TUW851976:TUW851978 UES851976:UES851978 UOO851976:UOO851978 UYK851976:UYK851978 VIG851976:VIG851978 VSC851976:VSC851978 WBY851976:WBY851978 WLU851976:WLU851978 WVQ851976:WVQ851978 I917512:I917514 JE917512:JE917514 TA917512:TA917514 ACW917512:ACW917514 AMS917512:AMS917514 AWO917512:AWO917514 BGK917512:BGK917514 BQG917512:BQG917514 CAC917512:CAC917514 CJY917512:CJY917514 CTU917512:CTU917514 DDQ917512:DDQ917514 DNM917512:DNM917514 DXI917512:DXI917514 EHE917512:EHE917514 ERA917512:ERA917514 FAW917512:FAW917514 FKS917512:FKS917514 FUO917512:FUO917514 GEK917512:GEK917514 GOG917512:GOG917514 GYC917512:GYC917514 HHY917512:HHY917514 HRU917512:HRU917514 IBQ917512:IBQ917514 ILM917512:ILM917514 IVI917512:IVI917514 JFE917512:JFE917514 JPA917512:JPA917514 JYW917512:JYW917514 KIS917512:KIS917514 KSO917512:KSO917514 LCK917512:LCK917514 LMG917512:LMG917514 LWC917512:LWC917514 MFY917512:MFY917514 MPU917512:MPU917514 MZQ917512:MZQ917514 NJM917512:NJM917514 NTI917512:NTI917514 ODE917512:ODE917514 ONA917512:ONA917514 OWW917512:OWW917514 PGS917512:PGS917514 PQO917512:PQO917514 QAK917512:QAK917514 QKG917512:QKG917514 QUC917512:QUC917514 RDY917512:RDY917514 RNU917512:RNU917514 RXQ917512:RXQ917514 SHM917512:SHM917514 SRI917512:SRI917514 TBE917512:TBE917514 TLA917512:TLA917514 TUW917512:TUW917514 UES917512:UES917514 UOO917512:UOO917514 UYK917512:UYK917514 VIG917512:VIG917514 VSC917512:VSC917514 WBY917512:WBY917514 WLU917512:WLU917514 WVQ917512:WVQ917514 I983048:I983050 JE983048:JE983050 TA983048:TA983050 ACW983048:ACW983050 AMS983048:AMS983050 AWO983048:AWO983050 BGK983048:BGK983050 BQG983048:BQG983050 CAC983048:CAC983050 CJY983048:CJY983050 CTU983048:CTU983050 DDQ983048:DDQ983050 DNM983048:DNM983050 DXI983048:DXI983050 EHE983048:EHE983050 ERA983048:ERA983050 FAW983048:FAW983050 FKS983048:FKS983050 FUO983048:FUO983050 GEK983048:GEK983050 GOG983048:GOG983050 GYC983048:GYC983050 HHY983048:HHY983050 HRU983048:HRU983050 IBQ983048:IBQ983050 ILM983048:ILM983050 IVI983048:IVI983050 JFE983048:JFE983050 JPA983048:JPA983050 JYW983048:JYW983050 KIS983048:KIS983050 KSO983048:KSO983050 LCK983048:LCK983050 LMG983048:LMG983050 LWC983048:LWC983050 MFY983048:MFY983050 MPU983048:MPU983050 MZQ983048:MZQ983050 NJM983048:NJM983050 NTI983048:NTI983050 ODE983048:ODE983050 ONA983048:ONA983050 OWW983048:OWW983050 PGS983048:PGS983050 PQO983048:PQO983050 QAK983048:QAK983050 QKG983048:QKG983050 QUC983048:QUC983050 RDY983048:RDY983050 RNU983048:RNU983050 RXQ983048:RXQ983050 SHM983048:SHM983050 SRI983048:SRI983050 TBE983048:TBE983050 TLA983048:TLA983050 TUW983048:TUW983050 UES983048:UES983050 UOO983048:UOO983050 UYK983048:UYK983050 VIG983048:VIG983050 VSC983048:VSC983050 WBY983048:WBY983050 WLU983048:WLU983050 WVQ983048:WVQ983050 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AG17 KC17 TY17 ADU17 ANQ17 AXM17 BHI17 BRE17 CBA17 CKW17 CUS17 DEO17 DOK17 DYG17 EIC17 ERY17 FBU17 FLQ17 FVM17 GFI17 GPE17 GZA17 HIW17 HSS17 ICO17 IMK17 IWG17 JGC17 JPY17 JZU17 KJQ17 KTM17 LDI17 LNE17 LXA17 MGW17 MQS17 NAO17 NKK17 NUG17 OEC17 ONY17 OXU17 PHQ17 PRM17 QBI17 QLE17 QVA17 REW17 ROS17 RYO17 SIK17 SSG17 TCC17 TLY17 TVU17 UFQ17 UPM17 UZI17 VJE17 VTA17 WCW17 WMS17 WWO17 AG65553 KC65553 TY65553 ADU65553 ANQ65553 AXM65553 BHI65553 BRE65553 CBA65553 CKW65553 CUS65553 DEO65553 DOK65553 DYG65553 EIC65553 ERY65553 FBU65553 FLQ65553 FVM65553 GFI65553 GPE65553 GZA65553 HIW65553 HSS65553 ICO65553 IMK65553 IWG65553 JGC65553 JPY65553 JZU65553 KJQ65553 KTM65553 LDI65553 LNE65553 LXA65553 MGW65553 MQS65553 NAO65553 NKK65553 NUG65553 OEC65553 ONY65553 OXU65553 PHQ65553 PRM65553 QBI65553 QLE65553 QVA65553 REW65553 ROS65553 RYO65553 SIK65553 SSG65553 TCC65553 TLY65553 TVU65553 UFQ65553 UPM65553 UZI65553 VJE65553 VTA65553 WCW65553 WMS65553 WWO65553 AG131089 KC131089 TY131089 ADU131089 ANQ131089 AXM131089 BHI131089 BRE131089 CBA131089 CKW131089 CUS131089 DEO131089 DOK131089 DYG131089 EIC131089 ERY131089 FBU131089 FLQ131089 FVM131089 GFI131089 GPE131089 GZA131089 HIW131089 HSS131089 ICO131089 IMK131089 IWG131089 JGC131089 JPY131089 JZU131089 KJQ131089 KTM131089 LDI131089 LNE131089 LXA131089 MGW131089 MQS131089 NAO131089 NKK131089 NUG131089 OEC131089 ONY131089 OXU131089 PHQ131089 PRM131089 QBI131089 QLE131089 QVA131089 REW131089 ROS131089 RYO131089 SIK131089 SSG131089 TCC131089 TLY131089 TVU131089 UFQ131089 UPM131089 UZI131089 VJE131089 VTA131089 WCW131089 WMS131089 WWO131089 AG196625 KC196625 TY196625 ADU196625 ANQ196625 AXM196625 BHI196625 BRE196625 CBA196625 CKW196625 CUS196625 DEO196625 DOK196625 DYG196625 EIC196625 ERY196625 FBU196625 FLQ196625 FVM196625 GFI196625 GPE196625 GZA196625 HIW196625 HSS196625 ICO196625 IMK196625 IWG196625 JGC196625 JPY196625 JZU196625 KJQ196625 KTM196625 LDI196625 LNE196625 LXA196625 MGW196625 MQS196625 NAO196625 NKK196625 NUG196625 OEC196625 ONY196625 OXU196625 PHQ196625 PRM196625 QBI196625 QLE196625 QVA196625 REW196625 ROS196625 RYO196625 SIK196625 SSG196625 TCC196625 TLY196625 TVU196625 UFQ196625 UPM196625 UZI196625 VJE196625 VTA196625 WCW196625 WMS196625 WWO196625 AG262161 KC262161 TY262161 ADU262161 ANQ262161 AXM262161 BHI262161 BRE262161 CBA262161 CKW262161 CUS262161 DEO262161 DOK262161 DYG262161 EIC262161 ERY262161 FBU262161 FLQ262161 FVM262161 GFI262161 GPE262161 GZA262161 HIW262161 HSS262161 ICO262161 IMK262161 IWG262161 JGC262161 JPY262161 JZU262161 KJQ262161 KTM262161 LDI262161 LNE262161 LXA262161 MGW262161 MQS262161 NAO262161 NKK262161 NUG262161 OEC262161 ONY262161 OXU262161 PHQ262161 PRM262161 QBI262161 QLE262161 QVA262161 REW262161 ROS262161 RYO262161 SIK262161 SSG262161 TCC262161 TLY262161 TVU262161 UFQ262161 UPM262161 UZI262161 VJE262161 VTA262161 WCW262161 WMS262161 WWO262161 AG327697 KC327697 TY327697 ADU327697 ANQ327697 AXM327697 BHI327697 BRE327697 CBA327697 CKW327697 CUS327697 DEO327697 DOK327697 DYG327697 EIC327697 ERY327697 FBU327697 FLQ327697 FVM327697 GFI327697 GPE327697 GZA327697 HIW327697 HSS327697 ICO327697 IMK327697 IWG327697 JGC327697 JPY327697 JZU327697 KJQ327697 KTM327697 LDI327697 LNE327697 LXA327697 MGW327697 MQS327697 NAO327697 NKK327697 NUG327697 OEC327697 ONY327697 OXU327697 PHQ327697 PRM327697 QBI327697 QLE327697 QVA327697 REW327697 ROS327697 RYO327697 SIK327697 SSG327697 TCC327697 TLY327697 TVU327697 UFQ327697 UPM327697 UZI327697 VJE327697 VTA327697 WCW327697 WMS327697 WWO327697 AG393233 KC393233 TY393233 ADU393233 ANQ393233 AXM393233 BHI393233 BRE393233 CBA393233 CKW393233 CUS393233 DEO393233 DOK393233 DYG393233 EIC393233 ERY393233 FBU393233 FLQ393233 FVM393233 GFI393233 GPE393233 GZA393233 HIW393233 HSS393233 ICO393233 IMK393233 IWG393233 JGC393233 JPY393233 JZU393233 KJQ393233 KTM393233 LDI393233 LNE393233 LXA393233 MGW393233 MQS393233 NAO393233 NKK393233 NUG393233 OEC393233 ONY393233 OXU393233 PHQ393233 PRM393233 QBI393233 QLE393233 QVA393233 REW393233 ROS393233 RYO393233 SIK393233 SSG393233 TCC393233 TLY393233 TVU393233 UFQ393233 UPM393233 UZI393233 VJE393233 VTA393233 WCW393233 WMS393233 WWO393233 AG458769 KC458769 TY458769 ADU458769 ANQ458769 AXM458769 BHI458769 BRE458769 CBA458769 CKW458769 CUS458769 DEO458769 DOK458769 DYG458769 EIC458769 ERY458769 FBU458769 FLQ458769 FVM458769 GFI458769 GPE458769 GZA458769 HIW458769 HSS458769 ICO458769 IMK458769 IWG458769 JGC458769 JPY458769 JZU458769 KJQ458769 KTM458769 LDI458769 LNE458769 LXA458769 MGW458769 MQS458769 NAO458769 NKK458769 NUG458769 OEC458769 ONY458769 OXU458769 PHQ458769 PRM458769 QBI458769 QLE458769 QVA458769 REW458769 ROS458769 RYO458769 SIK458769 SSG458769 TCC458769 TLY458769 TVU458769 UFQ458769 UPM458769 UZI458769 VJE458769 VTA458769 WCW458769 WMS458769 WWO458769 AG524305 KC524305 TY524305 ADU524305 ANQ524305 AXM524305 BHI524305 BRE524305 CBA524305 CKW524305 CUS524305 DEO524305 DOK524305 DYG524305 EIC524305 ERY524305 FBU524305 FLQ524305 FVM524305 GFI524305 GPE524305 GZA524305 HIW524305 HSS524305 ICO524305 IMK524305 IWG524305 JGC524305 JPY524305 JZU524305 KJQ524305 KTM524305 LDI524305 LNE524305 LXA524305 MGW524305 MQS524305 NAO524305 NKK524305 NUG524305 OEC524305 ONY524305 OXU524305 PHQ524305 PRM524305 QBI524305 QLE524305 QVA524305 REW524305 ROS524305 RYO524305 SIK524305 SSG524305 TCC524305 TLY524305 TVU524305 UFQ524305 UPM524305 UZI524305 VJE524305 VTA524305 WCW524305 WMS524305 WWO524305 AG589841 KC589841 TY589841 ADU589841 ANQ589841 AXM589841 BHI589841 BRE589841 CBA589841 CKW589841 CUS589841 DEO589841 DOK589841 DYG589841 EIC589841 ERY589841 FBU589841 FLQ589841 FVM589841 GFI589841 GPE589841 GZA589841 HIW589841 HSS589841 ICO589841 IMK589841 IWG589841 JGC589841 JPY589841 JZU589841 KJQ589841 KTM589841 LDI589841 LNE589841 LXA589841 MGW589841 MQS589841 NAO589841 NKK589841 NUG589841 OEC589841 ONY589841 OXU589841 PHQ589841 PRM589841 QBI589841 QLE589841 QVA589841 REW589841 ROS589841 RYO589841 SIK589841 SSG589841 TCC589841 TLY589841 TVU589841 UFQ589841 UPM589841 UZI589841 VJE589841 VTA589841 WCW589841 WMS589841 WWO589841 AG655377 KC655377 TY655377 ADU655377 ANQ655377 AXM655377 BHI655377 BRE655377 CBA655377 CKW655377 CUS655377 DEO655377 DOK655377 DYG655377 EIC655377 ERY655377 FBU655377 FLQ655377 FVM655377 GFI655377 GPE655377 GZA655377 HIW655377 HSS655377 ICO655377 IMK655377 IWG655377 JGC655377 JPY655377 JZU655377 KJQ655377 KTM655377 LDI655377 LNE655377 LXA655377 MGW655377 MQS655377 NAO655377 NKK655377 NUG655377 OEC655377 ONY655377 OXU655377 PHQ655377 PRM655377 QBI655377 QLE655377 QVA655377 REW655377 ROS655377 RYO655377 SIK655377 SSG655377 TCC655377 TLY655377 TVU655377 UFQ655377 UPM655377 UZI655377 VJE655377 VTA655377 WCW655377 WMS655377 WWO655377 AG720913 KC720913 TY720913 ADU720913 ANQ720913 AXM720913 BHI720913 BRE720913 CBA720913 CKW720913 CUS720913 DEO720913 DOK720913 DYG720913 EIC720913 ERY720913 FBU720913 FLQ720913 FVM720913 GFI720913 GPE720913 GZA720913 HIW720913 HSS720913 ICO720913 IMK720913 IWG720913 JGC720913 JPY720913 JZU720913 KJQ720913 KTM720913 LDI720913 LNE720913 LXA720913 MGW720913 MQS720913 NAO720913 NKK720913 NUG720913 OEC720913 ONY720913 OXU720913 PHQ720913 PRM720913 QBI720913 QLE720913 QVA720913 REW720913 ROS720913 RYO720913 SIK720913 SSG720913 TCC720913 TLY720913 TVU720913 UFQ720913 UPM720913 UZI720913 VJE720913 VTA720913 WCW720913 WMS720913 WWO720913 AG786449 KC786449 TY786449 ADU786449 ANQ786449 AXM786449 BHI786449 BRE786449 CBA786449 CKW786449 CUS786449 DEO786449 DOK786449 DYG786449 EIC786449 ERY786449 FBU786449 FLQ786449 FVM786449 GFI786449 GPE786449 GZA786449 HIW786449 HSS786449 ICO786449 IMK786449 IWG786449 JGC786449 JPY786449 JZU786449 KJQ786449 KTM786449 LDI786449 LNE786449 LXA786449 MGW786449 MQS786449 NAO786449 NKK786449 NUG786449 OEC786449 ONY786449 OXU786449 PHQ786449 PRM786449 QBI786449 QLE786449 QVA786449 REW786449 ROS786449 RYO786449 SIK786449 SSG786449 TCC786449 TLY786449 TVU786449 UFQ786449 UPM786449 UZI786449 VJE786449 VTA786449 WCW786449 WMS786449 WWO786449 AG851985 KC851985 TY851985 ADU851985 ANQ851985 AXM851985 BHI851985 BRE851985 CBA851985 CKW851985 CUS851985 DEO851985 DOK851985 DYG851985 EIC851985 ERY851985 FBU851985 FLQ851985 FVM851985 GFI851985 GPE851985 GZA851985 HIW851985 HSS851985 ICO851985 IMK851985 IWG851985 JGC851985 JPY851985 JZU851985 KJQ851985 KTM851985 LDI851985 LNE851985 LXA851985 MGW851985 MQS851985 NAO851985 NKK851985 NUG851985 OEC851985 ONY851985 OXU851985 PHQ851985 PRM851985 QBI851985 QLE851985 QVA851985 REW851985 ROS851985 RYO851985 SIK851985 SSG851985 TCC851985 TLY851985 TVU851985 UFQ851985 UPM851985 UZI851985 VJE851985 VTA851985 WCW851985 WMS851985 WWO851985 AG917521 KC917521 TY917521 ADU917521 ANQ917521 AXM917521 BHI917521 BRE917521 CBA917521 CKW917521 CUS917521 DEO917521 DOK917521 DYG917521 EIC917521 ERY917521 FBU917521 FLQ917521 FVM917521 GFI917521 GPE917521 GZA917521 HIW917521 HSS917521 ICO917521 IMK917521 IWG917521 JGC917521 JPY917521 JZU917521 KJQ917521 KTM917521 LDI917521 LNE917521 LXA917521 MGW917521 MQS917521 NAO917521 NKK917521 NUG917521 OEC917521 ONY917521 OXU917521 PHQ917521 PRM917521 QBI917521 QLE917521 QVA917521 REW917521 ROS917521 RYO917521 SIK917521 SSG917521 TCC917521 TLY917521 TVU917521 UFQ917521 UPM917521 UZI917521 VJE917521 VTA917521 WCW917521 WMS917521 WWO917521 AG983057 KC983057 TY983057 ADU983057 ANQ983057 AXM983057 BHI983057 BRE983057 CBA983057 CKW983057 CUS983057 DEO983057 DOK983057 DYG983057 EIC983057 ERY983057 FBU983057 FLQ983057 FVM983057 GFI983057 GPE983057 GZA983057 HIW983057 HSS983057 ICO983057 IMK983057 IWG983057 JGC983057 JPY983057 JZU983057 KJQ983057 KTM983057 LDI983057 LNE983057 LXA983057 MGW983057 MQS983057 NAO983057 NKK983057 NUG983057 OEC983057 ONY983057 OXU983057 PHQ983057 PRM983057 QBI983057 QLE983057 QVA983057 REW983057 ROS983057 RYO983057 SIK983057 SSG983057 TCC983057 TLY983057 TVU983057 UFQ983057 UPM983057 UZI983057 VJE983057 VTA983057 WCW983057 WMS983057 WWO983057 AE24 KA24 TW24 ADS24 ANO24 AXK24 BHG24 BRC24 CAY24 CKU24 CUQ24 DEM24 DOI24 DYE24 EIA24 ERW24 FBS24 FLO24 FVK24 GFG24 GPC24 GYY24 HIU24 HSQ24 ICM24 IMI24 IWE24 JGA24 JPW24 JZS24 KJO24 KTK24 LDG24 LNC24 LWY24 MGU24 MQQ24 NAM24 NKI24 NUE24 OEA24 ONW24 OXS24 PHO24 PRK24 QBG24 QLC24 QUY24 REU24 ROQ24 RYM24 SII24 SSE24 TCA24 TLW24 TVS24 UFO24 UPK24 UZG24 VJC24 VSY24 WCU24 WMQ24 WWM24 AE65560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AE131096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AE196632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AE262168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AE327704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AE393240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AE458776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AE524312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AE589848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AE655384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AE720920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AE786456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AE851992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AE917528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AE983064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AG24 KC24 TY24 ADU24 ANQ24 AXM24 BHI24 BRE24 CBA24 CKW24 CUS24 DEO24 DOK24 DYG24 EIC24 ERY24 FBU24 FLQ24 FVM24 GFI24 GPE24 GZA24 HIW24 HSS24 ICO24 IMK24 IWG24 JGC24 JPY24 JZU24 KJQ24 KTM24 LDI24 LNE24 LXA24 MGW24 MQS24 NAO24 NKK24 NUG24 OEC24 ONY24 OXU24 PHQ24 PRM24 QBI24 QLE24 QVA24 REW24 ROS24 RYO24 SIK24 SSG24 TCC24 TLY24 TVU24 UFQ24 UPM24 UZI24 VJE24 VTA24 WCW24 WMS24 WWO24 AG65560 KC65560 TY65560 ADU65560 ANQ65560 AXM65560 BHI65560 BRE65560 CBA65560 CKW65560 CUS65560 DEO65560 DOK65560 DYG65560 EIC65560 ERY65560 FBU65560 FLQ65560 FVM65560 GFI65560 GPE65560 GZA65560 HIW65560 HSS65560 ICO65560 IMK65560 IWG65560 JGC65560 JPY65560 JZU65560 KJQ65560 KTM65560 LDI65560 LNE65560 LXA65560 MGW65560 MQS65560 NAO65560 NKK65560 NUG65560 OEC65560 ONY65560 OXU65560 PHQ65560 PRM65560 QBI65560 QLE65560 QVA65560 REW65560 ROS65560 RYO65560 SIK65560 SSG65560 TCC65560 TLY65560 TVU65560 UFQ65560 UPM65560 UZI65560 VJE65560 VTA65560 WCW65560 WMS65560 WWO65560 AG131096 KC131096 TY131096 ADU131096 ANQ131096 AXM131096 BHI131096 BRE131096 CBA131096 CKW131096 CUS131096 DEO131096 DOK131096 DYG131096 EIC131096 ERY131096 FBU131096 FLQ131096 FVM131096 GFI131096 GPE131096 GZA131096 HIW131096 HSS131096 ICO131096 IMK131096 IWG131096 JGC131096 JPY131096 JZU131096 KJQ131096 KTM131096 LDI131096 LNE131096 LXA131096 MGW131096 MQS131096 NAO131096 NKK131096 NUG131096 OEC131096 ONY131096 OXU131096 PHQ131096 PRM131096 QBI131096 QLE131096 QVA131096 REW131096 ROS131096 RYO131096 SIK131096 SSG131096 TCC131096 TLY131096 TVU131096 UFQ131096 UPM131096 UZI131096 VJE131096 VTA131096 WCW131096 WMS131096 WWO131096 AG196632 KC196632 TY196632 ADU196632 ANQ196632 AXM196632 BHI196632 BRE196632 CBA196632 CKW196632 CUS196632 DEO196632 DOK196632 DYG196632 EIC196632 ERY196632 FBU196632 FLQ196632 FVM196632 GFI196632 GPE196632 GZA196632 HIW196632 HSS196632 ICO196632 IMK196632 IWG196632 JGC196632 JPY196632 JZU196632 KJQ196632 KTM196632 LDI196632 LNE196632 LXA196632 MGW196632 MQS196632 NAO196632 NKK196632 NUG196632 OEC196632 ONY196632 OXU196632 PHQ196632 PRM196632 QBI196632 QLE196632 QVA196632 REW196632 ROS196632 RYO196632 SIK196632 SSG196632 TCC196632 TLY196632 TVU196632 UFQ196632 UPM196632 UZI196632 VJE196632 VTA196632 WCW196632 WMS196632 WWO196632 AG262168 KC262168 TY262168 ADU262168 ANQ262168 AXM262168 BHI262168 BRE262168 CBA262168 CKW262168 CUS262168 DEO262168 DOK262168 DYG262168 EIC262168 ERY262168 FBU262168 FLQ262168 FVM262168 GFI262168 GPE262168 GZA262168 HIW262168 HSS262168 ICO262168 IMK262168 IWG262168 JGC262168 JPY262168 JZU262168 KJQ262168 KTM262168 LDI262168 LNE262168 LXA262168 MGW262168 MQS262168 NAO262168 NKK262168 NUG262168 OEC262168 ONY262168 OXU262168 PHQ262168 PRM262168 QBI262168 QLE262168 QVA262168 REW262168 ROS262168 RYO262168 SIK262168 SSG262168 TCC262168 TLY262168 TVU262168 UFQ262168 UPM262168 UZI262168 VJE262168 VTA262168 WCW262168 WMS262168 WWO262168 AG327704 KC327704 TY327704 ADU327704 ANQ327704 AXM327704 BHI327704 BRE327704 CBA327704 CKW327704 CUS327704 DEO327704 DOK327704 DYG327704 EIC327704 ERY327704 FBU327704 FLQ327704 FVM327704 GFI327704 GPE327704 GZA327704 HIW327704 HSS327704 ICO327704 IMK327704 IWG327704 JGC327704 JPY327704 JZU327704 KJQ327704 KTM327704 LDI327704 LNE327704 LXA327704 MGW327704 MQS327704 NAO327704 NKK327704 NUG327704 OEC327704 ONY327704 OXU327704 PHQ327704 PRM327704 QBI327704 QLE327704 QVA327704 REW327704 ROS327704 RYO327704 SIK327704 SSG327704 TCC327704 TLY327704 TVU327704 UFQ327704 UPM327704 UZI327704 VJE327704 VTA327704 WCW327704 WMS327704 WWO327704 AG393240 KC393240 TY393240 ADU393240 ANQ393240 AXM393240 BHI393240 BRE393240 CBA393240 CKW393240 CUS393240 DEO393240 DOK393240 DYG393240 EIC393240 ERY393240 FBU393240 FLQ393240 FVM393240 GFI393240 GPE393240 GZA393240 HIW393240 HSS393240 ICO393240 IMK393240 IWG393240 JGC393240 JPY393240 JZU393240 KJQ393240 KTM393240 LDI393240 LNE393240 LXA393240 MGW393240 MQS393240 NAO393240 NKK393240 NUG393240 OEC393240 ONY393240 OXU393240 PHQ393240 PRM393240 QBI393240 QLE393240 QVA393240 REW393240 ROS393240 RYO393240 SIK393240 SSG393240 TCC393240 TLY393240 TVU393240 UFQ393240 UPM393240 UZI393240 VJE393240 VTA393240 WCW393240 WMS393240 WWO393240 AG458776 KC458776 TY458776 ADU458776 ANQ458776 AXM458776 BHI458776 BRE458776 CBA458776 CKW458776 CUS458776 DEO458776 DOK458776 DYG458776 EIC458776 ERY458776 FBU458776 FLQ458776 FVM458776 GFI458776 GPE458776 GZA458776 HIW458776 HSS458776 ICO458776 IMK458776 IWG458776 JGC458776 JPY458776 JZU458776 KJQ458776 KTM458776 LDI458776 LNE458776 LXA458776 MGW458776 MQS458776 NAO458776 NKK458776 NUG458776 OEC458776 ONY458776 OXU458776 PHQ458776 PRM458776 QBI458776 QLE458776 QVA458776 REW458776 ROS458776 RYO458776 SIK458776 SSG458776 TCC458776 TLY458776 TVU458776 UFQ458776 UPM458776 UZI458776 VJE458776 VTA458776 WCW458776 WMS458776 WWO458776 AG524312 KC524312 TY524312 ADU524312 ANQ524312 AXM524312 BHI524312 BRE524312 CBA524312 CKW524312 CUS524312 DEO524312 DOK524312 DYG524312 EIC524312 ERY524312 FBU524312 FLQ524312 FVM524312 GFI524312 GPE524312 GZA524312 HIW524312 HSS524312 ICO524312 IMK524312 IWG524312 JGC524312 JPY524312 JZU524312 KJQ524312 KTM524312 LDI524312 LNE524312 LXA524312 MGW524312 MQS524312 NAO524312 NKK524312 NUG524312 OEC524312 ONY524312 OXU524312 PHQ524312 PRM524312 QBI524312 QLE524312 QVA524312 REW524312 ROS524312 RYO524312 SIK524312 SSG524312 TCC524312 TLY524312 TVU524312 UFQ524312 UPM524312 UZI524312 VJE524312 VTA524312 WCW524312 WMS524312 WWO524312 AG589848 KC589848 TY589848 ADU589848 ANQ589848 AXM589848 BHI589848 BRE589848 CBA589848 CKW589848 CUS589848 DEO589848 DOK589848 DYG589848 EIC589848 ERY589848 FBU589848 FLQ589848 FVM589848 GFI589848 GPE589848 GZA589848 HIW589848 HSS589848 ICO589848 IMK589848 IWG589848 JGC589848 JPY589848 JZU589848 KJQ589848 KTM589848 LDI589848 LNE589848 LXA589848 MGW589848 MQS589848 NAO589848 NKK589848 NUG589848 OEC589848 ONY589848 OXU589848 PHQ589848 PRM589848 QBI589848 QLE589848 QVA589848 REW589848 ROS589848 RYO589848 SIK589848 SSG589848 TCC589848 TLY589848 TVU589848 UFQ589848 UPM589848 UZI589848 VJE589848 VTA589848 WCW589848 WMS589848 WWO589848 AG655384 KC655384 TY655384 ADU655384 ANQ655384 AXM655384 BHI655384 BRE655384 CBA655384 CKW655384 CUS655384 DEO655384 DOK655384 DYG655384 EIC655384 ERY655384 FBU655384 FLQ655384 FVM655384 GFI655384 GPE655384 GZA655384 HIW655384 HSS655384 ICO655384 IMK655384 IWG655384 JGC655384 JPY655384 JZU655384 KJQ655384 KTM655384 LDI655384 LNE655384 LXA655384 MGW655384 MQS655384 NAO655384 NKK655384 NUG655384 OEC655384 ONY655384 OXU655384 PHQ655384 PRM655384 QBI655384 QLE655384 QVA655384 REW655384 ROS655384 RYO655384 SIK655384 SSG655384 TCC655384 TLY655384 TVU655384 UFQ655384 UPM655384 UZI655384 VJE655384 VTA655384 WCW655384 WMS655384 WWO655384 AG720920 KC720920 TY720920 ADU720920 ANQ720920 AXM720920 BHI720920 BRE720920 CBA720920 CKW720920 CUS720920 DEO720920 DOK720920 DYG720920 EIC720920 ERY720920 FBU720920 FLQ720920 FVM720920 GFI720920 GPE720920 GZA720920 HIW720920 HSS720920 ICO720920 IMK720920 IWG720920 JGC720920 JPY720920 JZU720920 KJQ720920 KTM720920 LDI720920 LNE720920 LXA720920 MGW720920 MQS720920 NAO720920 NKK720920 NUG720920 OEC720920 ONY720920 OXU720920 PHQ720920 PRM720920 QBI720920 QLE720920 QVA720920 REW720920 ROS720920 RYO720920 SIK720920 SSG720920 TCC720920 TLY720920 TVU720920 UFQ720920 UPM720920 UZI720920 VJE720920 VTA720920 WCW720920 WMS720920 WWO720920 AG786456 KC786456 TY786456 ADU786456 ANQ786456 AXM786456 BHI786456 BRE786456 CBA786456 CKW786456 CUS786456 DEO786456 DOK786456 DYG786456 EIC786456 ERY786456 FBU786456 FLQ786456 FVM786456 GFI786456 GPE786456 GZA786456 HIW786456 HSS786456 ICO786456 IMK786456 IWG786456 JGC786456 JPY786456 JZU786456 KJQ786456 KTM786456 LDI786456 LNE786456 LXA786456 MGW786456 MQS786456 NAO786456 NKK786456 NUG786456 OEC786456 ONY786456 OXU786456 PHQ786456 PRM786456 QBI786456 QLE786456 QVA786456 REW786456 ROS786456 RYO786456 SIK786456 SSG786456 TCC786456 TLY786456 TVU786456 UFQ786456 UPM786456 UZI786456 VJE786456 VTA786456 WCW786456 WMS786456 WWO786456 AG851992 KC851992 TY851992 ADU851992 ANQ851992 AXM851992 BHI851992 BRE851992 CBA851992 CKW851992 CUS851992 DEO851992 DOK851992 DYG851992 EIC851992 ERY851992 FBU851992 FLQ851992 FVM851992 GFI851992 GPE851992 GZA851992 HIW851992 HSS851992 ICO851992 IMK851992 IWG851992 JGC851992 JPY851992 JZU851992 KJQ851992 KTM851992 LDI851992 LNE851992 LXA851992 MGW851992 MQS851992 NAO851992 NKK851992 NUG851992 OEC851992 ONY851992 OXU851992 PHQ851992 PRM851992 QBI851992 QLE851992 QVA851992 REW851992 ROS851992 RYO851992 SIK851992 SSG851992 TCC851992 TLY851992 TVU851992 UFQ851992 UPM851992 UZI851992 VJE851992 VTA851992 WCW851992 WMS851992 WWO851992 AG917528 KC917528 TY917528 ADU917528 ANQ917528 AXM917528 BHI917528 BRE917528 CBA917528 CKW917528 CUS917528 DEO917528 DOK917528 DYG917528 EIC917528 ERY917528 FBU917528 FLQ917528 FVM917528 GFI917528 GPE917528 GZA917528 HIW917528 HSS917528 ICO917528 IMK917528 IWG917528 JGC917528 JPY917528 JZU917528 KJQ917528 KTM917528 LDI917528 LNE917528 LXA917528 MGW917528 MQS917528 NAO917528 NKK917528 NUG917528 OEC917528 ONY917528 OXU917528 PHQ917528 PRM917528 QBI917528 QLE917528 QVA917528 REW917528 ROS917528 RYO917528 SIK917528 SSG917528 TCC917528 TLY917528 TVU917528 UFQ917528 UPM917528 UZI917528 VJE917528 VTA917528 WCW917528 WMS917528 WWO917528 AG983064 KC983064 TY983064 ADU983064 ANQ983064 AXM983064 BHI983064 BRE983064 CBA983064 CKW983064 CUS983064 DEO983064 DOK983064 DYG983064 EIC983064 ERY983064 FBU983064 FLQ983064 FVM983064 GFI983064 GPE983064 GZA983064 HIW983064 HSS983064 ICO983064 IMK983064 IWG983064 JGC983064 JPY983064 JZU983064 KJQ983064 KTM983064 LDI983064 LNE983064 LXA983064 MGW983064 MQS983064 NAO983064 NKK983064 NUG983064 OEC983064 ONY983064 OXU983064 PHQ983064 PRM983064 QBI983064 QLE983064 QVA983064 REW983064 ROS983064 RYO983064 SIK983064 SSG983064 TCC983064 TLY983064 TVU983064 UFQ983064 UPM983064 UZI983064 VJE983064 VTA983064 WCW983064 WMS983064 WWO983064 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AG35 KC35 TY35 ADU35 ANQ35 AXM35 BHI35 BRE35 CBA35 CKW35 CUS35 DEO35 DOK35 DYG35 EIC35 ERY35 FBU35 FLQ35 FVM35 GFI35 GPE35 GZA35 HIW35 HSS35 ICO35 IMK35 IWG35 JGC35 JPY35 JZU35 KJQ35 KTM35 LDI35 LNE35 LXA35 MGW35 MQS35 NAO35 NKK35 NUG35 OEC35 ONY35 OXU35 PHQ35 PRM35 QBI35 QLE35 QVA35 REW35 ROS35 RYO35 SIK35 SSG35 TCC35 TLY35 TVU35 UFQ35 UPM35 UZI35 VJE35 VTA35 WCW35 WMS35 WWO35 AG65571 KC65571 TY65571 ADU65571 ANQ65571 AXM65571 BHI65571 BRE65571 CBA65571 CKW65571 CUS65571 DEO65571 DOK65571 DYG65571 EIC65571 ERY65571 FBU65571 FLQ65571 FVM65571 GFI65571 GPE65571 GZA65571 HIW65571 HSS65571 ICO65571 IMK65571 IWG65571 JGC65571 JPY65571 JZU65571 KJQ65571 KTM65571 LDI65571 LNE65571 LXA65571 MGW65571 MQS65571 NAO65571 NKK65571 NUG65571 OEC65571 ONY65571 OXU65571 PHQ65571 PRM65571 QBI65571 QLE65571 QVA65571 REW65571 ROS65571 RYO65571 SIK65571 SSG65571 TCC65571 TLY65571 TVU65571 UFQ65571 UPM65571 UZI65571 VJE65571 VTA65571 WCW65571 WMS65571 WWO65571 AG131107 KC131107 TY131107 ADU131107 ANQ131107 AXM131107 BHI131107 BRE131107 CBA131107 CKW131107 CUS131107 DEO131107 DOK131107 DYG131107 EIC131107 ERY131107 FBU131107 FLQ131107 FVM131107 GFI131107 GPE131107 GZA131107 HIW131107 HSS131107 ICO131107 IMK131107 IWG131107 JGC131107 JPY131107 JZU131107 KJQ131107 KTM131107 LDI131107 LNE131107 LXA131107 MGW131107 MQS131107 NAO131107 NKK131107 NUG131107 OEC131107 ONY131107 OXU131107 PHQ131107 PRM131107 QBI131107 QLE131107 QVA131107 REW131107 ROS131107 RYO131107 SIK131107 SSG131107 TCC131107 TLY131107 TVU131107 UFQ131107 UPM131107 UZI131107 VJE131107 VTA131107 WCW131107 WMS131107 WWO131107 AG196643 KC196643 TY196643 ADU196643 ANQ196643 AXM196643 BHI196643 BRE196643 CBA196643 CKW196643 CUS196643 DEO196643 DOK196643 DYG196643 EIC196643 ERY196643 FBU196643 FLQ196643 FVM196643 GFI196643 GPE196643 GZA196643 HIW196643 HSS196643 ICO196643 IMK196643 IWG196643 JGC196643 JPY196643 JZU196643 KJQ196643 KTM196643 LDI196643 LNE196643 LXA196643 MGW196643 MQS196643 NAO196643 NKK196643 NUG196643 OEC196643 ONY196643 OXU196643 PHQ196643 PRM196643 QBI196643 QLE196643 QVA196643 REW196643 ROS196643 RYO196643 SIK196643 SSG196643 TCC196643 TLY196643 TVU196643 UFQ196643 UPM196643 UZI196643 VJE196643 VTA196643 WCW196643 WMS196643 WWO196643 AG262179 KC262179 TY262179 ADU262179 ANQ262179 AXM262179 BHI262179 BRE262179 CBA262179 CKW262179 CUS262179 DEO262179 DOK262179 DYG262179 EIC262179 ERY262179 FBU262179 FLQ262179 FVM262179 GFI262179 GPE262179 GZA262179 HIW262179 HSS262179 ICO262179 IMK262179 IWG262179 JGC262179 JPY262179 JZU262179 KJQ262179 KTM262179 LDI262179 LNE262179 LXA262179 MGW262179 MQS262179 NAO262179 NKK262179 NUG262179 OEC262179 ONY262179 OXU262179 PHQ262179 PRM262179 QBI262179 QLE262179 QVA262179 REW262179 ROS262179 RYO262179 SIK262179 SSG262179 TCC262179 TLY262179 TVU262179 UFQ262179 UPM262179 UZI262179 VJE262179 VTA262179 WCW262179 WMS262179 WWO262179 AG327715 KC327715 TY327715 ADU327715 ANQ327715 AXM327715 BHI327715 BRE327715 CBA327715 CKW327715 CUS327715 DEO327715 DOK327715 DYG327715 EIC327715 ERY327715 FBU327715 FLQ327715 FVM327715 GFI327715 GPE327715 GZA327715 HIW327715 HSS327715 ICO327715 IMK327715 IWG327715 JGC327715 JPY327715 JZU327715 KJQ327715 KTM327715 LDI327715 LNE327715 LXA327715 MGW327715 MQS327715 NAO327715 NKK327715 NUG327715 OEC327715 ONY327715 OXU327715 PHQ327715 PRM327715 QBI327715 QLE327715 QVA327715 REW327715 ROS327715 RYO327715 SIK327715 SSG327715 TCC327715 TLY327715 TVU327715 UFQ327715 UPM327715 UZI327715 VJE327715 VTA327715 WCW327715 WMS327715 WWO327715 AG393251 KC393251 TY393251 ADU393251 ANQ393251 AXM393251 BHI393251 BRE393251 CBA393251 CKW393251 CUS393251 DEO393251 DOK393251 DYG393251 EIC393251 ERY393251 FBU393251 FLQ393251 FVM393251 GFI393251 GPE393251 GZA393251 HIW393251 HSS393251 ICO393251 IMK393251 IWG393251 JGC393251 JPY393251 JZU393251 KJQ393251 KTM393251 LDI393251 LNE393251 LXA393251 MGW393251 MQS393251 NAO393251 NKK393251 NUG393251 OEC393251 ONY393251 OXU393251 PHQ393251 PRM393251 QBI393251 QLE393251 QVA393251 REW393251 ROS393251 RYO393251 SIK393251 SSG393251 TCC393251 TLY393251 TVU393251 UFQ393251 UPM393251 UZI393251 VJE393251 VTA393251 WCW393251 WMS393251 WWO393251 AG458787 KC458787 TY458787 ADU458787 ANQ458787 AXM458787 BHI458787 BRE458787 CBA458787 CKW458787 CUS458787 DEO458787 DOK458787 DYG458787 EIC458787 ERY458787 FBU458787 FLQ458787 FVM458787 GFI458787 GPE458787 GZA458787 HIW458787 HSS458787 ICO458787 IMK458787 IWG458787 JGC458787 JPY458787 JZU458787 KJQ458787 KTM458787 LDI458787 LNE458787 LXA458787 MGW458787 MQS458787 NAO458787 NKK458787 NUG458787 OEC458787 ONY458787 OXU458787 PHQ458787 PRM458787 QBI458787 QLE458787 QVA458787 REW458787 ROS458787 RYO458787 SIK458787 SSG458787 TCC458787 TLY458787 TVU458787 UFQ458787 UPM458787 UZI458787 VJE458787 VTA458787 WCW458787 WMS458787 WWO458787 AG524323 KC524323 TY524323 ADU524323 ANQ524323 AXM524323 BHI524323 BRE524323 CBA524323 CKW524323 CUS524323 DEO524323 DOK524323 DYG524323 EIC524323 ERY524323 FBU524323 FLQ524323 FVM524323 GFI524323 GPE524323 GZA524323 HIW524323 HSS524323 ICO524323 IMK524323 IWG524323 JGC524323 JPY524323 JZU524323 KJQ524323 KTM524323 LDI524323 LNE524323 LXA524323 MGW524323 MQS524323 NAO524323 NKK524323 NUG524323 OEC524323 ONY524323 OXU524323 PHQ524323 PRM524323 QBI524323 QLE524323 QVA524323 REW524323 ROS524323 RYO524323 SIK524323 SSG524323 TCC524323 TLY524323 TVU524323 UFQ524323 UPM524323 UZI524323 VJE524323 VTA524323 WCW524323 WMS524323 WWO524323 AG589859 KC589859 TY589859 ADU589859 ANQ589859 AXM589859 BHI589859 BRE589859 CBA589859 CKW589859 CUS589859 DEO589859 DOK589859 DYG589859 EIC589859 ERY589859 FBU589859 FLQ589859 FVM589859 GFI589859 GPE589859 GZA589859 HIW589859 HSS589859 ICO589859 IMK589859 IWG589859 JGC589859 JPY589859 JZU589859 KJQ589859 KTM589859 LDI589859 LNE589859 LXA589859 MGW589859 MQS589859 NAO589859 NKK589859 NUG589859 OEC589859 ONY589859 OXU589859 PHQ589859 PRM589859 QBI589859 QLE589859 QVA589859 REW589859 ROS589859 RYO589859 SIK589859 SSG589859 TCC589859 TLY589859 TVU589859 UFQ589859 UPM589859 UZI589859 VJE589859 VTA589859 WCW589859 WMS589859 WWO589859 AG655395 KC655395 TY655395 ADU655395 ANQ655395 AXM655395 BHI655395 BRE655395 CBA655395 CKW655395 CUS655395 DEO655395 DOK655395 DYG655395 EIC655395 ERY655395 FBU655395 FLQ655395 FVM655395 GFI655395 GPE655395 GZA655395 HIW655395 HSS655395 ICO655395 IMK655395 IWG655395 JGC655395 JPY655395 JZU655395 KJQ655395 KTM655395 LDI655395 LNE655395 LXA655395 MGW655395 MQS655395 NAO655395 NKK655395 NUG655395 OEC655395 ONY655395 OXU655395 PHQ655395 PRM655395 QBI655395 QLE655395 QVA655395 REW655395 ROS655395 RYO655395 SIK655395 SSG655395 TCC655395 TLY655395 TVU655395 UFQ655395 UPM655395 UZI655395 VJE655395 VTA655395 WCW655395 WMS655395 WWO655395 AG720931 KC720931 TY720931 ADU720931 ANQ720931 AXM720931 BHI720931 BRE720931 CBA720931 CKW720931 CUS720931 DEO720931 DOK720931 DYG720931 EIC720931 ERY720931 FBU720931 FLQ720931 FVM720931 GFI720931 GPE720931 GZA720931 HIW720931 HSS720931 ICO720931 IMK720931 IWG720931 JGC720931 JPY720931 JZU720931 KJQ720931 KTM720931 LDI720931 LNE720931 LXA720931 MGW720931 MQS720931 NAO720931 NKK720931 NUG720931 OEC720931 ONY720931 OXU720931 PHQ720931 PRM720931 QBI720931 QLE720931 QVA720931 REW720931 ROS720931 RYO720931 SIK720931 SSG720931 TCC720931 TLY720931 TVU720931 UFQ720931 UPM720931 UZI720931 VJE720931 VTA720931 WCW720931 WMS720931 WWO720931 AG786467 KC786467 TY786467 ADU786467 ANQ786467 AXM786467 BHI786467 BRE786467 CBA786467 CKW786467 CUS786467 DEO786467 DOK786467 DYG786467 EIC786467 ERY786467 FBU786467 FLQ786467 FVM786467 GFI786467 GPE786467 GZA786467 HIW786467 HSS786467 ICO786467 IMK786467 IWG786467 JGC786467 JPY786467 JZU786467 KJQ786467 KTM786467 LDI786467 LNE786467 LXA786467 MGW786467 MQS786467 NAO786467 NKK786467 NUG786467 OEC786467 ONY786467 OXU786467 PHQ786467 PRM786467 QBI786467 QLE786467 QVA786467 REW786467 ROS786467 RYO786467 SIK786467 SSG786467 TCC786467 TLY786467 TVU786467 UFQ786467 UPM786467 UZI786467 VJE786467 VTA786467 WCW786467 WMS786467 WWO786467 AG852003 KC852003 TY852003 ADU852003 ANQ852003 AXM852003 BHI852003 BRE852003 CBA852003 CKW852003 CUS852003 DEO852003 DOK852003 DYG852003 EIC852003 ERY852003 FBU852003 FLQ852003 FVM852003 GFI852003 GPE852003 GZA852003 HIW852003 HSS852003 ICO852003 IMK852003 IWG852003 JGC852003 JPY852003 JZU852003 KJQ852003 KTM852003 LDI852003 LNE852003 LXA852003 MGW852003 MQS852003 NAO852003 NKK852003 NUG852003 OEC852003 ONY852003 OXU852003 PHQ852003 PRM852003 QBI852003 QLE852003 QVA852003 REW852003 ROS852003 RYO852003 SIK852003 SSG852003 TCC852003 TLY852003 TVU852003 UFQ852003 UPM852003 UZI852003 VJE852003 VTA852003 WCW852003 WMS852003 WWO852003 AG917539 KC917539 TY917539 ADU917539 ANQ917539 AXM917539 BHI917539 BRE917539 CBA917539 CKW917539 CUS917539 DEO917539 DOK917539 DYG917539 EIC917539 ERY917539 FBU917539 FLQ917539 FVM917539 GFI917539 GPE917539 GZA917539 HIW917539 HSS917539 ICO917539 IMK917539 IWG917539 JGC917539 JPY917539 JZU917539 KJQ917539 KTM917539 LDI917539 LNE917539 LXA917539 MGW917539 MQS917539 NAO917539 NKK917539 NUG917539 OEC917539 ONY917539 OXU917539 PHQ917539 PRM917539 QBI917539 QLE917539 QVA917539 REW917539 ROS917539 RYO917539 SIK917539 SSG917539 TCC917539 TLY917539 TVU917539 UFQ917539 UPM917539 UZI917539 VJE917539 VTA917539 WCW917539 WMS917539 WWO917539 AG983075 KC983075 TY983075 ADU983075 ANQ983075 AXM983075 BHI983075 BRE983075 CBA983075 CKW983075 CUS983075 DEO983075 DOK983075 DYG983075 EIC983075 ERY983075 FBU983075 FLQ983075 FVM983075 GFI983075 GPE983075 GZA983075 HIW983075 HSS983075 ICO983075 IMK983075 IWG983075 JGC983075 JPY983075 JZU983075 KJQ983075 KTM983075 LDI983075 LNE983075 LXA983075 MGW983075 MQS983075 NAO983075 NKK983075 NUG983075 OEC983075 ONY983075 OXU983075 PHQ983075 PRM983075 QBI983075 QLE983075 QVA983075 REW983075 ROS983075 RYO983075 SIK983075 SSG983075 TCC983075 TLY983075 TVU983075 UFQ983075 UPM983075 UZI983075 VJE983075 VTA983075 WCW983075 WMS983075 WWO983075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F420-22A3-4ECD-96ED-9F0615DD7997}">
  <sheetPr>
    <tabColor rgb="FFFFFF00"/>
  </sheetPr>
  <dimension ref="A1:AK123"/>
  <sheetViews>
    <sheetView view="pageBreakPreview" zoomScaleNormal="100" zoomScaleSheetLayoutView="100" workbookViewId="0">
      <selection activeCell="BE21" sqref="BE21"/>
    </sheetView>
  </sheetViews>
  <sheetFormatPr defaultColWidth="3.44140625" defaultRowHeight="13.2"/>
  <cols>
    <col min="1" max="1" width="1.21875" style="3" customWidth="1"/>
    <col min="2" max="2" width="3.109375" style="616" customWidth="1"/>
    <col min="3" max="30" width="3.109375" style="3" customWidth="1"/>
    <col min="31" max="33" width="3.21875" style="3" customWidth="1"/>
    <col min="34" max="34" width="3.109375" style="3" customWidth="1"/>
    <col min="35" max="35" width="1.21875" style="3" customWidth="1"/>
    <col min="36" max="256" width="3.44140625" style="3"/>
    <col min="257" max="257" width="1.21875" style="3" customWidth="1"/>
    <col min="258" max="286" width="3.109375" style="3" customWidth="1"/>
    <col min="287" max="289" width="3.21875" style="3" customWidth="1"/>
    <col min="290" max="290" width="3.109375" style="3" customWidth="1"/>
    <col min="291" max="291" width="1.21875" style="3" customWidth="1"/>
    <col min="292" max="512" width="3.44140625" style="3"/>
    <col min="513" max="513" width="1.21875" style="3" customWidth="1"/>
    <col min="514" max="542" width="3.109375" style="3" customWidth="1"/>
    <col min="543" max="545" width="3.21875" style="3" customWidth="1"/>
    <col min="546" max="546" width="3.109375" style="3" customWidth="1"/>
    <col min="547" max="547" width="1.21875" style="3" customWidth="1"/>
    <col min="548" max="768" width="3.44140625" style="3"/>
    <col min="769" max="769" width="1.21875" style="3" customWidth="1"/>
    <col min="770" max="798" width="3.109375" style="3" customWidth="1"/>
    <col min="799" max="801" width="3.21875" style="3" customWidth="1"/>
    <col min="802" max="802" width="3.109375" style="3" customWidth="1"/>
    <col min="803" max="803" width="1.21875" style="3" customWidth="1"/>
    <col min="804" max="1024" width="3.44140625" style="3"/>
    <col min="1025" max="1025" width="1.21875" style="3" customWidth="1"/>
    <col min="1026" max="1054" width="3.109375" style="3" customWidth="1"/>
    <col min="1055" max="1057" width="3.21875" style="3" customWidth="1"/>
    <col min="1058" max="1058" width="3.109375" style="3" customWidth="1"/>
    <col min="1059" max="1059" width="1.21875" style="3" customWidth="1"/>
    <col min="1060" max="1280" width="3.44140625" style="3"/>
    <col min="1281" max="1281" width="1.21875" style="3" customWidth="1"/>
    <col min="1282" max="1310" width="3.109375" style="3" customWidth="1"/>
    <col min="1311" max="1313" width="3.21875" style="3" customWidth="1"/>
    <col min="1314" max="1314" width="3.109375" style="3" customWidth="1"/>
    <col min="1315" max="1315" width="1.21875" style="3" customWidth="1"/>
    <col min="1316" max="1536" width="3.44140625" style="3"/>
    <col min="1537" max="1537" width="1.21875" style="3" customWidth="1"/>
    <col min="1538" max="1566" width="3.109375" style="3" customWidth="1"/>
    <col min="1567" max="1569" width="3.21875" style="3" customWidth="1"/>
    <col min="1570" max="1570" width="3.109375" style="3" customWidth="1"/>
    <col min="1571" max="1571" width="1.21875" style="3" customWidth="1"/>
    <col min="1572" max="1792" width="3.44140625" style="3"/>
    <col min="1793" max="1793" width="1.21875" style="3" customWidth="1"/>
    <col min="1794" max="1822" width="3.109375" style="3" customWidth="1"/>
    <col min="1823" max="1825" width="3.21875" style="3" customWidth="1"/>
    <col min="1826" max="1826" width="3.109375" style="3" customWidth="1"/>
    <col min="1827" max="1827" width="1.21875" style="3" customWidth="1"/>
    <col min="1828" max="2048" width="3.44140625" style="3"/>
    <col min="2049" max="2049" width="1.21875" style="3" customWidth="1"/>
    <col min="2050" max="2078" width="3.109375" style="3" customWidth="1"/>
    <col min="2079" max="2081" width="3.21875" style="3" customWidth="1"/>
    <col min="2082" max="2082" width="3.109375" style="3" customWidth="1"/>
    <col min="2083" max="2083" width="1.21875" style="3" customWidth="1"/>
    <col min="2084" max="2304" width="3.44140625" style="3"/>
    <col min="2305" max="2305" width="1.21875" style="3" customWidth="1"/>
    <col min="2306" max="2334" width="3.109375" style="3" customWidth="1"/>
    <col min="2335" max="2337" width="3.21875" style="3" customWidth="1"/>
    <col min="2338" max="2338" width="3.109375" style="3" customWidth="1"/>
    <col min="2339" max="2339" width="1.21875" style="3" customWidth="1"/>
    <col min="2340" max="2560" width="3.44140625" style="3"/>
    <col min="2561" max="2561" width="1.21875" style="3" customWidth="1"/>
    <col min="2562" max="2590" width="3.109375" style="3" customWidth="1"/>
    <col min="2591" max="2593" width="3.21875" style="3" customWidth="1"/>
    <col min="2594" max="2594" width="3.109375" style="3" customWidth="1"/>
    <col min="2595" max="2595" width="1.21875" style="3" customWidth="1"/>
    <col min="2596" max="2816" width="3.44140625" style="3"/>
    <col min="2817" max="2817" width="1.21875" style="3" customWidth="1"/>
    <col min="2818" max="2846" width="3.109375" style="3" customWidth="1"/>
    <col min="2847" max="2849" width="3.21875" style="3" customWidth="1"/>
    <col min="2850" max="2850" width="3.109375" style="3" customWidth="1"/>
    <col min="2851" max="2851" width="1.21875" style="3" customWidth="1"/>
    <col min="2852" max="3072" width="3.44140625" style="3"/>
    <col min="3073" max="3073" width="1.21875" style="3" customWidth="1"/>
    <col min="3074" max="3102" width="3.109375" style="3" customWidth="1"/>
    <col min="3103" max="3105" width="3.21875" style="3" customWidth="1"/>
    <col min="3106" max="3106" width="3.109375" style="3" customWidth="1"/>
    <col min="3107" max="3107" width="1.21875" style="3" customWidth="1"/>
    <col min="3108" max="3328" width="3.44140625" style="3"/>
    <col min="3329" max="3329" width="1.21875" style="3" customWidth="1"/>
    <col min="3330" max="3358" width="3.109375" style="3" customWidth="1"/>
    <col min="3359" max="3361" width="3.21875" style="3" customWidth="1"/>
    <col min="3362" max="3362" width="3.109375" style="3" customWidth="1"/>
    <col min="3363" max="3363" width="1.21875" style="3" customWidth="1"/>
    <col min="3364" max="3584" width="3.44140625" style="3"/>
    <col min="3585" max="3585" width="1.21875" style="3" customWidth="1"/>
    <col min="3586" max="3614" width="3.109375" style="3" customWidth="1"/>
    <col min="3615" max="3617" width="3.21875" style="3" customWidth="1"/>
    <col min="3618" max="3618" width="3.109375" style="3" customWidth="1"/>
    <col min="3619" max="3619" width="1.21875" style="3" customWidth="1"/>
    <col min="3620" max="3840" width="3.44140625" style="3"/>
    <col min="3841" max="3841" width="1.21875" style="3" customWidth="1"/>
    <col min="3842" max="3870" width="3.109375" style="3" customWidth="1"/>
    <col min="3871" max="3873" width="3.21875" style="3" customWidth="1"/>
    <col min="3874" max="3874" width="3.109375" style="3" customWidth="1"/>
    <col min="3875" max="3875" width="1.21875" style="3" customWidth="1"/>
    <col min="3876" max="4096" width="3.44140625" style="3"/>
    <col min="4097" max="4097" width="1.21875" style="3" customWidth="1"/>
    <col min="4098" max="4126" width="3.109375" style="3" customWidth="1"/>
    <col min="4127" max="4129" width="3.21875" style="3" customWidth="1"/>
    <col min="4130" max="4130" width="3.109375" style="3" customWidth="1"/>
    <col min="4131" max="4131" width="1.21875" style="3" customWidth="1"/>
    <col min="4132" max="4352" width="3.44140625" style="3"/>
    <col min="4353" max="4353" width="1.21875" style="3" customWidth="1"/>
    <col min="4354" max="4382" width="3.109375" style="3" customWidth="1"/>
    <col min="4383" max="4385" width="3.21875" style="3" customWidth="1"/>
    <col min="4386" max="4386" width="3.109375" style="3" customWidth="1"/>
    <col min="4387" max="4387" width="1.21875" style="3" customWidth="1"/>
    <col min="4388" max="4608" width="3.44140625" style="3"/>
    <col min="4609" max="4609" width="1.21875" style="3" customWidth="1"/>
    <col min="4610" max="4638" width="3.109375" style="3" customWidth="1"/>
    <col min="4639" max="4641" width="3.21875" style="3" customWidth="1"/>
    <col min="4642" max="4642" width="3.109375" style="3" customWidth="1"/>
    <col min="4643" max="4643" width="1.21875" style="3" customWidth="1"/>
    <col min="4644" max="4864" width="3.44140625" style="3"/>
    <col min="4865" max="4865" width="1.21875" style="3" customWidth="1"/>
    <col min="4866" max="4894" width="3.109375" style="3" customWidth="1"/>
    <col min="4895" max="4897" width="3.21875" style="3" customWidth="1"/>
    <col min="4898" max="4898" width="3.109375" style="3" customWidth="1"/>
    <col min="4899" max="4899" width="1.21875" style="3" customWidth="1"/>
    <col min="4900" max="5120" width="3.44140625" style="3"/>
    <col min="5121" max="5121" width="1.21875" style="3" customWidth="1"/>
    <col min="5122" max="5150" width="3.109375" style="3" customWidth="1"/>
    <col min="5151" max="5153" width="3.21875" style="3" customWidth="1"/>
    <col min="5154" max="5154" width="3.109375" style="3" customWidth="1"/>
    <col min="5155" max="5155" width="1.21875" style="3" customWidth="1"/>
    <col min="5156" max="5376" width="3.44140625" style="3"/>
    <col min="5377" max="5377" width="1.21875" style="3" customWidth="1"/>
    <col min="5378" max="5406" width="3.109375" style="3" customWidth="1"/>
    <col min="5407" max="5409" width="3.21875" style="3" customWidth="1"/>
    <col min="5410" max="5410" width="3.109375" style="3" customWidth="1"/>
    <col min="5411" max="5411" width="1.21875" style="3" customWidth="1"/>
    <col min="5412" max="5632" width="3.44140625" style="3"/>
    <col min="5633" max="5633" width="1.21875" style="3" customWidth="1"/>
    <col min="5634" max="5662" width="3.109375" style="3" customWidth="1"/>
    <col min="5663" max="5665" width="3.21875" style="3" customWidth="1"/>
    <col min="5666" max="5666" width="3.109375" style="3" customWidth="1"/>
    <col min="5667" max="5667" width="1.21875" style="3" customWidth="1"/>
    <col min="5668" max="5888" width="3.44140625" style="3"/>
    <col min="5889" max="5889" width="1.21875" style="3" customWidth="1"/>
    <col min="5890" max="5918" width="3.109375" style="3" customWidth="1"/>
    <col min="5919" max="5921" width="3.21875" style="3" customWidth="1"/>
    <col min="5922" max="5922" width="3.109375" style="3" customWidth="1"/>
    <col min="5923" max="5923" width="1.21875" style="3" customWidth="1"/>
    <col min="5924" max="6144" width="3.44140625" style="3"/>
    <col min="6145" max="6145" width="1.21875" style="3" customWidth="1"/>
    <col min="6146" max="6174" width="3.109375" style="3" customWidth="1"/>
    <col min="6175" max="6177" width="3.21875" style="3" customWidth="1"/>
    <col min="6178" max="6178" width="3.109375" style="3" customWidth="1"/>
    <col min="6179" max="6179" width="1.21875" style="3" customWidth="1"/>
    <col min="6180" max="6400" width="3.44140625" style="3"/>
    <col min="6401" max="6401" width="1.21875" style="3" customWidth="1"/>
    <col min="6402" max="6430" width="3.109375" style="3" customWidth="1"/>
    <col min="6431" max="6433" width="3.21875" style="3" customWidth="1"/>
    <col min="6434" max="6434" width="3.109375" style="3" customWidth="1"/>
    <col min="6435" max="6435" width="1.21875" style="3" customWidth="1"/>
    <col min="6436" max="6656" width="3.44140625" style="3"/>
    <col min="6657" max="6657" width="1.21875" style="3" customWidth="1"/>
    <col min="6658" max="6686" width="3.109375" style="3" customWidth="1"/>
    <col min="6687" max="6689" width="3.21875" style="3" customWidth="1"/>
    <col min="6690" max="6690" width="3.109375" style="3" customWidth="1"/>
    <col min="6691" max="6691" width="1.21875" style="3" customWidth="1"/>
    <col min="6692" max="6912" width="3.44140625" style="3"/>
    <col min="6913" max="6913" width="1.21875" style="3" customWidth="1"/>
    <col min="6914" max="6942" width="3.109375" style="3" customWidth="1"/>
    <col min="6943" max="6945" width="3.21875" style="3" customWidth="1"/>
    <col min="6946" max="6946" width="3.109375" style="3" customWidth="1"/>
    <col min="6947" max="6947" width="1.21875" style="3" customWidth="1"/>
    <col min="6948" max="7168" width="3.44140625" style="3"/>
    <col min="7169" max="7169" width="1.21875" style="3" customWidth="1"/>
    <col min="7170" max="7198" width="3.109375" style="3" customWidth="1"/>
    <col min="7199" max="7201" width="3.21875" style="3" customWidth="1"/>
    <col min="7202" max="7202" width="3.109375" style="3" customWidth="1"/>
    <col min="7203" max="7203" width="1.21875" style="3" customWidth="1"/>
    <col min="7204" max="7424" width="3.44140625" style="3"/>
    <col min="7425" max="7425" width="1.21875" style="3" customWidth="1"/>
    <col min="7426" max="7454" width="3.109375" style="3" customWidth="1"/>
    <col min="7455" max="7457" width="3.21875" style="3" customWidth="1"/>
    <col min="7458" max="7458" width="3.109375" style="3" customWidth="1"/>
    <col min="7459" max="7459" width="1.21875" style="3" customWidth="1"/>
    <col min="7460" max="7680" width="3.44140625" style="3"/>
    <col min="7681" max="7681" width="1.21875" style="3" customWidth="1"/>
    <col min="7682" max="7710" width="3.109375" style="3" customWidth="1"/>
    <col min="7711" max="7713" width="3.21875" style="3" customWidth="1"/>
    <col min="7714" max="7714" width="3.109375" style="3" customWidth="1"/>
    <col min="7715" max="7715" width="1.21875" style="3" customWidth="1"/>
    <col min="7716" max="7936" width="3.44140625" style="3"/>
    <col min="7937" max="7937" width="1.21875" style="3" customWidth="1"/>
    <col min="7938" max="7966" width="3.109375" style="3" customWidth="1"/>
    <col min="7967" max="7969" width="3.21875" style="3" customWidth="1"/>
    <col min="7970" max="7970" width="3.109375" style="3" customWidth="1"/>
    <col min="7971" max="7971" width="1.21875" style="3" customWidth="1"/>
    <col min="7972" max="8192" width="3.44140625" style="3"/>
    <col min="8193" max="8193" width="1.21875" style="3" customWidth="1"/>
    <col min="8194" max="8222" width="3.109375" style="3" customWidth="1"/>
    <col min="8223" max="8225" width="3.21875" style="3" customWidth="1"/>
    <col min="8226" max="8226" width="3.109375" style="3" customWidth="1"/>
    <col min="8227" max="8227" width="1.21875" style="3" customWidth="1"/>
    <col min="8228" max="8448" width="3.44140625" style="3"/>
    <col min="8449" max="8449" width="1.21875" style="3" customWidth="1"/>
    <col min="8450" max="8478" width="3.109375" style="3" customWidth="1"/>
    <col min="8479" max="8481" width="3.21875" style="3" customWidth="1"/>
    <col min="8482" max="8482" width="3.109375" style="3" customWidth="1"/>
    <col min="8483" max="8483" width="1.21875" style="3" customWidth="1"/>
    <col min="8484" max="8704" width="3.44140625" style="3"/>
    <col min="8705" max="8705" width="1.21875" style="3" customWidth="1"/>
    <col min="8706" max="8734" width="3.109375" style="3" customWidth="1"/>
    <col min="8735" max="8737" width="3.21875" style="3" customWidth="1"/>
    <col min="8738" max="8738" width="3.109375" style="3" customWidth="1"/>
    <col min="8739" max="8739" width="1.21875" style="3" customWidth="1"/>
    <col min="8740" max="8960" width="3.44140625" style="3"/>
    <col min="8961" max="8961" width="1.21875" style="3" customWidth="1"/>
    <col min="8962" max="8990" width="3.109375" style="3" customWidth="1"/>
    <col min="8991" max="8993" width="3.21875" style="3" customWidth="1"/>
    <col min="8994" max="8994" width="3.109375" style="3" customWidth="1"/>
    <col min="8995" max="8995" width="1.21875" style="3" customWidth="1"/>
    <col min="8996" max="9216" width="3.44140625" style="3"/>
    <col min="9217" max="9217" width="1.21875" style="3" customWidth="1"/>
    <col min="9218" max="9246" width="3.109375" style="3" customWidth="1"/>
    <col min="9247" max="9249" width="3.21875" style="3" customWidth="1"/>
    <col min="9250" max="9250" width="3.109375" style="3" customWidth="1"/>
    <col min="9251" max="9251" width="1.21875" style="3" customWidth="1"/>
    <col min="9252" max="9472" width="3.44140625" style="3"/>
    <col min="9473" max="9473" width="1.21875" style="3" customWidth="1"/>
    <col min="9474" max="9502" width="3.109375" style="3" customWidth="1"/>
    <col min="9503" max="9505" width="3.21875" style="3" customWidth="1"/>
    <col min="9506" max="9506" width="3.109375" style="3" customWidth="1"/>
    <col min="9507" max="9507" width="1.21875" style="3" customWidth="1"/>
    <col min="9508" max="9728" width="3.44140625" style="3"/>
    <col min="9729" max="9729" width="1.21875" style="3" customWidth="1"/>
    <col min="9730" max="9758" width="3.109375" style="3" customWidth="1"/>
    <col min="9759" max="9761" width="3.21875" style="3" customWidth="1"/>
    <col min="9762" max="9762" width="3.109375" style="3" customWidth="1"/>
    <col min="9763" max="9763" width="1.21875" style="3" customWidth="1"/>
    <col min="9764" max="9984" width="3.44140625" style="3"/>
    <col min="9985" max="9985" width="1.21875" style="3" customWidth="1"/>
    <col min="9986" max="10014" width="3.109375" style="3" customWidth="1"/>
    <col min="10015" max="10017" width="3.21875" style="3" customWidth="1"/>
    <col min="10018" max="10018" width="3.109375" style="3" customWidth="1"/>
    <col min="10019" max="10019" width="1.21875" style="3" customWidth="1"/>
    <col min="10020" max="10240" width="3.44140625" style="3"/>
    <col min="10241" max="10241" width="1.21875" style="3" customWidth="1"/>
    <col min="10242" max="10270" width="3.109375" style="3" customWidth="1"/>
    <col min="10271" max="10273" width="3.21875" style="3" customWidth="1"/>
    <col min="10274" max="10274" width="3.109375" style="3" customWidth="1"/>
    <col min="10275" max="10275" width="1.21875" style="3" customWidth="1"/>
    <col min="10276" max="10496" width="3.44140625" style="3"/>
    <col min="10497" max="10497" width="1.21875" style="3" customWidth="1"/>
    <col min="10498" max="10526" width="3.109375" style="3" customWidth="1"/>
    <col min="10527" max="10529" width="3.21875" style="3" customWidth="1"/>
    <col min="10530" max="10530" width="3.109375" style="3" customWidth="1"/>
    <col min="10531" max="10531" width="1.21875" style="3" customWidth="1"/>
    <col min="10532" max="10752" width="3.44140625" style="3"/>
    <col min="10753" max="10753" width="1.21875" style="3" customWidth="1"/>
    <col min="10754" max="10782" width="3.109375" style="3" customWidth="1"/>
    <col min="10783" max="10785" width="3.21875" style="3" customWidth="1"/>
    <col min="10786" max="10786" width="3.109375" style="3" customWidth="1"/>
    <col min="10787" max="10787" width="1.21875" style="3" customWidth="1"/>
    <col min="10788" max="11008" width="3.44140625" style="3"/>
    <col min="11009" max="11009" width="1.21875" style="3" customWidth="1"/>
    <col min="11010" max="11038" width="3.109375" style="3" customWidth="1"/>
    <col min="11039" max="11041" width="3.21875" style="3" customWidth="1"/>
    <col min="11042" max="11042" width="3.109375" style="3" customWidth="1"/>
    <col min="11043" max="11043" width="1.21875" style="3" customWidth="1"/>
    <col min="11044" max="11264" width="3.44140625" style="3"/>
    <col min="11265" max="11265" width="1.21875" style="3" customWidth="1"/>
    <col min="11266" max="11294" width="3.109375" style="3" customWidth="1"/>
    <col min="11295" max="11297" width="3.21875" style="3" customWidth="1"/>
    <col min="11298" max="11298" width="3.109375" style="3" customWidth="1"/>
    <col min="11299" max="11299" width="1.21875" style="3" customWidth="1"/>
    <col min="11300" max="11520" width="3.44140625" style="3"/>
    <col min="11521" max="11521" width="1.21875" style="3" customWidth="1"/>
    <col min="11522" max="11550" width="3.109375" style="3" customWidth="1"/>
    <col min="11551" max="11553" width="3.21875" style="3" customWidth="1"/>
    <col min="11554" max="11554" width="3.109375" style="3" customWidth="1"/>
    <col min="11555" max="11555" width="1.21875" style="3" customWidth="1"/>
    <col min="11556" max="11776" width="3.44140625" style="3"/>
    <col min="11777" max="11777" width="1.21875" style="3" customWidth="1"/>
    <col min="11778" max="11806" width="3.109375" style="3" customWidth="1"/>
    <col min="11807" max="11809" width="3.21875" style="3" customWidth="1"/>
    <col min="11810" max="11810" width="3.109375" style="3" customWidth="1"/>
    <col min="11811" max="11811" width="1.21875" style="3" customWidth="1"/>
    <col min="11812" max="12032" width="3.44140625" style="3"/>
    <col min="12033" max="12033" width="1.21875" style="3" customWidth="1"/>
    <col min="12034" max="12062" width="3.109375" style="3" customWidth="1"/>
    <col min="12063" max="12065" width="3.21875" style="3" customWidth="1"/>
    <col min="12066" max="12066" width="3.109375" style="3" customWidth="1"/>
    <col min="12067" max="12067" width="1.21875" style="3" customWidth="1"/>
    <col min="12068" max="12288" width="3.44140625" style="3"/>
    <col min="12289" max="12289" width="1.21875" style="3" customWidth="1"/>
    <col min="12290" max="12318" width="3.109375" style="3" customWidth="1"/>
    <col min="12319" max="12321" width="3.21875" style="3" customWidth="1"/>
    <col min="12322" max="12322" width="3.109375" style="3" customWidth="1"/>
    <col min="12323" max="12323" width="1.21875" style="3" customWidth="1"/>
    <col min="12324" max="12544" width="3.44140625" style="3"/>
    <col min="12545" max="12545" width="1.21875" style="3" customWidth="1"/>
    <col min="12546" max="12574" width="3.109375" style="3" customWidth="1"/>
    <col min="12575" max="12577" width="3.21875" style="3" customWidth="1"/>
    <col min="12578" max="12578" width="3.109375" style="3" customWidth="1"/>
    <col min="12579" max="12579" width="1.21875" style="3" customWidth="1"/>
    <col min="12580" max="12800" width="3.44140625" style="3"/>
    <col min="12801" max="12801" width="1.21875" style="3" customWidth="1"/>
    <col min="12802" max="12830" width="3.109375" style="3" customWidth="1"/>
    <col min="12831" max="12833" width="3.21875" style="3" customWidth="1"/>
    <col min="12834" max="12834" width="3.109375" style="3" customWidth="1"/>
    <col min="12835" max="12835" width="1.21875" style="3" customWidth="1"/>
    <col min="12836" max="13056" width="3.44140625" style="3"/>
    <col min="13057" max="13057" width="1.21875" style="3" customWidth="1"/>
    <col min="13058" max="13086" width="3.109375" style="3" customWidth="1"/>
    <col min="13087" max="13089" width="3.21875" style="3" customWidth="1"/>
    <col min="13090" max="13090" width="3.109375" style="3" customWidth="1"/>
    <col min="13091" max="13091" width="1.21875" style="3" customWidth="1"/>
    <col min="13092" max="13312" width="3.44140625" style="3"/>
    <col min="13313" max="13313" width="1.21875" style="3" customWidth="1"/>
    <col min="13314" max="13342" width="3.109375" style="3" customWidth="1"/>
    <col min="13343" max="13345" width="3.21875" style="3" customWidth="1"/>
    <col min="13346" max="13346" width="3.109375" style="3" customWidth="1"/>
    <col min="13347" max="13347" width="1.21875" style="3" customWidth="1"/>
    <col min="13348" max="13568" width="3.44140625" style="3"/>
    <col min="13569" max="13569" width="1.21875" style="3" customWidth="1"/>
    <col min="13570" max="13598" width="3.109375" style="3" customWidth="1"/>
    <col min="13599" max="13601" width="3.21875" style="3" customWidth="1"/>
    <col min="13602" max="13602" width="3.109375" style="3" customWidth="1"/>
    <col min="13603" max="13603" width="1.21875" style="3" customWidth="1"/>
    <col min="13604" max="13824" width="3.44140625" style="3"/>
    <col min="13825" max="13825" width="1.21875" style="3" customWidth="1"/>
    <col min="13826" max="13854" width="3.109375" style="3" customWidth="1"/>
    <col min="13855" max="13857" width="3.21875" style="3" customWidth="1"/>
    <col min="13858" max="13858" width="3.109375" style="3" customWidth="1"/>
    <col min="13859" max="13859" width="1.21875" style="3" customWidth="1"/>
    <col min="13860" max="14080" width="3.44140625" style="3"/>
    <col min="14081" max="14081" width="1.21875" style="3" customWidth="1"/>
    <col min="14082" max="14110" width="3.109375" style="3" customWidth="1"/>
    <col min="14111" max="14113" width="3.21875" style="3" customWidth="1"/>
    <col min="14114" max="14114" width="3.109375" style="3" customWidth="1"/>
    <col min="14115" max="14115" width="1.21875" style="3" customWidth="1"/>
    <col min="14116" max="14336" width="3.44140625" style="3"/>
    <col min="14337" max="14337" width="1.21875" style="3" customWidth="1"/>
    <col min="14338" max="14366" width="3.109375" style="3" customWidth="1"/>
    <col min="14367" max="14369" width="3.21875" style="3" customWidth="1"/>
    <col min="14370" max="14370" width="3.109375" style="3" customWidth="1"/>
    <col min="14371" max="14371" width="1.21875" style="3" customWidth="1"/>
    <col min="14372" max="14592" width="3.44140625" style="3"/>
    <col min="14593" max="14593" width="1.21875" style="3" customWidth="1"/>
    <col min="14594" max="14622" width="3.109375" style="3" customWidth="1"/>
    <col min="14623" max="14625" width="3.21875" style="3" customWidth="1"/>
    <col min="14626" max="14626" width="3.109375" style="3" customWidth="1"/>
    <col min="14627" max="14627" width="1.21875" style="3" customWidth="1"/>
    <col min="14628" max="14848" width="3.44140625" style="3"/>
    <col min="14849" max="14849" width="1.21875" style="3" customWidth="1"/>
    <col min="14850" max="14878" width="3.109375" style="3" customWidth="1"/>
    <col min="14879" max="14881" width="3.21875" style="3" customWidth="1"/>
    <col min="14882" max="14882" width="3.109375" style="3" customWidth="1"/>
    <col min="14883" max="14883" width="1.21875" style="3" customWidth="1"/>
    <col min="14884" max="15104" width="3.44140625" style="3"/>
    <col min="15105" max="15105" width="1.21875" style="3" customWidth="1"/>
    <col min="15106" max="15134" width="3.109375" style="3" customWidth="1"/>
    <col min="15135" max="15137" width="3.21875" style="3" customWidth="1"/>
    <col min="15138" max="15138" width="3.109375" style="3" customWidth="1"/>
    <col min="15139" max="15139" width="1.21875" style="3" customWidth="1"/>
    <col min="15140" max="15360" width="3.44140625" style="3"/>
    <col min="15361" max="15361" width="1.21875" style="3" customWidth="1"/>
    <col min="15362" max="15390" width="3.109375" style="3" customWidth="1"/>
    <col min="15391" max="15393" width="3.21875" style="3" customWidth="1"/>
    <col min="15394" max="15394" width="3.109375" style="3" customWidth="1"/>
    <col min="15395" max="15395" width="1.21875" style="3" customWidth="1"/>
    <col min="15396" max="15616" width="3.44140625" style="3"/>
    <col min="15617" max="15617" width="1.21875" style="3" customWidth="1"/>
    <col min="15618" max="15646" width="3.109375" style="3" customWidth="1"/>
    <col min="15647" max="15649" width="3.21875" style="3" customWidth="1"/>
    <col min="15650" max="15650" width="3.109375" style="3" customWidth="1"/>
    <col min="15651" max="15651" width="1.21875" style="3" customWidth="1"/>
    <col min="15652" max="15872" width="3.44140625" style="3"/>
    <col min="15873" max="15873" width="1.21875" style="3" customWidth="1"/>
    <col min="15874" max="15902" width="3.109375" style="3" customWidth="1"/>
    <col min="15903" max="15905" width="3.21875" style="3" customWidth="1"/>
    <col min="15906" max="15906" width="3.109375" style="3" customWidth="1"/>
    <col min="15907" max="15907" width="1.21875" style="3" customWidth="1"/>
    <col min="15908" max="16128" width="3.44140625" style="3"/>
    <col min="16129" max="16129" width="1.21875" style="3" customWidth="1"/>
    <col min="16130" max="16158" width="3.109375" style="3" customWidth="1"/>
    <col min="16159" max="16161" width="3.21875" style="3" customWidth="1"/>
    <col min="16162" max="16162" width="3.109375" style="3" customWidth="1"/>
    <col min="16163" max="16163" width="1.21875" style="3" customWidth="1"/>
    <col min="16164" max="16384" width="3.44140625" style="3"/>
  </cols>
  <sheetData>
    <row r="1" spans="2:35" s="1" customFormat="1"/>
    <row r="2" spans="2:35" s="1" customFormat="1">
      <c r="B2" s="1" t="s">
        <v>1523</v>
      </c>
    </row>
    <row r="3" spans="2:35" s="1" customFormat="1">
      <c r="Y3" s="45" t="s">
        <v>544</v>
      </c>
      <c r="Z3" s="1575"/>
      <c r="AA3" s="1575"/>
      <c r="AB3" s="45" t="s">
        <v>34</v>
      </c>
      <c r="AC3" s="1575"/>
      <c r="AD3" s="1575"/>
      <c r="AE3" s="45" t="s">
        <v>392</v>
      </c>
      <c r="AF3" s="1575"/>
      <c r="AG3" s="1575"/>
      <c r="AH3" s="45" t="s">
        <v>241</v>
      </c>
    </row>
    <row r="4" spans="2:35" s="1" customFormat="1">
      <c r="AH4" s="45"/>
    </row>
    <row r="5" spans="2:35" s="1" customFormat="1">
      <c r="B5" s="1575" t="s">
        <v>1524</v>
      </c>
      <c r="C5" s="1575"/>
      <c r="D5" s="1575"/>
      <c r="E5" s="1575"/>
      <c r="F5" s="1575"/>
      <c r="G5" s="1575"/>
      <c r="H5" s="1575"/>
      <c r="I5" s="1575"/>
      <c r="J5" s="1575"/>
      <c r="K5" s="1575"/>
      <c r="L5" s="1575"/>
      <c r="M5" s="1575"/>
      <c r="N5" s="1575"/>
      <c r="O5" s="1575"/>
      <c r="P5" s="1575"/>
      <c r="Q5" s="1575"/>
      <c r="R5" s="1575"/>
      <c r="S5" s="1575"/>
      <c r="T5" s="1575"/>
      <c r="U5" s="1575"/>
      <c r="V5" s="1575"/>
      <c r="W5" s="1575"/>
      <c r="X5" s="1575"/>
      <c r="Y5" s="1575"/>
      <c r="Z5" s="1575"/>
      <c r="AA5" s="1575"/>
      <c r="AB5" s="1575"/>
      <c r="AC5" s="1575"/>
      <c r="AD5" s="1575"/>
      <c r="AE5" s="1575"/>
      <c r="AF5" s="1575"/>
      <c r="AG5" s="1575"/>
      <c r="AH5" s="1575"/>
    </row>
    <row r="6" spans="2:35" s="1" customFormat="1"/>
    <row r="7" spans="2:35" s="1" customFormat="1" ht="21" customHeight="1">
      <c r="B7" s="1861" t="s">
        <v>196</v>
      </c>
      <c r="C7" s="1861"/>
      <c r="D7" s="1861"/>
      <c r="E7" s="1861"/>
      <c r="F7" s="1789"/>
      <c r="G7" s="737"/>
      <c r="H7" s="738"/>
      <c r="I7" s="738"/>
      <c r="J7" s="738"/>
      <c r="K7" s="738"/>
      <c r="L7" s="738"/>
      <c r="M7" s="738"/>
      <c r="N7" s="738"/>
      <c r="O7" s="738"/>
      <c r="P7" s="738"/>
      <c r="Q7" s="738"/>
      <c r="R7" s="738"/>
      <c r="S7" s="738"/>
      <c r="T7" s="738"/>
      <c r="U7" s="738"/>
      <c r="V7" s="738"/>
      <c r="W7" s="738"/>
      <c r="X7" s="738"/>
      <c r="Y7" s="738"/>
      <c r="Z7" s="738"/>
      <c r="AA7" s="738"/>
      <c r="AB7" s="738"/>
      <c r="AC7" s="738"/>
      <c r="AD7" s="738"/>
      <c r="AE7" s="738"/>
      <c r="AF7" s="738"/>
      <c r="AG7" s="738"/>
      <c r="AH7" s="739"/>
    </row>
    <row r="8" spans="2:35" ht="21" customHeight="1">
      <c r="B8" s="1789" t="s">
        <v>93</v>
      </c>
      <c r="C8" s="1790"/>
      <c r="D8" s="1790"/>
      <c r="E8" s="1790"/>
      <c r="F8" s="1791"/>
      <c r="G8" s="719" t="s">
        <v>121</v>
      </c>
      <c r="H8" s="639" t="s">
        <v>1173</v>
      </c>
      <c r="I8" s="639"/>
      <c r="J8" s="639"/>
      <c r="K8" s="639"/>
      <c r="L8" s="640" t="s">
        <v>121</v>
      </c>
      <c r="M8" s="639" t="s">
        <v>1174</v>
      </c>
      <c r="N8" s="639"/>
      <c r="O8" s="639"/>
      <c r="P8" s="639"/>
      <c r="Q8" s="640" t="s">
        <v>121</v>
      </c>
      <c r="R8" s="639" t="s">
        <v>1175</v>
      </c>
      <c r="S8"/>
      <c r="T8" s="740"/>
      <c r="U8"/>
      <c r="V8" s="642"/>
      <c r="W8" s="642"/>
      <c r="X8" s="642"/>
      <c r="Y8" s="642"/>
      <c r="Z8" s="642"/>
      <c r="AA8" s="642"/>
      <c r="AB8" s="642"/>
      <c r="AC8" s="642"/>
      <c r="AD8" s="642"/>
      <c r="AE8" s="642"/>
      <c r="AF8" s="642"/>
      <c r="AG8" s="642"/>
      <c r="AH8" s="741"/>
    </row>
    <row r="9" spans="2:35" ht="21" customHeight="1">
      <c r="B9" s="1803" t="s">
        <v>810</v>
      </c>
      <c r="C9" s="1804"/>
      <c r="D9" s="1804"/>
      <c r="E9" s="1804"/>
      <c r="F9" s="1805"/>
      <c r="G9" s="742" t="s">
        <v>121</v>
      </c>
      <c r="H9" s="7" t="s">
        <v>1525</v>
      </c>
      <c r="I9" s="22"/>
      <c r="J9" s="22"/>
      <c r="K9" s="22"/>
      <c r="L9" s="22"/>
      <c r="M9" s="22"/>
      <c r="N9" s="22"/>
      <c r="O9" s="22"/>
      <c r="P9" s="22"/>
      <c r="Q9" s="22"/>
      <c r="R9" s="22"/>
      <c r="S9" s="22"/>
      <c r="T9"/>
      <c r="U9" s="743" t="s">
        <v>121</v>
      </c>
      <c r="V9" s="7" t="s">
        <v>1526</v>
      </c>
      <c r="W9" s="7"/>
      <c r="X9" s="644"/>
      <c r="Y9" s="644"/>
      <c r="Z9" s="644"/>
      <c r="AA9" s="644"/>
      <c r="AB9" s="644"/>
      <c r="AC9" s="644"/>
      <c r="AD9" s="644"/>
      <c r="AE9" s="644"/>
      <c r="AF9" s="644"/>
      <c r="AG9" s="644"/>
      <c r="AH9" s="744"/>
    </row>
    <row r="10" spans="2:35" ht="21" customHeight="1">
      <c r="B10" s="1846"/>
      <c r="C10" s="1847"/>
      <c r="D10" s="1847"/>
      <c r="E10" s="1847"/>
      <c r="F10" s="1847"/>
      <c r="G10" s="655" t="s">
        <v>121</v>
      </c>
      <c r="H10" s="1" t="s">
        <v>1527</v>
      </c>
      <c r="I10" s="2"/>
      <c r="J10" s="2"/>
      <c r="K10" s="2"/>
      <c r="L10" s="2"/>
      <c r="M10" s="2"/>
      <c r="N10" s="2"/>
      <c r="O10" s="2"/>
      <c r="P10" s="2"/>
      <c r="Q10" s="2"/>
      <c r="R10" s="2"/>
      <c r="S10" s="2"/>
      <c r="T10"/>
      <c r="U10" s="641" t="s">
        <v>121</v>
      </c>
      <c r="V10" s="1" t="s">
        <v>1528</v>
      </c>
      <c r="W10" s="1"/>
      <c r="X10" s="745"/>
      <c r="Y10" s="745"/>
      <c r="Z10" s="745"/>
      <c r="AA10" s="745"/>
      <c r="AB10" s="745"/>
      <c r="AC10" s="745"/>
      <c r="AD10" s="745"/>
      <c r="AE10" s="745"/>
      <c r="AF10" s="745"/>
      <c r="AG10" s="745"/>
      <c r="AH10" s="746"/>
    </row>
    <row r="11" spans="2:35" ht="21" customHeight="1">
      <c r="B11" s="1846"/>
      <c r="C11" s="1847"/>
      <c r="D11" s="1847"/>
      <c r="E11" s="1847"/>
      <c r="F11" s="1847"/>
      <c r="G11" s="655" t="s">
        <v>121</v>
      </c>
      <c r="H11" s="1" t="s">
        <v>1529</v>
      </c>
      <c r="I11" s="2"/>
      <c r="J11" s="2"/>
      <c r="K11" s="2"/>
      <c r="L11" s="2"/>
      <c r="M11" s="2"/>
      <c r="N11" s="2"/>
      <c r="O11" s="2"/>
      <c r="P11" s="2"/>
      <c r="Q11" s="2"/>
      <c r="R11" s="2"/>
      <c r="S11" s="2"/>
      <c r="T11"/>
      <c r="U11" s="641" t="s">
        <v>121</v>
      </c>
      <c r="V11" s="2" t="s">
        <v>1530</v>
      </c>
      <c r="W11" s="2"/>
      <c r="X11" s="745"/>
      <c r="Y11" s="745"/>
      <c r="Z11" s="745"/>
      <c r="AA11" s="745"/>
      <c r="AB11" s="745"/>
      <c r="AC11" s="745"/>
      <c r="AD11" s="745"/>
      <c r="AE11" s="745"/>
      <c r="AF11" s="745"/>
      <c r="AG11" s="745"/>
      <c r="AH11" s="746"/>
      <c r="AI11" s="433"/>
    </row>
    <row r="12" spans="2:35" ht="21" customHeight="1">
      <c r="B12" s="1806"/>
      <c r="C12" s="1807"/>
      <c r="D12" s="1807"/>
      <c r="E12" s="1807"/>
      <c r="F12" s="1808"/>
      <c r="G12" s="747" t="s">
        <v>121</v>
      </c>
      <c r="H12" s="8" t="s">
        <v>1531</v>
      </c>
      <c r="I12" s="645"/>
      <c r="J12" s="645"/>
      <c r="K12" s="645"/>
      <c r="L12" s="645"/>
      <c r="M12" s="645"/>
      <c r="N12" s="645"/>
      <c r="O12" s="645"/>
      <c r="P12" s="645"/>
      <c r="Q12" s="645"/>
      <c r="R12" s="645"/>
      <c r="S12" s="645"/>
      <c r="T12" s="646"/>
      <c r="U12" s="645"/>
      <c r="V12" s="645"/>
      <c r="W12" s="645"/>
      <c r="X12" s="647"/>
      <c r="Y12" s="647"/>
      <c r="Z12" s="647"/>
      <c r="AA12" s="647"/>
      <c r="AB12" s="647"/>
      <c r="AC12" s="647"/>
      <c r="AD12" s="647"/>
      <c r="AE12" s="647"/>
      <c r="AF12" s="647"/>
      <c r="AG12" s="647"/>
      <c r="AH12" s="748"/>
    </row>
    <row r="13" spans="2:35" ht="21" customHeight="1">
      <c r="B13" s="1803" t="s">
        <v>811</v>
      </c>
      <c r="C13" s="1804"/>
      <c r="D13" s="1804"/>
      <c r="E13" s="1804"/>
      <c r="F13" s="1805"/>
      <c r="G13" s="742" t="s">
        <v>121</v>
      </c>
      <c r="H13" s="7" t="s">
        <v>1532</v>
      </c>
      <c r="I13" s="22"/>
      <c r="J13" s="22"/>
      <c r="K13" s="22"/>
      <c r="L13" s="22"/>
      <c r="M13" s="22"/>
      <c r="N13" s="22"/>
      <c r="O13" s="22"/>
      <c r="P13" s="22"/>
      <c r="Q13" s="22"/>
      <c r="R13" s="22"/>
      <c r="S13" s="2"/>
      <c r="T13" s="22"/>
      <c r="U13" s="743"/>
      <c r="V13" s="743"/>
      <c r="W13" s="743"/>
      <c r="X13" s="7"/>
      <c r="Y13" s="644"/>
      <c r="Z13" s="644"/>
      <c r="AA13" s="644"/>
      <c r="AB13" s="644"/>
      <c r="AC13" s="644"/>
      <c r="AD13" s="644"/>
      <c r="AE13" s="644"/>
      <c r="AF13" s="644"/>
      <c r="AG13" s="644"/>
      <c r="AH13" s="744"/>
    </row>
    <row r="14" spans="2:35" ht="21" customHeight="1">
      <c r="B14" s="1806"/>
      <c r="C14" s="1807"/>
      <c r="D14" s="1807"/>
      <c r="E14" s="1807"/>
      <c r="F14" s="1808"/>
      <c r="G14" s="747" t="s">
        <v>121</v>
      </c>
      <c r="H14" s="8" t="s">
        <v>1533</v>
      </c>
      <c r="I14" s="645"/>
      <c r="J14" s="645"/>
      <c r="K14" s="645"/>
      <c r="L14" s="645"/>
      <c r="M14" s="645"/>
      <c r="N14" s="645"/>
      <c r="O14" s="645"/>
      <c r="P14" s="645"/>
      <c r="Q14" s="645"/>
      <c r="R14" s="645"/>
      <c r="S14" s="645"/>
      <c r="T14" s="645"/>
      <c r="U14" s="647"/>
      <c r="V14" s="647"/>
      <c r="W14" s="647"/>
      <c r="X14" s="647"/>
      <c r="Y14" s="647"/>
      <c r="Z14" s="647"/>
      <c r="AA14" s="647"/>
      <c r="AB14" s="647"/>
      <c r="AC14" s="647"/>
      <c r="AD14" s="647"/>
      <c r="AE14" s="647"/>
      <c r="AF14" s="647"/>
      <c r="AG14" s="647"/>
      <c r="AH14" s="748"/>
    </row>
    <row r="15" spans="2:35" ht="13.5" customHeight="1">
      <c r="B15" s="1"/>
      <c r="C15" s="1"/>
      <c r="D15" s="1"/>
      <c r="E15" s="1"/>
      <c r="F15" s="1"/>
      <c r="G15" s="641"/>
      <c r="H15" s="1"/>
      <c r="I15" s="2"/>
      <c r="J15" s="2"/>
      <c r="K15" s="2"/>
      <c r="L15" s="2"/>
      <c r="M15" s="2"/>
      <c r="N15" s="2"/>
      <c r="O15" s="2"/>
      <c r="P15" s="2"/>
      <c r="Q15" s="2"/>
      <c r="R15" s="2"/>
      <c r="S15" s="2"/>
      <c r="T15" s="2"/>
      <c r="U15" s="745"/>
      <c r="V15" s="745"/>
      <c r="W15" s="745"/>
      <c r="X15" s="745"/>
      <c r="Y15" s="745"/>
      <c r="Z15" s="745"/>
      <c r="AA15" s="745"/>
      <c r="AB15" s="745"/>
      <c r="AC15" s="745"/>
      <c r="AD15" s="745"/>
      <c r="AE15" s="745"/>
      <c r="AF15" s="745"/>
      <c r="AG15" s="745"/>
      <c r="AH15" s="745"/>
    </row>
    <row r="16" spans="2:35" ht="21" customHeight="1">
      <c r="B16" s="6" t="s">
        <v>1534</v>
      </c>
      <c r="C16" s="7"/>
      <c r="D16" s="7"/>
      <c r="E16" s="7"/>
      <c r="F16" s="7"/>
      <c r="G16" s="743"/>
      <c r="H16" s="7"/>
      <c r="I16" s="22"/>
      <c r="J16" s="22"/>
      <c r="K16" s="22"/>
      <c r="L16" s="22"/>
      <c r="M16" s="22"/>
      <c r="N16" s="22"/>
      <c r="O16" s="22"/>
      <c r="P16" s="22"/>
      <c r="Q16" s="22"/>
      <c r="R16" s="22"/>
      <c r="S16" s="22"/>
      <c r="T16" s="22"/>
      <c r="U16" s="644"/>
      <c r="V16" s="644"/>
      <c r="W16" s="644"/>
      <c r="X16" s="644"/>
      <c r="Y16" s="644"/>
      <c r="Z16" s="644"/>
      <c r="AA16" s="644"/>
      <c r="AB16" s="644"/>
      <c r="AC16" s="644"/>
      <c r="AD16" s="644"/>
      <c r="AE16" s="644"/>
      <c r="AF16" s="644"/>
      <c r="AG16" s="644"/>
      <c r="AH16" s="744"/>
    </row>
    <row r="17" spans="2:37" ht="21" customHeight="1">
      <c r="B17" s="408"/>
      <c r="C17" s="1" t="s">
        <v>1535</v>
      </c>
      <c r="D17" s="1"/>
      <c r="E17" s="1"/>
      <c r="F17" s="1"/>
      <c r="G17" s="641"/>
      <c r="H17" s="1"/>
      <c r="I17" s="2"/>
      <c r="J17" s="2"/>
      <c r="K17" s="2"/>
      <c r="L17" s="2"/>
      <c r="M17" s="2"/>
      <c r="N17" s="2"/>
      <c r="O17" s="2"/>
      <c r="P17" s="2"/>
      <c r="Q17" s="2"/>
      <c r="R17" s="2"/>
      <c r="S17" s="2"/>
      <c r="T17" s="2"/>
      <c r="U17" s="745"/>
      <c r="V17" s="745"/>
      <c r="W17" s="745"/>
      <c r="X17" s="745"/>
      <c r="Y17" s="745"/>
      <c r="Z17" s="745"/>
      <c r="AA17" s="745"/>
      <c r="AB17" s="745"/>
      <c r="AC17" s="745"/>
      <c r="AD17" s="745"/>
      <c r="AE17" s="745"/>
      <c r="AF17" s="745"/>
      <c r="AG17" s="745"/>
      <c r="AH17" s="746"/>
    </row>
    <row r="18" spans="2:37" ht="21" customHeight="1">
      <c r="B18" s="405"/>
      <c r="C18" s="2073" t="s">
        <v>1536</v>
      </c>
      <c r="D18" s="2073"/>
      <c r="E18" s="2073"/>
      <c r="F18" s="2073"/>
      <c r="G18" s="2073"/>
      <c r="H18" s="2073"/>
      <c r="I18" s="2073"/>
      <c r="J18" s="2073"/>
      <c r="K18" s="2073"/>
      <c r="L18" s="2073"/>
      <c r="M18" s="2073"/>
      <c r="N18" s="2073"/>
      <c r="O18" s="2073"/>
      <c r="P18" s="2073"/>
      <c r="Q18" s="2073"/>
      <c r="R18" s="2073"/>
      <c r="S18" s="2073"/>
      <c r="T18" s="2073"/>
      <c r="U18" s="2073"/>
      <c r="V18" s="2073"/>
      <c r="W18" s="2073"/>
      <c r="X18" s="2073"/>
      <c r="Y18" s="2073"/>
      <c r="Z18" s="2073"/>
      <c r="AA18" s="2074" t="s">
        <v>1537</v>
      </c>
      <c r="AB18" s="2074"/>
      <c r="AC18" s="2074"/>
      <c r="AD18" s="2074"/>
      <c r="AE18" s="2074"/>
      <c r="AF18" s="2074"/>
      <c r="AG18" s="2074"/>
      <c r="AH18" s="746"/>
      <c r="AK18" s="749"/>
    </row>
    <row r="19" spans="2:37" ht="21" customHeight="1">
      <c r="B19" s="405"/>
      <c r="C19" s="2075"/>
      <c r="D19" s="2075"/>
      <c r="E19" s="2075"/>
      <c r="F19" s="2075"/>
      <c r="G19" s="2075"/>
      <c r="H19" s="2075"/>
      <c r="I19" s="2075"/>
      <c r="J19" s="2075"/>
      <c r="K19" s="2075"/>
      <c r="L19" s="2075"/>
      <c r="M19" s="2075"/>
      <c r="N19" s="2075"/>
      <c r="O19" s="2075"/>
      <c r="P19" s="2075"/>
      <c r="Q19" s="2075"/>
      <c r="R19" s="2075"/>
      <c r="S19" s="2075"/>
      <c r="T19" s="2075"/>
      <c r="U19" s="2075"/>
      <c r="V19" s="2075"/>
      <c r="W19" s="2075"/>
      <c r="X19" s="2075"/>
      <c r="Y19" s="2075"/>
      <c r="Z19" s="2075"/>
      <c r="AA19" s="750"/>
      <c r="AB19" s="750"/>
      <c r="AC19" s="750"/>
      <c r="AD19" s="750"/>
      <c r="AE19" s="750"/>
      <c r="AF19" s="750"/>
      <c r="AG19" s="750"/>
      <c r="AH19" s="746"/>
      <c r="AK19" s="749"/>
    </row>
    <row r="20" spans="2:37" ht="9" customHeight="1">
      <c r="B20" s="405"/>
      <c r="C20" s="624"/>
      <c r="D20" s="624"/>
      <c r="E20" s="624"/>
      <c r="F20" s="624"/>
      <c r="G20" s="624"/>
      <c r="H20" s="624"/>
      <c r="I20" s="624"/>
      <c r="J20" s="624"/>
      <c r="K20" s="624"/>
      <c r="L20" s="624"/>
      <c r="M20" s="624"/>
      <c r="N20" s="624"/>
      <c r="O20" s="624"/>
      <c r="P20" s="624"/>
      <c r="Q20" s="624"/>
      <c r="R20" s="624"/>
      <c r="S20" s="624"/>
      <c r="T20" s="624"/>
      <c r="U20" s="624"/>
      <c r="V20" s="624"/>
      <c r="W20" s="624"/>
      <c r="X20" s="624"/>
      <c r="Y20" s="624"/>
      <c r="Z20" s="624"/>
      <c r="AA20" s="644"/>
      <c r="AB20" s="644"/>
      <c r="AC20" s="644"/>
      <c r="AD20" s="644"/>
      <c r="AE20" s="644"/>
      <c r="AF20" s="644"/>
      <c r="AG20" s="644"/>
      <c r="AH20" s="746"/>
      <c r="AK20" s="751"/>
    </row>
    <row r="21" spans="2:37" ht="21" customHeight="1">
      <c r="B21" s="405"/>
      <c r="C21" s="632" t="s">
        <v>1538</v>
      </c>
      <c r="D21" s="631"/>
      <c r="E21" s="631"/>
      <c r="F21" s="631"/>
      <c r="G21" s="752"/>
      <c r="H21" s="745"/>
      <c r="I21" s="745"/>
      <c r="J21" s="745"/>
      <c r="K21" s="745"/>
      <c r="L21" s="745"/>
      <c r="M21" s="745"/>
      <c r="N21" s="745"/>
      <c r="O21" s="745"/>
      <c r="P21" s="745"/>
      <c r="Q21" s="745"/>
      <c r="R21" s="745"/>
      <c r="S21" s="745"/>
      <c r="T21" s="745"/>
      <c r="U21" s="745"/>
      <c r="V21" s="745"/>
      <c r="W21" s="745"/>
      <c r="X21" s="745"/>
      <c r="Y21" s="745"/>
      <c r="Z21" s="745"/>
      <c r="AA21" s="745"/>
      <c r="AB21" s="745"/>
      <c r="AC21" s="745"/>
      <c r="AD21" s="745"/>
      <c r="AE21" s="745"/>
      <c r="AF21" s="745"/>
      <c r="AG21" s="745"/>
      <c r="AH21" s="746"/>
    </row>
    <row r="22" spans="2:37" ht="21" customHeight="1">
      <c r="B22" s="405"/>
      <c r="C22" s="2073" t="s">
        <v>1539</v>
      </c>
      <c r="D22" s="2073"/>
      <c r="E22" s="2073"/>
      <c r="F22" s="2073"/>
      <c r="G22" s="2073"/>
      <c r="H22" s="2073"/>
      <c r="I22" s="2073"/>
      <c r="J22" s="2073"/>
      <c r="K22" s="2073"/>
      <c r="L22" s="2073"/>
      <c r="M22" s="2073"/>
      <c r="N22" s="2073"/>
      <c r="O22" s="2073"/>
      <c r="P22" s="2073"/>
      <c r="Q22" s="2073"/>
      <c r="R22" s="2073"/>
      <c r="S22" s="2073"/>
      <c r="T22" s="2073"/>
      <c r="U22" s="2073"/>
      <c r="V22" s="2073"/>
      <c r="W22" s="2073"/>
      <c r="X22" s="2073"/>
      <c r="Y22" s="2073"/>
      <c r="Z22" s="2073"/>
      <c r="AA22" s="2074" t="s">
        <v>1537</v>
      </c>
      <c r="AB22" s="2074"/>
      <c r="AC22" s="2074"/>
      <c r="AD22" s="2074"/>
      <c r="AE22" s="2074"/>
      <c r="AF22" s="2074"/>
      <c r="AG22" s="2074"/>
      <c r="AH22" s="746"/>
    </row>
    <row r="23" spans="2:37" ht="20.100000000000001" customHeight="1">
      <c r="B23" s="625"/>
      <c r="C23" s="2073"/>
      <c r="D23" s="2073"/>
      <c r="E23" s="2073"/>
      <c r="F23" s="2073"/>
      <c r="G23" s="2073"/>
      <c r="H23" s="2073"/>
      <c r="I23" s="2073"/>
      <c r="J23" s="2073"/>
      <c r="K23" s="2073"/>
      <c r="L23" s="2073"/>
      <c r="M23" s="2073"/>
      <c r="N23" s="2073"/>
      <c r="O23" s="2073"/>
      <c r="P23" s="2073"/>
      <c r="Q23" s="2073"/>
      <c r="R23" s="2073"/>
      <c r="S23" s="2073"/>
      <c r="T23" s="2073"/>
      <c r="U23" s="2073"/>
      <c r="V23" s="2073"/>
      <c r="W23" s="2073"/>
      <c r="X23" s="2073"/>
      <c r="Y23" s="2073"/>
      <c r="Z23" s="2075"/>
      <c r="AA23" s="753"/>
      <c r="AB23" s="753"/>
      <c r="AC23" s="753"/>
      <c r="AD23" s="753"/>
      <c r="AE23" s="753"/>
      <c r="AF23" s="753"/>
      <c r="AG23" s="753"/>
      <c r="AH23" s="754"/>
    </row>
    <row r="24" spans="2:37" s="1" customFormat="1" ht="20.100000000000001" customHeight="1">
      <c r="B24" s="625"/>
      <c r="C24" s="1584" t="s">
        <v>1540</v>
      </c>
      <c r="D24" s="1585"/>
      <c r="E24" s="1585"/>
      <c r="F24" s="1585"/>
      <c r="G24" s="1585"/>
      <c r="H24" s="1585"/>
      <c r="I24" s="1585"/>
      <c r="J24" s="1585"/>
      <c r="K24" s="1585"/>
      <c r="L24" s="1585"/>
      <c r="M24" s="742" t="s">
        <v>121</v>
      </c>
      <c r="N24" s="7" t="s">
        <v>1541</v>
      </c>
      <c r="O24" s="7"/>
      <c r="P24" s="7"/>
      <c r="Q24" s="22"/>
      <c r="R24" s="22"/>
      <c r="S24" s="22"/>
      <c r="T24" s="22"/>
      <c r="U24" s="22"/>
      <c r="V24" s="22"/>
      <c r="W24" s="743" t="s">
        <v>121</v>
      </c>
      <c r="X24" s="7" t="s">
        <v>1542</v>
      </c>
      <c r="Y24" s="755"/>
      <c r="Z24" s="755"/>
      <c r="AA24" s="22"/>
      <c r="AB24" s="22"/>
      <c r="AC24" s="22"/>
      <c r="AD24" s="22"/>
      <c r="AE24" s="22"/>
      <c r="AF24" s="22"/>
      <c r="AG24" s="23"/>
      <c r="AH24" s="746"/>
    </row>
    <row r="25" spans="2:37" s="1" customFormat="1" ht="20.100000000000001" customHeight="1">
      <c r="B25" s="405"/>
      <c r="C25" s="1868"/>
      <c r="D25" s="1869"/>
      <c r="E25" s="1869"/>
      <c r="F25" s="1869"/>
      <c r="G25" s="1869"/>
      <c r="H25" s="1869"/>
      <c r="I25" s="1869"/>
      <c r="J25" s="1869"/>
      <c r="K25" s="1869"/>
      <c r="L25" s="1869"/>
      <c r="M25" s="747" t="s">
        <v>121</v>
      </c>
      <c r="N25" s="8" t="s">
        <v>1543</v>
      </c>
      <c r="O25" s="8"/>
      <c r="P25" s="8"/>
      <c r="Q25" s="645"/>
      <c r="R25" s="645"/>
      <c r="S25" s="645"/>
      <c r="T25" s="645"/>
      <c r="U25" s="645"/>
      <c r="V25" s="645"/>
      <c r="W25" s="646" t="s">
        <v>121</v>
      </c>
      <c r="X25" s="8" t="s">
        <v>1544</v>
      </c>
      <c r="Y25" s="756"/>
      <c r="Z25" s="756"/>
      <c r="AA25" s="645"/>
      <c r="AB25" s="645"/>
      <c r="AC25" s="645"/>
      <c r="AD25" s="645"/>
      <c r="AE25" s="645"/>
      <c r="AF25" s="645"/>
      <c r="AG25" s="632"/>
      <c r="AH25" s="746"/>
    </row>
    <row r="26" spans="2:37" s="1" customFormat="1" ht="9" customHeight="1">
      <c r="B26" s="405"/>
      <c r="C26" s="414"/>
      <c r="D26" s="414"/>
      <c r="E26" s="414"/>
      <c r="F26" s="414"/>
      <c r="G26" s="414"/>
      <c r="H26" s="414"/>
      <c r="I26" s="414"/>
      <c r="J26" s="414"/>
      <c r="K26" s="414"/>
      <c r="L26" s="414"/>
      <c r="M26" s="414"/>
      <c r="N26" s="414"/>
      <c r="O26" s="414"/>
      <c r="P26" s="414"/>
      <c r="Q26" s="414"/>
      <c r="R26" s="414"/>
      <c r="S26" s="414"/>
      <c r="T26" s="414"/>
      <c r="U26" s="414"/>
      <c r="V26" s="414"/>
      <c r="W26" s="414"/>
      <c r="X26" s="414"/>
      <c r="Y26" s="414"/>
      <c r="Z26" s="414"/>
      <c r="AA26"/>
      <c r="AC26" s="2"/>
      <c r="AD26" s="2"/>
      <c r="AE26" s="2"/>
      <c r="AF26" s="2"/>
      <c r="AG26" s="2"/>
      <c r="AH26" s="746"/>
    </row>
    <row r="27" spans="2:37" s="1" customFormat="1" ht="20.100000000000001" customHeight="1">
      <c r="B27" s="405"/>
      <c r="C27" s="2076" t="s">
        <v>1545</v>
      </c>
      <c r="D27" s="2076"/>
      <c r="E27" s="2076"/>
      <c r="F27" s="2076"/>
      <c r="G27" s="2076"/>
      <c r="H27" s="2076"/>
      <c r="I27" s="2076"/>
      <c r="J27" s="2076"/>
      <c r="K27" s="2076"/>
      <c r="L27" s="2076"/>
      <c r="M27" s="2076"/>
      <c r="N27" s="2076"/>
      <c r="O27" s="2076"/>
      <c r="P27" s="2076"/>
      <c r="Q27" s="2076"/>
      <c r="R27" s="2076"/>
      <c r="S27" s="2076"/>
      <c r="T27" s="2076"/>
      <c r="U27" s="2076"/>
      <c r="V27" s="2076"/>
      <c r="W27" s="2076"/>
      <c r="X27" s="2076"/>
      <c r="Y27" s="2076"/>
      <c r="Z27" s="2076"/>
      <c r="AA27" s="745"/>
      <c r="AB27" s="745"/>
      <c r="AC27" s="745"/>
      <c r="AD27" s="745"/>
      <c r="AE27" s="745"/>
      <c r="AF27" s="745"/>
      <c r="AG27" s="745"/>
      <c r="AH27" s="746"/>
    </row>
    <row r="28" spans="2:37" s="1" customFormat="1" ht="20.100000000000001" customHeight="1">
      <c r="B28" s="625"/>
      <c r="C28" s="2077"/>
      <c r="D28" s="2077"/>
      <c r="E28" s="2077"/>
      <c r="F28" s="2077"/>
      <c r="G28" s="2077"/>
      <c r="H28" s="2077"/>
      <c r="I28" s="2077"/>
      <c r="J28" s="2077"/>
      <c r="K28" s="2077"/>
      <c r="L28" s="2077"/>
      <c r="M28" s="2077"/>
      <c r="N28" s="2077"/>
      <c r="O28" s="2077"/>
      <c r="P28" s="2077"/>
      <c r="Q28" s="2077"/>
      <c r="R28" s="2077"/>
      <c r="S28" s="2077"/>
      <c r="T28" s="2077"/>
      <c r="U28" s="2077"/>
      <c r="V28" s="2077"/>
      <c r="W28" s="2077"/>
      <c r="X28" s="2077"/>
      <c r="Y28" s="2077"/>
      <c r="Z28" s="2077"/>
      <c r="AA28" s="757"/>
      <c r="AB28" s="758"/>
      <c r="AC28" s="758"/>
      <c r="AD28" s="758"/>
      <c r="AE28" s="758"/>
      <c r="AF28" s="758"/>
      <c r="AG28" s="758"/>
      <c r="AH28" s="759"/>
    </row>
    <row r="29" spans="2:37" s="1" customFormat="1" ht="9" customHeight="1">
      <c r="B29" s="625"/>
      <c r="C29" s="2"/>
      <c r="D29" s="2"/>
      <c r="E29" s="2"/>
      <c r="F29" s="2"/>
      <c r="G29" s="758"/>
      <c r="H29" s="758"/>
      <c r="I29" s="758"/>
      <c r="J29" s="758"/>
      <c r="K29" s="758"/>
      <c r="L29" s="758"/>
      <c r="M29" s="758"/>
      <c r="N29" s="758"/>
      <c r="O29" s="758"/>
      <c r="P29" s="758"/>
      <c r="Q29" s="758"/>
      <c r="R29" s="758"/>
      <c r="S29" s="758"/>
      <c r="T29" s="758"/>
      <c r="U29" s="758"/>
      <c r="V29" s="758"/>
      <c r="W29" s="758"/>
      <c r="X29" s="758"/>
      <c r="Y29" s="758"/>
      <c r="Z29" s="758"/>
      <c r="AA29" s="758"/>
      <c r="AB29" s="758"/>
      <c r="AC29" s="758"/>
      <c r="AD29" s="758"/>
      <c r="AE29" s="758"/>
      <c r="AF29" s="758"/>
      <c r="AG29" s="758"/>
      <c r="AH29" s="759"/>
    </row>
    <row r="30" spans="2:37" s="1" customFormat="1" ht="20.100000000000001" customHeight="1">
      <c r="B30" s="405"/>
      <c r="C30" s="2073" t="s">
        <v>1546</v>
      </c>
      <c r="D30" s="2073"/>
      <c r="E30" s="2073"/>
      <c r="F30" s="2073"/>
      <c r="G30" s="2073"/>
      <c r="H30" s="2073"/>
      <c r="I30" s="2073"/>
      <c r="J30" s="2073"/>
      <c r="K30" s="2078"/>
      <c r="L30" s="2078"/>
      <c r="M30" s="2078"/>
      <c r="N30" s="2078"/>
      <c r="O30" s="2078"/>
      <c r="P30" s="2078"/>
      <c r="Q30" s="2078"/>
      <c r="R30" s="2078" t="s">
        <v>34</v>
      </c>
      <c r="S30" s="2078"/>
      <c r="T30" s="2078"/>
      <c r="U30" s="2078"/>
      <c r="V30" s="2078"/>
      <c r="W30" s="2078"/>
      <c r="X30" s="2078"/>
      <c r="Y30" s="2078"/>
      <c r="Z30" s="2078" t="s">
        <v>30</v>
      </c>
      <c r="AA30" s="2078"/>
      <c r="AB30" s="2078"/>
      <c r="AC30" s="2078"/>
      <c r="AD30" s="2078"/>
      <c r="AE30" s="2078"/>
      <c r="AF30" s="2078"/>
      <c r="AG30" s="2080" t="s">
        <v>241</v>
      </c>
      <c r="AH30" s="746"/>
    </row>
    <row r="31" spans="2:37" s="1" customFormat="1" ht="20.100000000000001" customHeight="1">
      <c r="B31" s="405"/>
      <c r="C31" s="2073"/>
      <c r="D31" s="2073"/>
      <c r="E31" s="2073"/>
      <c r="F31" s="2073"/>
      <c r="G31" s="2073"/>
      <c r="H31" s="2073"/>
      <c r="I31" s="2073"/>
      <c r="J31" s="2073"/>
      <c r="K31" s="2079"/>
      <c r="L31" s="2079"/>
      <c r="M31" s="2079"/>
      <c r="N31" s="2079"/>
      <c r="O31" s="2079"/>
      <c r="P31" s="2079"/>
      <c r="Q31" s="2079"/>
      <c r="R31" s="2079"/>
      <c r="S31" s="2079"/>
      <c r="T31" s="2079"/>
      <c r="U31" s="2079"/>
      <c r="V31" s="2079"/>
      <c r="W31" s="2079"/>
      <c r="X31" s="2079"/>
      <c r="Y31" s="2079"/>
      <c r="Z31" s="2079"/>
      <c r="AA31" s="2079"/>
      <c r="AB31" s="2079"/>
      <c r="AC31" s="2079"/>
      <c r="AD31" s="2079"/>
      <c r="AE31" s="2079"/>
      <c r="AF31" s="2079"/>
      <c r="AG31" s="2081"/>
      <c r="AH31" s="746"/>
    </row>
    <row r="32" spans="2:37" s="1" customFormat="1" ht="13.5" customHeight="1">
      <c r="B32" s="409"/>
      <c r="C32" s="8"/>
      <c r="D32" s="8"/>
      <c r="E32" s="8"/>
      <c r="F32" s="8"/>
      <c r="G32" s="760"/>
      <c r="H32" s="760"/>
      <c r="I32" s="760"/>
      <c r="J32" s="760"/>
      <c r="K32" s="760"/>
      <c r="L32" s="760"/>
      <c r="M32" s="760"/>
      <c r="N32" s="760"/>
      <c r="O32" s="760"/>
      <c r="P32" s="760"/>
      <c r="Q32" s="760"/>
      <c r="R32" s="760"/>
      <c r="S32" s="760"/>
      <c r="T32" s="760"/>
      <c r="U32" s="760"/>
      <c r="V32" s="760"/>
      <c r="W32" s="760"/>
      <c r="X32" s="760"/>
      <c r="Y32" s="760"/>
      <c r="Z32" s="760"/>
      <c r="AA32" s="760"/>
      <c r="AB32" s="760"/>
      <c r="AC32" s="760"/>
      <c r="AD32" s="760"/>
      <c r="AE32" s="760"/>
      <c r="AF32" s="760"/>
      <c r="AG32" s="760"/>
      <c r="AH32" s="761"/>
    </row>
    <row r="33" spans="2:34" s="1" customFormat="1" ht="13.5" customHeight="1">
      <c r="G33" s="762"/>
      <c r="H33" s="762"/>
      <c r="I33" s="762"/>
      <c r="J33" s="762"/>
      <c r="K33" s="762"/>
      <c r="L33" s="762"/>
      <c r="M33" s="762"/>
      <c r="N33" s="762"/>
      <c r="O33" s="762"/>
      <c r="P33" s="762"/>
      <c r="Q33" s="762"/>
      <c r="R33" s="762"/>
      <c r="S33" s="762"/>
      <c r="T33" s="762"/>
      <c r="U33" s="762"/>
      <c r="V33" s="762"/>
      <c r="W33" s="762"/>
      <c r="X33" s="762"/>
      <c r="Y33" s="762"/>
      <c r="Z33" s="762"/>
      <c r="AA33" s="762"/>
      <c r="AB33" s="762"/>
      <c r="AC33" s="762"/>
      <c r="AD33" s="762"/>
      <c r="AE33" s="762"/>
      <c r="AF33" s="762"/>
      <c r="AG33" s="762"/>
      <c r="AH33" s="762"/>
    </row>
    <row r="34" spans="2:34" s="1" customFormat="1" ht="20.100000000000001" customHeight="1">
      <c r="B34" s="6" t="s">
        <v>1547</v>
      </c>
      <c r="C34" s="7"/>
      <c r="D34" s="7"/>
      <c r="E34" s="7"/>
      <c r="F34" s="7"/>
      <c r="G34" s="763"/>
      <c r="H34" s="763"/>
      <c r="I34" s="763"/>
      <c r="J34" s="763"/>
      <c r="K34" s="763"/>
      <c r="L34" s="763"/>
      <c r="M34" s="763"/>
      <c r="N34" s="763"/>
      <c r="O34" s="763"/>
      <c r="P34" s="763"/>
      <c r="Q34" s="763"/>
      <c r="R34" s="763"/>
      <c r="S34" s="763"/>
      <c r="T34" s="763"/>
      <c r="U34" s="763"/>
      <c r="V34" s="763"/>
      <c r="W34" s="763"/>
      <c r="X34" s="763"/>
      <c r="Y34" s="763"/>
      <c r="Z34" s="763"/>
      <c r="AA34" s="763"/>
      <c r="AB34" s="763"/>
      <c r="AC34" s="763"/>
      <c r="AD34" s="763"/>
      <c r="AE34" s="763"/>
      <c r="AF34" s="763"/>
      <c r="AG34" s="763"/>
      <c r="AH34" s="764"/>
    </row>
    <row r="35" spans="2:34" s="1" customFormat="1" ht="20.100000000000001" customHeight="1">
      <c r="B35" s="405"/>
      <c r="C35" s="1604" t="s">
        <v>1548</v>
      </c>
      <c r="D35" s="1604"/>
      <c r="E35" s="1604"/>
      <c r="F35" s="1604"/>
      <c r="G35" s="1604"/>
      <c r="H35" s="1604"/>
      <c r="I35" s="1604"/>
      <c r="J35" s="1604"/>
      <c r="K35" s="1604"/>
      <c r="L35" s="1604"/>
      <c r="M35" s="1604"/>
      <c r="N35" s="1604"/>
      <c r="O35" s="1604"/>
      <c r="P35" s="1604"/>
      <c r="Q35" s="1604"/>
      <c r="R35" s="1604"/>
      <c r="S35" s="1604"/>
      <c r="T35" s="1604"/>
      <c r="U35" s="1604"/>
      <c r="V35" s="1604"/>
      <c r="W35" s="1604"/>
      <c r="X35" s="1604"/>
      <c r="Y35" s="1604"/>
      <c r="Z35" s="1604"/>
      <c r="AA35" s="1604"/>
      <c r="AB35" s="1604"/>
      <c r="AC35" s="1604"/>
      <c r="AD35" s="1604"/>
      <c r="AE35" s="1604"/>
      <c r="AF35" s="745"/>
      <c r="AG35" s="745"/>
      <c r="AH35" s="746"/>
    </row>
    <row r="36" spans="2:34" s="1" customFormat="1" ht="20.100000000000001" customHeight="1">
      <c r="B36" s="635"/>
      <c r="C36" s="1579" t="s">
        <v>1536</v>
      </c>
      <c r="D36" s="2073"/>
      <c r="E36" s="2073"/>
      <c r="F36" s="2073"/>
      <c r="G36" s="2073"/>
      <c r="H36" s="2073"/>
      <c r="I36" s="2073"/>
      <c r="J36" s="2073"/>
      <c r="K36" s="2073"/>
      <c r="L36" s="2073"/>
      <c r="M36" s="2073"/>
      <c r="N36" s="2073"/>
      <c r="O36" s="2073"/>
      <c r="P36" s="2073"/>
      <c r="Q36" s="2073"/>
      <c r="R36" s="2073"/>
      <c r="S36" s="2073"/>
      <c r="T36" s="2073"/>
      <c r="U36" s="2073"/>
      <c r="V36" s="2073"/>
      <c r="W36" s="2073"/>
      <c r="X36" s="2073"/>
      <c r="Y36" s="2073"/>
      <c r="Z36" s="2073"/>
      <c r="AA36" s="2074" t="s">
        <v>1537</v>
      </c>
      <c r="AB36" s="2074"/>
      <c r="AC36" s="2074"/>
      <c r="AD36" s="2074"/>
      <c r="AE36" s="2074"/>
      <c r="AF36" s="2074"/>
      <c r="AG36" s="2074"/>
      <c r="AH36" s="765"/>
    </row>
    <row r="37" spans="2:34" s="1" customFormat="1" ht="20.100000000000001" customHeight="1">
      <c r="B37" s="629"/>
      <c r="C37" s="1579"/>
      <c r="D37" s="2073"/>
      <c r="E37" s="2073"/>
      <c r="F37" s="2073"/>
      <c r="G37" s="2073"/>
      <c r="H37" s="2073"/>
      <c r="I37" s="2073"/>
      <c r="J37" s="2073"/>
      <c r="K37" s="2073"/>
      <c r="L37" s="2073"/>
      <c r="M37" s="2073"/>
      <c r="N37" s="2073"/>
      <c r="O37" s="2073"/>
      <c r="P37" s="2073"/>
      <c r="Q37" s="2073"/>
      <c r="R37" s="2073"/>
      <c r="S37" s="2073"/>
      <c r="T37" s="2073"/>
      <c r="U37" s="2073"/>
      <c r="V37" s="2073"/>
      <c r="W37" s="2073"/>
      <c r="X37" s="2073"/>
      <c r="Y37" s="2073"/>
      <c r="Z37" s="2073"/>
      <c r="AA37" s="741"/>
      <c r="AB37" s="753"/>
      <c r="AC37" s="753"/>
      <c r="AD37" s="753"/>
      <c r="AE37" s="753"/>
      <c r="AF37" s="753"/>
      <c r="AG37" s="766"/>
      <c r="AH37" s="765"/>
    </row>
    <row r="38" spans="2:34" s="1" customFormat="1" ht="9" customHeight="1">
      <c r="B38" s="625"/>
      <c r="C38" s="414"/>
      <c r="D38" s="414"/>
      <c r="E38" s="414"/>
      <c r="F38" s="414"/>
      <c r="G38" s="414"/>
      <c r="H38" s="414"/>
      <c r="I38" s="414"/>
      <c r="J38" s="414"/>
      <c r="K38" s="414"/>
      <c r="L38" s="414"/>
      <c r="M38" s="414"/>
      <c r="N38" s="414"/>
      <c r="O38" s="414"/>
      <c r="P38" s="414"/>
      <c r="Q38" s="414"/>
      <c r="R38" s="414"/>
      <c r="S38" s="414"/>
      <c r="T38" s="414"/>
      <c r="U38" s="414"/>
      <c r="V38" s="414"/>
      <c r="W38" s="414"/>
      <c r="X38" s="414"/>
      <c r="Y38" s="414"/>
      <c r="Z38" s="414"/>
      <c r="AA38" s="647"/>
      <c r="AB38" s="647"/>
      <c r="AC38" s="647"/>
      <c r="AD38" s="647"/>
      <c r="AE38" s="647"/>
      <c r="AF38" s="647"/>
      <c r="AG38" s="745"/>
      <c r="AH38" s="746"/>
    </row>
    <row r="39" spans="2:34" s="1" customFormat="1" ht="20.100000000000001" customHeight="1">
      <c r="B39" s="625"/>
      <c r="C39" s="1584" t="s">
        <v>1540</v>
      </c>
      <c r="D39" s="1814"/>
      <c r="E39" s="1814"/>
      <c r="F39" s="1814"/>
      <c r="G39" s="1814"/>
      <c r="H39" s="1814"/>
      <c r="I39" s="1814"/>
      <c r="J39" s="1814"/>
      <c r="K39" s="1814"/>
      <c r="L39" s="1814"/>
      <c r="M39" s="655" t="s">
        <v>121</v>
      </c>
      <c r="N39" s="1" t="s">
        <v>1541</v>
      </c>
      <c r="Q39" s="2"/>
      <c r="R39" s="2"/>
      <c r="S39" s="2"/>
      <c r="T39" s="2"/>
      <c r="U39" s="2"/>
      <c r="V39" s="2"/>
      <c r="W39" s="641" t="s">
        <v>121</v>
      </c>
      <c r="X39" s="1" t="s">
        <v>1542</v>
      </c>
      <c r="Y39"/>
      <c r="Z39"/>
      <c r="AA39" s="2"/>
      <c r="AB39" s="2"/>
      <c r="AC39" s="2"/>
      <c r="AD39" s="2"/>
      <c r="AE39" s="2"/>
      <c r="AF39" s="2"/>
      <c r="AG39" s="22"/>
      <c r="AH39" s="765"/>
    </row>
    <row r="40" spans="2:34" s="1" customFormat="1" ht="20.100000000000001" customHeight="1">
      <c r="B40" s="625"/>
      <c r="C40" s="1868"/>
      <c r="D40" s="1869"/>
      <c r="E40" s="1869"/>
      <c r="F40" s="1869"/>
      <c r="G40" s="1869"/>
      <c r="H40" s="1869"/>
      <c r="I40" s="1869"/>
      <c r="J40" s="1869"/>
      <c r="K40" s="1869"/>
      <c r="L40" s="1869"/>
      <c r="M40" s="747" t="s">
        <v>121</v>
      </c>
      <c r="N40" s="8" t="s">
        <v>1543</v>
      </c>
      <c r="O40" s="8"/>
      <c r="P40" s="8"/>
      <c r="Q40" s="645"/>
      <c r="R40" s="645"/>
      <c r="S40" s="645"/>
      <c r="T40" s="645"/>
      <c r="U40" s="645"/>
      <c r="V40" s="645"/>
      <c r="W40" s="645"/>
      <c r="X40" s="645"/>
      <c r="Y40" s="646"/>
      <c r="Z40" s="8"/>
      <c r="AA40" s="645"/>
      <c r="AB40" s="756"/>
      <c r="AC40" s="756"/>
      <c r="AD40" s="756"/>
      <c r="AE40" s="756"/>
      <c r="AF40" s="756"/>
      <c r="AG40" s="645"/>
      <c r="AH40" s="765"/>
    </row>
    <row r="41" spans="2:34" s="1" customFormat="1" ht="9" customHeight="1">
      <c r="B41" s="625"/>
      <c r="C41" s="599"/>
      <c r="D41" s="599"/>
      <c r="E41" s="599"/>
      <c r="F41" s="599"/>
      <c r="G41" s="599"/>
      <c r="H41" s="599"/>
      <c r="I41" s="599"/>
      <c r="J41" s="599"/>
      <c r="K41" s="599"/>
      <c r="L41" s="599"/>
      <c r="M41" s="641"/>
      <c r="Q41" s="2"/>
      <c r="R41" s="2"/>
      <c r="S41" s="2"/>
      <c r="T41" s="2"/>
      <c r="U41" s="2"/>
      <c r="V41" s="2"/>
      <c r="W41" s="2"/>
      <c r="X41" s="2"/>
      <c r="Y41" s="641"/>
      <c r="AA41" s="2"/>
      <c r="AB41" s="2"/>
      <c r="AC41" s="2"/>
      <c r="AD41" s="2"/>
      <c r="AE41" s="2"/>
      <c r="AF41" s="2"/>
      <c r="AG41" s="2"/>
      <c r="AH41" s="746"/>
    </row>
    <row r="42" spans="2:34" s="1" customFormat="1" ht="20.100000000000001" customHeight="1">
      <c r="B42" s="405"/>
      <c r="C42" s="2073" t="s">
        <v>1549</v>
      </c>
      <c r="D42" s="2073"/>
      <c r="E42" s="2073"/>
      <c r="F42" s="2073"/>
      <c r="G42" s="2073"/>
      <c r="H42" s="2073"/>
      <c r="I42" s="2073"/>
      <c r="J42" s="2073"/>
      <c r="K42" s="2083"/>
      <c r="L42" s="2084"/>
      <c r="M42" s="2084"/>
      <c r="N42" s="2084"/>
      <c r="O42" s="2084"/>
      <c r="P42" s="2084"/>
      <c r="Q42" s="2084"/>
      <c r="R42" s="767" t="s">
        <v>34</v>
      </c>
      <c r="S42" s="2084"/>
      <c r="T42" s="2084"/>
      <c r="U42" s="2084"/>
      <c r="V42" s="2084"/>
      <c r="W42" s="2084"/>
      <c r="X42" s="2084"/>
      <c r="Y42" s="2084"/>
      <c r="Z42" s="767" t="s">
        <v>30</v>
      </c>
      <c r="AA42" s="2084"/>
      <c r="AB42" s="2084"/>
      <c r="AC42" s="2084"/>
      <c r="AD42" s="2084"/>
      <c r="AE42" s="2084"/>
      <c r="AF42" s="2084"/>
      <c r="AG42" s="768" t="s">
        <v>241</v>
      </c>
      <c r="AH42" s="769"/>
    </row>
    <row r="43" spans="2:34" s="1" customFormat="1" ht="10.5" customHeight="1">
      <c r="B43" s="770"/>
      <c r="C43" s="414"/>
      <c r="D43" s="414"/>
      <c r="E43" s="414"/>
      <c r="F43" s="414"/>
      <c r="G43" s="414"/>
      <c r="H43" s="414"/>
      <c r="I43" s="414"/>
      <c r="J43" s="414"/>
      <c r="K43" s="771"/>
      <c r="L43" s="771"/>
      <c r="M43" s="771"/>
      <c r="N43" s="771"/>
      <c r="O43" s="771"/>
      <c r="P43" s="771"/>
      <c r="Q43" s="771"/>
      <c r="R43" s="771"/>
      <c r="S43" s="771"/>
      <c r="T43" s="771"/>
      <c r="U43" s="771"/>
      <c r="V43" s="771"/>
      <c r="W43" s="771"/>
      <c r="X43" s="771"/>
      <c r="Y43" s="771"/>
      <c r="Z43" s="771"/>
      <c r="AA43" s="771"/>
      <c r="AB43" s="771"/>
      <c r="AC43" s="771"/>
      <c r="AD43" s="771"/>
      <c r="AE43" s="771"/>
      <c r="AF43" s="771"/>
      <c r="AG43" s="771"/>
      <c r="AH43" s="772"/>
    </row>
    <row r="44" spans="2:34" s="1" customFormat="1" ht="6" customHeight="1">
      <c r="B44" s="599"/>
      <c r="C44" s="599"/>
      <c r="D44" s="599"/>
      <c r="E44" s="599"/>
      <c r="F44" s="599"/>
      <c r="X44" s="773"/>
      <c r="Y44" s="773"/>
    </row>
    <row r="45" spans="2:34" s="1" customFormat="1">
      <c r="B45" s="1897" t="s">
        <v>840</v>
      </c>
      <c r="C45" s="1897"/>
      <c r="D45" s="774" t="s">
        <v>1550</v>
      </c>
      <c r="E45" s="775"/>
      <c r="F45" s="775"/>
      <c r="G45" s="775"/>
      <c r="H45" s="775"/>
      <c r="I45" s="775"/>
      <c r="J45" s="775"/>
      <c r="K45" s="775"/>
      <c r="L45" s="775"/>
      <c r="M45" s="775"/>
      <c r="N45" s="775"/>
      <c r="O45" s="775"/>
      <c r="P45" s="775"/>
      <c r="Q45" s="775"/>
      <c r="R45" s="775"/>
      <c r="S45" s="775"/>
      <c r="T45" s="775"/>
      <c r="U45" s="775"/>
      <c r="V45" s="775"/>
      <c r="W45" s="775"/>
      <c r="X45" s="775"/>
      <c r="Y45" s="775"/>
      <c r="Z45" s="775"/>
      <c r="AA45" s="775"/>
      <c r="AB45" s="775"/>
      <c r="AC45" s="775"/>
      <c r="AD45" s="775"/>
      <c r="AE45" s="775"/>
      <c r="AF45" s="775"/>
      <c r="AG45" s="775"/>
      <c r="AH45" s="775"/>
    </row>
    <row r="46" spans="2:34" s="1" customFormat="1" ht="13.5" customHeight="1">
      <c r="B46" s="1897" t="s">
        <v>1551</v>
      </c>
      <c r="C46" s="1897"/>
      <c r="D46" s="1823" t="s">
        <v>1552</v>
      </c>
      <c r="E46" s="1823"/>
      <c r="F46" s="1823"/>
      <c r="G46" s="1823"/>
      <c r="H46" s="1823"/>
      <c r="I46" s="1823"/>
      <c r="J46" s="1823"/>
      <c r="K46" s="1823"/>
      <c r="L46" s="1823"/>
      <c r="M46" s="1823"/>
      <c r="N46" s="1823"/>
      <c r="O46" s="1823"/>
      <c r="P46" s="1823"/>
      <c r="Q46" s="1823"/>
      <c r="R46" s="1823"/>
      <c r="S46" s="1823"/>
      <c r="T46" s="1823"/>
      <c r="U46" s="1823"/>
      <c r="V46" s="1823"/>
      <c r="W46" s="1823"/>
      <c r="X46" s="1823"/>
      <c r="Y46" s="1823"/>
      <c r="Z46" s="1823"/>
      <c r="AA46" s="1823"/>
      <c r="AB46" s="1823"/>
      <c r="AC46" s="1823"/>
      <c r="AD46" s="1823"/>
      <c r="AE46" s="1823"/>
      <c r="AF46" s="1823"/>
      <c r="AG46" s="1823"/>
      <c r="AH46" s="1823"/>
    </row>
    <row r="47" spans="2:34" s="1" customFormat="1" ht="13.5" customHeight="1">
      <c r="B47" s="776"/>
      <c r="C47" s="776"/>
      <c r="D47" s="1823"/>
      <c r="E47" s="1823"/>
      <c r="F47" s="1823"/>
      <c r="G47" s="1823"/>
      <c r="H47" s="1823"/>
      <c r="I47" s="1823"/>
      <c r="J47" s="1823"/>
      <c r="K47" s="1823"/>
      <c r="L47" s="1823"/>
      <c r="M47" s="1823"/>
      <c r="N47" s="1823"/>
      <c r="O47" s="1823"/>
      <c r="P47" s="1823"/>
      <c r="Q47" s="1823"/>
      <c r="R47" s="1823"/>
      <c r="S47" s="1823"/>
      <c r="T47" s="1823"/>
      <c r="U47" s="1823"/>
      <c r="V47" s="1823"/>
      <c r="W47" s="1823"/>
      <c r="X47" s="1823"/>
      <c r="Y47" s="1823"/>
      <c r="Z47" s="1823"/>
      <c r="AA47" s="1823"/>
      <c r="AB47" s="1823"/>
      <c r="AC47" s="1823"/>
      <c r="AD47" s="1823"/>
      <c r="AE47" s="1823"/>
      <c r="AF47" s="1823"/>
      <c r="AG47" s="1823"/>
      <c r="AH47" s="1823"/>
    </row>
    <row r="48" spans="2:34" s="1" customFormat="1">
      <c r="B48" s="1897" t="s">
        <v>1553</v>
      </c>
      <c r="C48" s="1897"/>
      <c r="D48" s="777" t="s">
        <v>1554</v>
      </c>
      <c r="E48" s="427"/>
      <c r="F48" s="427"/>
      <c r="G48" s="427"/>
      <c r="H48" s="427"/>
      <c r="I48" s="427"/>
      <c r="J48" s="427"/>
      <c r="K48" s="427"/>
      <c r="L48" s="427"/>
      <c r="M48" s="427"/>
      <c r="N48" s="427"/>
      <c r="O48" s="427"/>
      <c r="P48" s="427"/>
      <c r="Q48" s="427"/>
      <c r="R48" s="427"/>
      <c r="S48" s="427"/>
      <c r="T48" s="427"/>
      <c r="U48" s="427"/>
      <c r="V48" s="427"/>
      <c r="W48" s="427"/>
      <c r="X48" s="427"/>
      <c r="Y48" s="427"/>
      <c r="Z48" s="427"/>
      <c r="AA48" s="427"/>
      <c r="AB48" s="427"/>
      <c r="AC48" s="427"/>
      <c r="AD48" s="427"/>
      <c r="AE48" s="427"/>
      <c r="AF48" s="427"/>
      <c r="AG48" s="427"/>
      <c r="AH48" s="427"/>
    </row>
    <row r="49" spans="1:37" ht="13.5" customHeight="1">
      <c r="B49" s="1897" t="s">
        <v>1555</v>
      </c>
      <c r="C49" s="1897"/>
      <c r="D49" s="1823" t="s">
        <v>1556</v>
      </c>
      <c r="E49" s="1823"/>
      <c r="F49" s="1823"/>
      <c r="G49" s="1823"/>
      <c r="H49" s="1823"/>
      <c r="I49" s="1823"/>
      <c r="J49" s="1823"/>
      <c r="K49" s="1823"/>
      <c r="L49" s="1823"/>
      <c r="M49" s="1823"/>
      <c r="N49" s="1823"/>
      <c r="O49" s="1823"/>
      <c r="P49" s="1823"/>
      <c r="Q49" s="1823"/>
      <c r="R49" s="1823"/>
      <c r="S49" s="1823"/>
      <c r="T49" s="1823"/>
      <c r="U49" s="1823"/>
      <c r="V49" s="1823"/>
      <c r="W49" s="1823"/>
      <c r="X49" s="1823"/>
      <c r="Y49" s="1823"/>
      <c r="Z49" s="1823"/>
      <c r="AA49" s="1823"/>
      <c r="AB49" s="1823"/>
      <c r="AC49" s="1823"/>
      <c r="AD49" s="1823"/>
      <c r="AE49" s="1823"/>
      <c r="AF49" s="1823"/>
      <c r="AG49" s="1823"/>
      <c r="AH49" s="1823"/>
    </row>
    <row r="50" spans="1:37" s="14" customFormat="1" ht="25.2" customHeight="1">
      <c r="B50" s="12"/>
      <c r="C50" s="2"/>
      <c r="D50" s="1823"/>
      <c r="E50" s="1823"/>
      <c r="F50" s="1823"/>
      <c r="G50" s="1823"/>
      <c r="H50" s="1823"/>
      <c r="I50" s="1823"/>
      <c r="J50" s="1823"/>
      <c r="K50" s="1823"/>
      <c r="L50" s="1823"/>
      <c r="M50" s="1823"/>
      <c r="N50" s="1823"/>
      <c r="O50" s="1823"/>
      <c r="P50" s="1823"/>
      <c r="Q50" s="1823"/>
      <c r="R50" s="1823"/>
      <c r="S50" s="1823"/>
      <c r="T50" s="1823"/>
      <c r="U50" s="1823"/>
      <c r="V50" s="1823"/>
      <c r="W50" s="1823"/>
      <c r="X50" s="1823"/>
      <c r="Y50" s="1823"/>
      <c r="Z50" s="1823"/>
      <c r="AA50" s="1823"/>
      <c r="AB50" s="1823"/>
      <c r="AC50" s="1823"/>
      <c r="AD50" s="1823"/>
      <c r="AE50" s="1823"/>
      <c r="AF50" s="1823"/>
      <c r="AG50" s="1823"/>
      <c r="AH50" s="1823"/>
    </row>
    <row r="51" spans="1:37" s="14" customFormat="1" ht="13.5" customHeight="1">
      <c r="A51"/>
      <c r="B51" s="778" t="s">
        <v>1557</v>
      </c>
      <c r="C51" s="778"/>
      <c r="D51" s="2082" t="s">
        <v>1558</v>
      </c>
      <c r="E51" s="2082"/>
      <c r="F51" s="2082"/>
      <c r="G51" s="2082"/>
      <c r="H51" s="2082"/>
      <c r="I51" s="2082"/>
      <c r="J51" s="2082"/>
      <c r="K51" s="2082"/>
      <c r="L51" s="2082"/>
      <c r="M51" s="2082"/>
      <c r="N51" s="2082"/>
      <c r="O51" s="2082"/>
      <c r="P51" s="2082"/>
      <c r="Q51" s="2082"/>
      <c r="R51" s="2082"/>
      <c r="S51" s="2082"/>
      <c r="T51" s="2082"/>
      <c r="U51" s="2082"/>
      <c r="V51" s="2082"/>
      <c r="W51" s="2082"/>
      <c r="X51" s="2082"/>
      <c r="Y51" s="2082"/>
      <c r="Z51" s="2082"/>
      <c r="AA51" s="2082"/>
      <c r="AB51" s="2082"/>
      <c r="AC51" s="2082"/>
      <c r="AD51" s="2082"/>
      <c r="AE51" s="2082"/>
      <c r="AF51" s="2082"/>
      <c r="AG51" s="2082"/>
      <c r="AH51" s="2082"/>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3"/>
  <pageMargins left="0.7" right="0.7" top="0.75" bottom="0.75" header="0.3" footer="0.3"/>
  <pageSetup paperSize="9"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8F8B68A-0AF5-4878-B7CB-EC86E334724F}">
          <x14:formula1>
            <xm:f>"□,■"</xm:f>
          </x14:formula1>
          <xm:sqref>G8:G17 JC8:JC17 SY8:SY17 ACU8:ACU17 AMQ8:AMQ17 AWM8:AWM17 BGI8:BGI17 BQE8:BQE17 CAA8:CAA17 CJW8:CJW17 CTS8:CTS17 DDO8:DDO17 DNK8:DNK17 DXG8:DXG17 EHC8:EHC17 EQY8:EQY17 FAU8:FAU17 FKQ8:FKQ17 FUM8:FUM17 GEI8:GEI17 GOE8:GOE17 GYA8:GYA17 HHW8:HHW17 HRS8:HRS17 IBO8:IBO17 ILK8:ILK17 IVG8:IVG17 JFC8:JFC17 JOY8:JOY17 JYU8:JYU17 KIQ8:KIQ17 KSM8:KSM17 LCI8:LCI17 LME8:LME17 LWA8:LWA17 MFW8:MFW17 MPS8:MPS17 MZO8:MZO17 NJK8:NJK17 NTG8:NTG17 ODC8:ODC17 OMY8:OMY17 OWU8:OWU17 PGQ8:PGQ17 PQM8:PQM17 QAI8:QAI17 QKE8:QKE17 QUA8:QUA17 RDW8:RDW17 RNS8:RNS17 RXO8:RXO17 SHK8:SHK17 SRG8:SRG17 TBC8:TBC17 TKY8:TKY17 TUU8:TUU17 UEQ8:UEQ17 UOM8:UOM17 UYI8:UYI17 VIE8:VIE17 VSA8:VSA17 WBW8:WBW17 WLS8:WLS17 WVO8:WVO17 G65544:G65553 JC65544:JC65553 SY65544:SY65553 ACU65544:ACU65553 AMQ65544:AMQ65553 AWM65544:AWM65553 BGI65544:BGI65553 BQE65544:BQE65553 CAA65544:CAA65553 CJW65544:CJW65553 CTS65544:CTS65553 DDO65544:DDO65553 DNK65544:DNK65553 DXG65544:DXG65553 EHC65544:EHC65553 EQY65544:EQY65553 FAU65544:FAU65553 FKQ65544:FKQ65553 FUM65544:FUM65553 GEI65544:GEI65553 GOE65544:GOE65553 GYA65544:GYA65553 HHW65544:HHW65553 HRS65544:HRS65553 IBO65544:IBO65553 ILK65544:ILK65553 IVG65544:IVG65553 JFC65544:JFC65553 JOY65544:JOY65553 JYU65544:JYU65553 KIQ65544:KIQ65553 KSM65544:KSM65553 LCI65544:LCI65553 LME65544:LME65553 LWA65544:LWA65553 MFW65544:MFW65553 MPS65544:MPS65553 MZO65544:MZO65553 NJK65544:NJK65553 NTG65544:NTG65553 ODC65544:ODC65553 OMY65544:OMY65553 OWU65544:OWU65553 PGQ65544:PGQ65553 PQM65544:PQM65553 QAI65544:QAI65553 QKE65544:QKE65553 QUA65544:QUA65553 RDW65544:RDW65553 RNS65544:RNS65553 RXO65544:RXO65553 SHK65544:SHK65553 SRG65544:SRG65553 TBC65544:TBC65553 TKY65544:TKY65553 TUU65544:TUU65553 UEQ65544:UEQ65553 UOM65544:UOM65553 UYI65544:UYI65553 VIE65544:VIE65553 VSA65544:VSA65553 WBW65544:WBW65553 WLS65544:WLS65553 WVO65544:WVO65553 G131080:G131089 JC131080:JC131089 SY131080:SY131089 ACU131080:ACU131089 AMQ131080:AMQ131089 AWM131080:AWM131089 BGI131080:BGI131089 BQE131080:BQE131089 CAA131080:CAA131089 CJW131080:CJW131089 CTS131080:CTS131089 DDO131080:DDO131089 DNK131080:DNK131089 DXG131080:DXG131089 EHC131080:EHC131089 EQY131080:EQY131089 FAU131080:FAU131089 FKQ131080:FKQ131089 FUM131080:FUM131089 GEI131080:GEI131089 GOE131080:GOE131089 GYA131080:GYA131089 HHW131080:HHW131089 HRS131080:HRS131089 IBO131080:IBO131089 ILK131080:ILK131089 IVG131080:IVG131089 JFC131080:JFC131089 JOY131080:JOY131089 JYU131080:JYU131089 KIQ131080:KIQ131089 KSM131080:KSM131089 LCI131080:LCI131089 LME131080:LME131089 LWA131080:LWA131089 MFW131080:MFW131089 MPS131080:MPS131089 MZO131080:MZO131089 NJK131080:NJK131089 NTG131080:NTG131089 ODC131080:ODC131089 OMY131080:OMY131089 OWU131080:OWU131089 PGQ131080:PGQ131089 PQM131080:PQM131089 QAI131080:QAI131089 QKE131080:QKE131089 QUA131080:QUA131089 RDW131080:RDW131089 RNS131080:RNS131089 RXO131080:RXO131089 SHK131080:SHK131089 SRG131080:SRG131089 TBC131080:TBC131089 TKY131080:TKY131089 TUU131080:TUU131089 UEQ131080:UEQ131089 UOM131080:UOM131089 UYI131080:UYI131089 VIE131080:VIE131089 VSA131080:VSA131089 WBW131080:WBW131089 WLS131080:WLS131089 WVO131080:WVO131089 G196616:G196625 JC196616:JC196625 SY196616:SY196625 ACU196616:ACU196625 AMQ196616:AMQ196625 AWM196616:AWM196625 BGI196616:BGI196625 BQE196616:BQE196625 CAA196616:CAA196625 CJW196616:CJW196625 CTS196616:CTS196625 DDO196616:DDO196625 DNK196616:DNK196625 DXG196616:DXG196625 EHC196616:EHC196625 EQY196616:EQY196625 FAU196616:FAU196625 FKQ196616:FKQ196625 FUM196616:FUM196625 GEI196616:GEI196625 GOE196616:GOE196625 GYA196616:GYA196625 HHW196616:HHW196625 HRS196616:HRS196625 IBO196616:IBO196625 ILK196616:ILK196625 IVG196616:IVG196625 JFC196616:JFC196625 JOY196616:JOY196625 JYU196616:JYU196625 KIQ196616:KIQ196625 KSM196616:KSM196625 LCI196616:LCI196625 LME196616:LME196625 LWA196616:LWA196625 MFW196616:MFW196625 MPS196616:MPS196625 MZO196616:MZO196625 NJK196616:NJK196625 NTG196616:NTG196625 ODC196616:ODC196625 OMY196616:OMY196625 OWU196616:OWU196625 PGQ196616:PGQ196625 PQM196616:PQM196625 QAI196616:QAI196625 QKE196616:QKE196625 QUA196616:QUA196625 RDW196616:RDW196625 RNS196616:RNS196625 RXO196616:RXO196625 SHK196616:SHK196625 SRG196616:SRG196625 TBC196616:TBC196625 TKY196616:TKY196625 TUU196616:TUU196625 UEQ196616:UEQ196625 UOM196616:UOM196625 UYI196616:UYI196625 VIE196616:VIE196625 VSA196616:VSA196625 WBW196616:WBW196625 WLS196616:WLS196625 WVO196616:WVO196625 G262152:G262161 JC262152:JC262161 SY262152:SY262161 ACU262152:ACU262161 AMQ262152:AMQ262161 AWM262152:AWM262161 BGI262152:BGI262161 BQE262152:BQE262161 CAA262152:CAA262161 CJW262152:CJW262161 CTS262152:CTS262161 DDO262152:DDO262161 DNK262152:DNK262161 DXG262152:DXG262161 EHC262152:EHC262161 EQY262152:EQY262161 FAU262152:FAU262161 FKQ262152:FKQ262161 FUM262152:FUM262161 GEI262152:GEI262161 GOE262152:GOE262161 GYA262152:GYA262161 HHW262152:HHW262161 HRS262152:HRS262161 IBO262152:IBO262161 ILK262152:ILK262161 IVG262152:IVG262161 JFC262152:JFC262161 JOY262152:JOY262161 JYU262152:JYU262161 KIQ262152:KIQ262161 KSM262152:KSM262161 LCI262152:LCI262161 LME262152:LME262161 LWA262152:LWA262161 MFW262152:MFW262161 MPS262152:MPS262161 MZO262152:MZO262161 NJK262152:NJK262161 NTG262152:NTG262161 ODC262152:ODC262161 OMY262152:OMY262161 OWU262152:OWU262161 PGQ262152:PGQ262161 PQM262152:PQM262161 QAI262152:QAI262161 QKE262152:QKE262161 QUA262152:QUA262161 RDW262152:RDW262161 RNS262152:RNS262161 RXO262152:RXO262161 SHK262152:SHK262161 SRG262152:SRG262161 TBC262152:TBC262161 TKY262152:TKY262161 TUU262152:TUU262161 UEQ262152:UEQ262161 UOM262152:UOM262161 UYI262152:UYI262161 VIE262152:VIE262161 VSA262152:VSA262161 WBW262152:WBW262161 WLS262152:WLS262161 WVO262152:WVO262161 G327688:G327697 JC327688:JC327697 SY327688:SY327697 ACU327688:ACU327697 AMQ327688:AMQ327697 AWM327688:AWM327697 BGI327688:BGI327697 BQE327688:BQE327697 CAA327688:CAA327697 CJW327688:CJW327697 CTS327688:CTS327697 DDO327688:DDO327697 DNK327688:DNK327697 DXG327688:DXG327697 EHC327688:EHC327697 EQY327688:EQY327697 FAU327688:FAU327697 FKQ327688:FKQ327697 FUM327688:FUM327697 GEI327688:GEI327697 GOE327688:GOE327697 GYA327688:GYA327697 HHW327688:HHW327697 HRS327688:HRS327697 IBO327688:IBO327697 ILK327688:ILK327697 IVG327688:IVG327697 JFC327688:JFC327697 JOY327688:JOY327697 JYU327688:JYU327697 KIQ327688:KIQ327697 KSM327688:KSM327697 LCI327688:LCI327697 LME327688:LME327697 LWA327688:LWA327697 MFW327688:MFW327697 MPS327688:MPS327697 MZO327688:MZO327697 NJK327688:NJK327697 NTG327688:NTG327697 ODC327688:ODC327697 OMY327688:OMY327697 OWU327688:OWU327697 PGQ327688:PGQ327697 PQM327688:PQM327697 QAI327688:QAI327697 QKE327688:QKE327697 QUA327688:QUA327697 RDW327688:RDW327697 RNS327688:RNS327697 RXO327688:RXO327697 SHK327688:SHK327697 SRG327688:SRG327697 TBC327688:TBC327697 TKY327688:TKY327697 TUU327688:TUU327697 UEQ327688:UEQ327697 UOM327688:UOM327697 UYI327688:UYI327697 VIE327688:VIE327697 VSA327688:VSA327697 WBW327688:WBW327697 WLS327688:WLS327697 WVO327688:WVO327697 G393224:G393233 JC393224:JC393233 SY393224:SY393233 ACU393224:ACU393233 AMQ393224:AMQ393233 AWM393224:AWM393233 BGI393224:BGI393233 BQE393224:BQE393233 CAA393224:CAA393233 CJW393224:CJW393233 CTS393224:CTS393233 DDO393224:DDO393233 DNK393224:DNK393233 DXG393224:DXG393233 EHC393224:EHC393233 EQY393224:EQY393233 FAU393224:FAU393233 FKQ393224:FKQ393233 FUM393224:FUM393233 GEI393224:GEI393233 GOE393224:GOE393233 GYA393224:GYA393233 HHW393224:HHW393233 HRS393224:HRS393233 IBO393224:IBO393233 ILK393224:ILK393233 IVG393224:IVG393233 JFC393224:JFC393233 JOY393224:JOY393233 JYU393224:JYU393233 KIQ393224:KIQ393233 KSM393224:KSM393233 LCI393224:LCI393233 LME393224:LME393233 LWA393224:LWA393233 MFW393224:MFW393233 MPS393224:MPS393233 MZO393224:MZO393233 NJK393224:NJK393233 NTG393224:NTG393233 ODC393224:ODC393233 OMY393224:OMY393233 OWU393224:OWU393233 PGQ393224:PGQ393233 PQM393224:PQM393233 QAI393224:QAI393233 QKE393224:QKE393233 QUA393224:QUA393233 RDW393224:RDW393233 RNS393224:RNS393233 RXO393224:RXO393233 SHK393224:SHK393233 SRG393224:SRG393233 TBC393224:TBC393233 TKY393224:TKY393233 TUU393224:TUU393233 UEQ393224:UEQ393233 UOM393224:UOM393233 UYI393224:UYI393233 VIE393224:VIE393233 VSA393224:VSA393233 WBW393224:WBW393233 WLS393224:WLS393233 WVO393224:WVO393233 G458760:G458769 JC458760:JC458769 SY458760:SY458769 ACU458760:ACU458769 AMQ458760:AMQ458769 AWM458760:AWM458769 BGI458760:BGI458769 BQE458760:BQE458769 CAA458760:CAA458769 CJW458760:CJW458769 CTS458760:CTS458769 DDO458760:DDO458769 DNK458760:DNK458769 DXG458760:DXG458769 EHC458760:EHC458769 EQY458760:EQY458769 FAU458760:FAU458769 FKQ458760:FKQ458769 FUM458760:FUM458769 GEI458760:GEI458769 GOE458760:GOE458769 GYA458760:GYA458769 HHW458760:HHW458769 HRS458760:HRS458769 IBO458760:IBO458769 ILK458760:ILK458769 IVG458760:IVG458769 JFC458760:JFC458769 JOY458760:JOY458769 JYU458760:JYU458769 KIQ458760:KIQ458769 KSM458760:KSM458769 LCI458760:LCI458769 LME458760:LME458769 LWA458760:LWA458769 MFW458760:MFW458769 MPS458760:MPS458769 MZO458760:MZO458769 NJK458760:NJK458769 NTG458760:NTG458769 ODC458760:ODC458769 OMY458760:OMY458769 OWU458760:OWU458769 PGQ458760:PGQ458769 PQM458760:PQM458769 QAI458760:QAI458769 QKE458760:QKE458769 QUA458760:QUA458769 RDW458760:RDW458769 RNS458760:RNS458769 RXO458760:RXO458769 SHK458760:SHK458769 SRG458760:SRG458769 TBC458760:TBC458769 TKY458760:TKY458769 TUU458760:TUU458769 UEQ458760:UEQ458769 UOM458760:UOM458769 UYI458760:UYI458769 VIE458760:VIE458769 VSA458760:VSA458769 WBW458760:WBW458769 WLS458760:WLS458769 WVO458760:WVO458769 G524296:G524305 JC524296:JC524305 SY524296:SY524305 ACU524296:ACU524305 AMQ524296:AMQ524305 AWM524296:AWM524305 BGI524296:BGI524305 BQE524296:BQE524305 CAA524296:CAA524305 CJW524296:CJW524305 CTS524296:CTS524305 DDO524296:DDO524305 DNK524296:DNK524305 DXG524296:DXG524305 EHC524296:EHC524305 EQY524296:EQY524305 FAU524296:FAU524305 FKQ524296:FKQ524305 FUM524296:FUM524305 GEI524296:GEI524305 GOE524296:GOE524305 GYA524296:GYA524305 HHW524296:HHW524305 HRS524296:HRS524305 IBO524296:IBO524305 ILK524296:ILK524305 IVG524296:IVG524305 JFC524296:JFC524305 JOY524296:JOY524305 JYU524296:JYU524305 KIQ524296:KIQ524305 KSM524296:KSM524305 LCI524296:LCI524305 LME524296:LME524305 LWA524296:LWA524305 MFW524296:MFW524305 MPS524296:MPS524305 MZO524296:MZO524305 NJK524296:NJK524305 NTG524296:NTG524305 ODC524296:ODC524305 OMY524296:OMY524305 OWU524296:OWU524305 PGQ524296:PGQ524305 PQM524296:PQM524305 QAI524296:QAI524305 QKE524296:QKE524305 QUA524296:QUA524305 RDW524296:RDW524305 RNS524296:RNS524305 RXO524296:RXO524305 SHK524296:SHK524305 SRG524296:SRG524305 TBC524296:TBC524305 TKY524296:TKY524305 TUU524296:TUU524305 UEQ524296:UEQ524305 UOM524296:UOM524305 UYI524296:UYI524305 VIE524296:VIE524305 VSA524296:VSA524305 WBW524296:WBW524305 WLS524296:WLS524305 WVO524296:WVO524305 G589832:G589841 JC589832:JC589841 SY589832:SY589841 ACU589832:ACU589841 AMQ589832:AMQ589841 AWM589832:AWM589841 BGI589832:BGI589841 BQE589832:BQE589841 CAA589832:CAA589841 CJW589832:CJW589841 CTS589832:CTS589841 DDO589832:DDO589841 DNK589832:DNK589841 DXG589832:DXG589841 EHC589832:EHC589841 EQY589832:EQY589841 FAU589832:FAU589841 FKQ589832:FKQ589841 FUM589832:FUM589841 GEI589832:GEI589841 GOE589832:GOE589841 GYA589832:GYA589841 HHW589832:HHW589841 HRS589832:HRS589841 IBO589832:IBO589841 ILK589832:ILK589841 IVG589832:IVG589841 JFC589832:JFC589841 JOY589832:JOY589841 JYU589832:JYU589841 KIQ589832:KIQ589841 KSM589832:KSM589841 LCI589832:LCI589841 LME589832:LME589841 LWA589832:LWA589841 MFW589832:MFW589841 MPS589832:MPS589841 MZO589832:MZO589841 NJK589832:NJK589841 NTG589832:NTG589841 ODC589832:ODC589841 OMY589832:OMY589841 OWU589832:OWU589841 PGQ589832:PGQ589841 PQM589832:PQM589841 QAI589832:QAI589841 QKE589832:QKE589841 QUA589832:QUA589841 RDW589832:RDW589841 RNS589832:RNS589841 RXO589832:RXO589841 SHK589832:SHK589841 SRG589832:SRG589841 TBC589832:TBC589841 TKY589832:TKY589841 TUU589832:TUU589841 UEQ589832:UEQ589841 UOM589832:UOM589841 UYI589832:UYI589841 VIE589832:VIE589841 VSA589832:VSA589841 WBW589832:WBW589841 WLS589832:WLS589841 WVO589832:WVO589841 G655368:G655377 JC655368:JC655377 SY655368:SY655377 ACU655368:ACU655377 AMQ655368:AMQ655377 AWM655368:AWM655377 BGI655368:BGI655377 BQE655368:BQE655377 CAA655368:CAA655377 CJW655368:CJW655377 CTS655368:CTS655377 DDO655368:DDO655377 DNK655368:DNK655377 DXG655368:DXG655377 EHC655368:EHC655377 EQY655368:EQY655377 FAU655368:FAU655377 FKQ655368:FKQ655377 FUM655368:FUM655377 GEI655368:GEI655377 GOE655368:GOE655377 GYA655368:GYA655377 HHW655368:HHW655377 HRS655368:HRS655377 IBO655368:IBO655377 ILK655368:ILK655377 IVG655368:IVG655377 JFC655368:JFC655377 JOY655368:JOY655377 JYU655368:JYU655377 KIQ655368:KIQ655377 KSM655368:KSM655377 LCI655368:LCI655377 LME655368:LME655377 LWA655368:LWA655377 MFW655368:MFW655377 MPS655368:MPS655377 MZO655368:MZO655377 NJK655368:NJK655377 NTG655368:NTG655377 ODC655368:ODC655377 OMY655368:OMY655377 OWU655368:OWU655377 PGQ655368:PGQ655377 PQM655368:PQM655377 QAI655368:QAI655377 QKE655368:QKE655377 QUA655368:QUA655377 RDW655368:RDW655377 RNS655368:RNS655377 RXO655368:RXO655377 SHK655368:SHK655377 SRG655368:SRG655377 TBC655368:TBC655377 TKY655368:TKY655377 TUU655368:TUU655377 UEQ655368:UEQ655377 UOM655368:UOM655377 UYI655368:UYI655377 VIE655368:VIE655377 VSA655368:VSA655377 WBW655368:WBW655377 WLS655368:WLS655377 WVO655368:WVO655377 G720904:G720913 JC720904:JC720913 SY720904:SY720913 ACU720904:ACU720913 AMQ720904:AMQ720913 AWM720904:AWM720913 BGI720904:BGI720913 BQE720904:BQE720913 CAA720904:CAA720913 CJW720904:CJW720913 CTS720904:CTS720913 DDO720904:DDO720913 DNK720904:DNK720913 DXG720904:DXG720913 EHC720904:EHC720913 EQY720904:EQY720913 FAU720904:FAU720913 FKQ720904:FKQ720913 FUM720904:FUM720913 GEI720904:GEI720913 GOE720904:GOE720913 GYA720904:GYA720913 HHW720904:HHW720913 HRS720904:HRS720913 IBO720904:IBO720913 ILK720904:ILK720913 IVG720904:IVG720913 JFC720904:JFC720913 JOY720904:JOY720913 JYU720904:JYU720913 KIQ720904:KIQ720913 KSM720904:KSM720913 LCI720904:LCI720913 LME720904:LME720913 LWA720904:LWA720913 MFW720904:MFW720913 MPS720904:MPS720913 MZO720904:MZO720913 NJK720904:NJK720913 NTG720904:NTG720913 ODC720904:ODC720913 OMY720904:OMY720913 OWU720904:OWU720913 PGQ720904:PGQ720913 PQM720904:PQM720913 QAI720904:QAI720913 QKE720904:QKE720913 QUA720904:QUA720913 RDW720904:RDW720913 RNS720904:RNS720913 RXO720904:RXO720913 SHK720904:SHK720913 SRG720904:SRG720913 TBC720904:TBC720913 TKY720904:TKY720913 TUU720904:TUU720913 UEQ720904:UEQ720913 UOM720904:UOM720913 UYI720904:UYI720913 VIE720904:VIE720913 VSA720904:VSA720913 WBW720904:WBW720913 WLS720904:WLS720913 WVO720904:WVO720913 G786440:G786449 JC786440:JC786449 SY786440:SY786449 ACU786440:ACU786449 AMQ786440:AMQ786449 AWM786440:AWM786449 BGI786440:BGI786449 BQE786440:BQE786449 CAA786440:CAA786449 CJW786440:CJW786449 CTS786440:CTS786449 DDO786440:DDO786449 DNK786440:DNK786449 DXG786440:DXG786449 EHC786440:EHC786449 EQY786440:EQY786449 FAU786440:FAU786449 FKQ786440:FKQ786449 FUM786440:FUM786449 GEI786440:GEI786449 GOE786440:GOE786449 GYA786440:GYA786449 HHW786440:HHW786449 HRS786440:HRS786449 IBO786440:IBO786449 ILK786440:ILK786449 IVG786440:IVG786449 JFC786440:JFC786449 JOY786440:JOY786449 JYU786440:JYU786449 KIQ786440:KIQ786449 KSM786440:KSM786449 LCI786440:LCI786449 LME786440:LME786449 LWA786440:LWA786449 MFW786440:MFW786449 MPS786440:MPS786449 MZO786440:MZO786449 NJK786440:NJK786449 NTG786440:NTG786449 ODC786440:ODC786449 OMY786440:OMY786449 OWU786440:OWU786449 PGQ786440:PGQ786449 PQM786440:PQM786449 QAI786440:QAI786449 QKE786440:QKE786449 QUA786440:QUA786449 RDW786440:RDW786449 RNS786440:RNS786449 RXO786440:RXO786449 SHK786440:SHK786449 SRG786440:SRG786449 TBC786440:TBC786449 TKY786440:TKY786449 TUU786440:TUU786449 UEQ786440:UEQ786449 UOM786440:UOM786449 UYI786440:UYI786449 VIE786440:VIE786449 VSA786440:VSA786449 WBW786440:WBW786449 WLS786440:WLS786449 WVO786440:WVO786449 G851976:G851985 JC851976:JC851985 SY851976:SY851985 ACU851976:ACU851985 AMQ851976:AMQ851985 AWM851976:AWM851985 BGI851976:BGI851985 BQE851976:BQE851985 CAA851976:CAA851985 CJW851976:CJW851985 CTS851976:CTS851985 DDO851976:DDO851985 DNK851976:DNK851985 DXG851976:DXG851985 EHC851976:EHC851985 EQY851976:EQY851985 FAU851976:FAU851985 FKQ851976:FKQ851985 FUM851976:FUM851985 GEI851976:GEI851985 GOE851976:GOE851985 GYA851976:GYA851985 HHW851976:HHW851985 HRS851976:HRS851985 IBO851976:IBO851985 ILK851976:ILK851985 IVG851976:IVG851985 JFC851976:JFC851985 JOY851976:JOY851985 JYU851976:JYU851985 KIQ851976:KIQ851985 KSM851976:KSM851985 LCI851976:LCI851985 LME851976:LME851985 LWA851976:LWA851985 MFW851976:MFW851985 MPS851976:MPS851985 MZO851976:MZO851985 NJK851976:NJK851985 NTG851976:NTG851985 ODC851976:ODC851985 OMY851976:OMY851985 OWU851976:OWU851985 PGQ851976:PGQ851985 PQM851976:PQM851985 QAI851976:QAI851985 QKE851976:QKE851985 QUA851976:QUA851985 RDW851976:RDW851985 RNS851976:RNS851985 RXO851976:RXO851985 SHK851976:SHK851985 SRG851976:SRG851985 TBC851976:TBC851985 TKY851976:TKY851985 TUU851976:TUU851985 UEQ851976:UEQ851985 UOM851976:UOM851985 UYI851976:UYI851985 VIE851976:VIE851985 VSA851976:VSA851985 WBW851976:WBW851985 WLS851976:WLS851985 WVO851976:WVO851985 G917512:G917521 JC917512:JC917521 SY917512:SY917521 ACU917512:ACU917521 AMQ917512:AMQ917521 AWM917512:AWM917521 BGI917512:BGI917521 BQE917512:BQE917521 CAA917512:CAA917521 CJW917512:CJW917521 CTS917512:CTS917521 DDO917512:DDO917521 DNK917512:DNK917521 DXG917512:DXG917521 EHC917512:EHC917521 EQY917512:EQY917521 FAU917512:FAU917521 FKQ917512:FKQ917521 FUM917512:FUM917521 GEI917512:GEI917521 GOE917512:GOE917521 GYA917512:GYA917521 HHW917512:HHW917521 HRS917512:HRS917521 IBO917512:IBO917521 ILK917512:ILK917521 IVG917512:IVG917521 JFC917512:JFC917521 JOY917512:JOY917521 JYU917512:JYU917521 KIQ917512:KIQ917521 KSM917512:KSM917521 LCI917512:LCI917521 LME917512:LME917521 LWA917512:LWA917521 MFW917512:MFW917521 MPS917512:MPS917521 MZO917512:MZO917521 NJK917512:NJK917521 NTG917512:NTG917521 ODC917512:ODC917521 OMY917512:OMY917521 OWU917512:OWU917521 PGQ917512:PGQ917521 PQM917512:PQM917521 QAI917512:QAI917521 QKE917512:QKE917521 QUA917512:QUA917521 RDW917512:RDW917521 RNS917512:RNS917521 RXO917512:RXO917521 SHK917512:SHK917521 SRG917512:SRG917521 TBC917512:TBC917521 TKY917512:TKY917521 TUU917512:TUU917521 UEQ917512:UEQ917521 UOM917512:UOM917521 UYI917512:UYI917521 VIE917512:VIE917521 VSA917512:VSA917521 WBW917512:WBW917521 WLS917512:WLS917521 WVO917512:WVO917521 G983048:G983057 JC983048:JC983057 SY983048:SY983057 ACU983048:ACU983057 AMQ983048:AMQ983057 AWM983048:AWM983057 BGI983048:BGI983057 BQE983048:BQE983057 CAA983048:CAA983057 CJW983048:CJW983057 CTS983048:CTS983057 DDO983048:DDO983057 DNK983048:DNK983057 DXG983048:DXG983057 EHC983048:EHC983057 EQY983048:EQY983057 FAU983048:FAU983057 FKQ983048:FKQ983057 FUM983048:FUM983057 GEI983048:GEI983057 GOE983048:GOE983057 GYA983048:GYA983057 HHW983048:HHW983057 HRS983048:HRS983057 IBO983048:IBO983057 ILK983048:ILK983057 IVG983048:IVG983057 JFC983048:JFC983057 JOY983048:JOY983057 JYU983048:JYU983057 KIQ983048:KIQ983057 KSM983048:KSM983057 LCI983048:LCI983057 LME983048:LME983057 LWA983048:LWA983057 MFW983048:MFW983057 MPS983048:MPS983057 MZO983048:MZO983057 NJK983048:NJK983057 NTG983048:NTG983057 ODC983048:ODC983057 OMY983048:OMY983057 OWU983048:OWU983057 PGQ983048:PGQ983057 PQM983048:PQM983057 QAI983048:QAI983057 QKE983048:QKE983057 QUA983048:QUA983057 RDW983048:RDW983057 RNS983048:RNS983057 RXO983048:RXO983057 SHK983048:SHK983057 SRG983048:SRG983057 TBC983048:TBC983057 TKY983048:TKY983057 TUU983048:TUU983057 UEQ983048:UEQ983057 UOM983048:UOM983057 UYI983048:UYI983057 VIE983048:VIE983057 VSA983048:VSA983057 WBW983048:WBW983057 WLS983048:WLS983057 WVO983048:WVO983057 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U13:W13 JQ13:JS13 TM13:TO13 ADI13:ADK13 ANE13:ANG13 AXA13:AXC13 BGW13:BGY13 BQS13:BQU13 CAO13:CAQ13 CKK13:CKM13 CUG13:CUI13 DEC13:DEE13 DNY13:DOA13 DXU13:DXW13 EHQ13:EHS13 ERM13:ERO13 FBI13:FBK13 FLE13:FLG13 FVA13:FVC13 GEW13:GEY13 GOS13:GOU13 GYO13:GYQ13 HIK13:HIM13 HSG13:HSI13 ICC13:ICE13 ILY13:IMA13 IVU13:IVW13 JFQ13:JFS13 JPM13:JPO13 JZI13:JZK13 KJE13:KJG13 KTA13:KTC13 LCW13:LCY13 LMS13:LMU13 LWO13:LWQ13 MGK13:MGM13 MQG13:MQI13 NAC13:NAE13 NJY13:NKA13 NTU13:NTW13 ODQ13:ODS13 ONM13:ONO13 OXI13:OXK13 PHE13:PHG13 PRA13:PRC13 QAW13:QAY13 QKS13:QKU13 QUO13:QUQ13 REK13:REM13 ROG13:ROI13 RYC13:RYE13 SHY13:SIA13 SRU13:SRW13 TBQ13:TBS13 TLM13:TLO13 TVI13:TVK13 UFE13:UFG13 UPA13:UPC13 UYW13:UYY13 VIS13:VIU13 VSO13:VSQ13 WCK13:WCM13 WMG13:WMI13 WWC13:WWE13 U65549:W65549 JQ65549:JS65549 TM65549:TO65549 ADI65549:ADK65549 ANE65549:ANG65549 AXA65549:AXC65549 BGW65549:BGY65549 BQS65549:BQU65549 CAO65549:CAQ65549 CKK65549:CKM65549 CUG65549:CUI65549 DEC65549:DEE65549 DNY65549:DOA65549 DXU65549:DXW65549 EHQ65549:EHS65549 ERM65549:ERO65549 FBI65549:FBK65549 FLE65549:FLG65549 FVA65549:FVC65549 GEW65549:GEY65549 GOS65549:GOU65549 GYO65549:GYQ65549 HIK65549:HIM65549 HSG65549:HSI65549 ICC65549:ICE65549 ILY65549:IMA65549 IVU65549:IVW65549 JFQ65549:JFS65549 JPM65549:JPO65549 JZI65549:JZK65549 KJE65549:KJG65549 KTA65549:KTC65549 LCW65549:LCY65549 LMS65549:LMU65549 LWO65549:LWQ65549 MGK65549:MGM65549 MQG65549:MQI65549 NAC65549:NAE65549 NJY65549:NKA65549 NTU65549:NTW65549 ODQ65549:ODS65549 ONM65549:ONO65549 OXI65549:OXK65549 PHE65549:PHG65549 PRA65549:PRC65549 QAW65549:QAY65549 QKS65549:QKU65549 QUO65549:QUQ65549 REK65549:REM65549 ROG65549:ROI65549 RYC65549:RYE65549 SHY65549:SIA65549 SRU65549:SRW65549 TBQ65549:TBS65549 TLM65549:TLO65549 TVI65549:TVK65549 UFE65549:UFG65549 UPA65549:UPC65549 UYW65549:UYY65549 VIS65549:VIU65549 VSO65549:VSQ65549 WCK65549:WCM65549 WMG65549:WMI65549 WWC65549:WWE65549 U131085:W131085 JQ131085:JS131085 TM131085:TO131085 ADI131085:ADK131085 ANE131085:ANG131085 AXA131085:AXC131085 BGW131085:BGY131085 BQS131085:BQU131085 CAO131085:CAQ131085 CKK131085:CKM131085 CUG131085:CUI131085 DEC131085:DEE131085 DNY131085:DOA131085 DXU131085:DXW131085 EHQ131085:EHS131085 ERM131085:ERO131085 FBI131085:FBK131085 FLE131085:FLG131085 FVA131085:FVC131085 GEW131085:GEY131085 GOS131085:GOU131085 GYO131085:GYQ131085 HIK131085:HIM131085 HSG131085:HSI131085 ICC131085:ICE131085 ILY131085:IMA131085 IVU131085:IVW131085 JFQ131085:JFS131085 JPM131085:JPO131085 JZI131085:JZK131085 KJE131085:KJG131085 KTA131085:KTC131085 LCW131085:LCY131085 LMS131085:LMU131085 LWO131085:LWQ131085 MGK131085:MGM131085 MQG131085:MQI131085 NAC131085:NAE131085 NJY131085:NKA131085 NTU131085:NTW131085 ODQ131085:ODS131085 ONM131085:ONO131085 OXI131085:OXK131085 PHE131085:PHG131085 PRA131085:PRC131085 QAW131085:QAY131085 QKS131085:QKU131085 QUO131085:QUQ131085 REK131085:REM131085 ROG131085:ROI131085 RYC131085:RYE131085 SHY131085:SIA131085 SRU131085:SRW131085 TBQ131085:TBS131085 TLM131085:TLO131085 TVI131085:TVK131085 UFE131085:UFG131085 UPA131085:UPC131085 UYW131085:UYY131085 VIS131085:VIU131085 VSO131085:VSQ131085 WCK131085:WCM131085 WMG131085:WMI131085 WWC131085:WWE131085 U196621:W196621 JQ196621:JS196621 TM196621:TO196621 ADI196621:ADK196621 ANE196621:ANG196621 AXA196621:AXC196621 BGW196621:BGY196621 BQS196621:BQU196621 CAO196621:CAQ196621 CKK196621:CKM196621 CUG196621:CUI196621 DEC196621:DEE196621 DNY196621:DOA196621 DXU196621:DXW196621 EHQ196621:EHS196621 ERM196621:ERO196621 FBI196621:FBK196621 FLE196621:FLG196621 FVA196621:FVC196621 GEW196621:GEY196621 GOS196621:GOU196621 GYO196621:GYQ196621 HIK196621:HIM196621 HSG196621:HSI196621 ICC196621:ICE196621 ILY196621:IMA196621 IVU196621:IVW196621 JFQ196621:JFS196621 JPM196621:JPO196621 JZI196621:JZK196621 KJE196621:KJG196621 KTA196621:KTC196621 LCW196621:LCY196621 LMS196621:LMU196621 LWO196621:LWQ196621 MGK196621:MGM196621 MQG196621:MQI196621 NAC196621:NAE196621 NJY196621:NKA196621 NTU196621:NTW196621 ODQ196621:ODS196621 ONM196621:ONO196621 OXI196621:OXK196621 PHE196621:PHG196621 PRA196621:PRC196621 QAW196621:QAY196621 QKS196621:QKU196621 QUO196621:QUQ196621 REK196621:REM196621 ROG196621:ROI196621 RYC196621:RYE196621 SHY196621:SIA196621 SRU196621:SRW196621 TBQ196621:TBS196621 TLM196621:TLO196621 TVI196621:TVK196621 UFE196621:UFG196621 UPA196621:UPC196621 UYW196621:UYY196621 VIS196621:VIU196621 VSO196621:VSQ196621 WCK196621:WCM196621 WMG196621:WMI196621 WWC196621:WWE196621 U262157:W262157 JQ262157:JS262157 TM262157:TO262157 ADI262157:ADK262157 ANE262157:ANG262157 AXA262157:AXC262157 BGW262157:BGY262157 BQS262157:BQU262157 CAO262157:CAQ262157 CKK262157:CKM262157 CUG262157:CUI262157 DEC262157:DEE262157 DNY262157:DOA262157 DXU262157:DXW262157 EHQ262157:EHS262157 ERM262157:ERO262157 FBI262157:FBK262157 FLE262157:FLG262157 FVA262157:FVC262157 GEW262157:GEY262157 GOS262157:GOU262157 GYO262157:GYQ262157 HIK262157:HIM262157 HSG262157:HSI262157 ICC262157:ICE262157 ILY262157:IMA262157 IVU262157:IVW262157 JFQ262157:JFS262157 JPM262157:JPO262157 JZI262157:JZK262157 KJE262157:KJG262157 KTA262157:KTC262157 LCW262157:LCY262157 LMS262157:LMU262157 LWO262157:LWQ262157 MGK262157:MGM262157 MQG262157:MQI262157 NAC262157:NAE262157 NJY262157:NKA262157 NTU262157:NTW262157 ODQ262157:ODS262157 ONM262157:ONO262157 OXI262157:OXK262157 PHE262157:PHG262157 PRA262157:PRC262157 QAW262157:QAY262157 QKS262157:QKU262157 QUO262157:QUQ262157 REK262157:REM262157 ROG262157:ROI262157 RYC262157:RYE262157 SHY262157:SIA262157 SRU262157:SRW262157 TBQ262157:TBS262157 TLM262157:TLO262157 TVI262157:TVK262157 UFE262157:UFG262157 UPA262157:UPC262157 UYW262157:UYY262157 VIS262157:VIU262157 VSO262157:VSQ262157 WCK262157:WCM262157 WMG262157:WMI262157 WWC262157:WWE262157 U327693:W327693 JQ327693:JS327693 TM327693:TO327693 ADI327693:ADK327693 ANE327693:ANG327693 AXA327693:AXC327693 BGW327693:BGY327693 BQS327693:BQU327693 CAO327693:CAQ327693 CKK327693:CKM327693 CUG327693:CUI327693 DEC327693:DEE327693 DNY327693:DOA327693 DXU327693:DXW327693 EHQ327693:EHS327693 ERM327693:ERO327693 FBI327693:FBK327693 FLE327693:FLG327693 FVA327693:FVC327693 GEW327693:GEY327693 GOS327693:GOU327693 GYO327693:GYQ327693 HIK327693:HIM327693 HSG327693:HSI327693 ICC327693:ICE327693 ILY327693:IMA327693 IVU327693:IVW327693 JFQ327693:JFS327693 JPM327693:JPO327693 JZI327693:JZK327693 KJE327693:KJG327693 KTA327693:KTC327693 LCW327693:LCY327693 LMS327693:LMU327693 LWO327693:LWQ327693 MGK327693:MGM327693 MQG327693:MQI327693 NAC327693:NAE327693 NJY327693:NKA327693 NTU327693:NTW327693 ODQ327693:ODS327693 ONM327693:ONO327693 OXI327693:OXK327693 PHE327693:PHG327693 PRA327693:PRC327693 QAW327693:QAY327693 QKS327693:QKU327693 QUO327693:QUQ327693 REK327693:REM327693 ROG327693:ROI327693 RYC327693:RYE327693 SHY327693:SIA327693 SRU327693:SRW327693 TBQ327693:TBS327693 TLM327693:TLO327693 TVI327693:TVK327693 UFE327693:UFG327693 UPA327693:UPC327693 UYW327693:UYY327693 VIS327693:VIU327693 VSO327693:VSQ327693 WCK327693:WCM327693 WMG327693:WMI327693 WWC327693:WWE327693 U393229:W393229 JQ393229:JS393229 TM393229:TO393229 ADI393229:ADK393229 ANE393229:ANG393229 AXA393229:AXC393229 BGW393229:BGY393229 BQS393229:BQU393229 CAO393229:CAQ393229 CKK393229:CKM393229 CUG393229:CUI393229 DEC393229:DEE393229 DNY393229:DOA393229 DXU393229:DXW393229 EHQ393229:EHS393229 ERM393229:ERO393229 FBI393229:FBK393229 FLE393229:FLG393229 FVA393229:FVC393229 GEW393229:GEY393229 GOS393229:GOU393229 GYO393229:GYQ393229 HIK393229:HIM393229 HSG393229:HSI393229 ICC393229:ICE393229 ILY393229:IMA393229 IVU393229:IVW393229 JFQ393229:JFS393229 JPM393229:JPO393229 JZI393229:JZK393229 KJE393229:KJG393229 KTA393229:KTC393229 LCW393229:LCY393229 LMS393229:LMU393229 LWO393229:LWQ393229 MGK393229:MGM393229 MQG393229:MQI393229 NAC393229:NAE393229 NJY393229:NKA393229 NTU393229:NTW393229 ODQ393229:ODS393229 ONM393229:ONO393229 OXI393229:OXK393229 PHE393229:PHG393229 PRA393229:PRC393229 QAW393229:QAY393229 QKS393229:QKU393229 QUO393229:QUQ393229 REK393229:REM393229 ROG393229:ROI393229 RYC393229:RYE393229 SHY393229:SIA393229 SRU393229:SRW393229 TBQ393229:TBS393229 TLM393229:TLO393229 TVI393229:TVK393229 UFE393229:UFG393229 UPA393229:UPC393229 UYW393229:UYY393229 VIS393229:VIU393229 VSO393229:VSQ393229 WCK393229:WCM393229 WMG393229:WMI393229 WWC393229:WWE393229 U458765:W458765 JQ458765:JS458765 TM458765:TO458765 ADI458765:ADK458765 ANE458765:ANG458765 AXA458765:AXC458765 BGW458765:BGY458765 BQS458765:BQU458765 CAO458765:CAQ458765 CKK458765:CKM458765 CUG458765:CUI458765 DEC458765:DEE458765 DNY458765:DOA458765 DXU458765:DXW458765 EHQ458765:EHS458765 ERM458765:ERO458765 FBI458765:FBK458765 FLE458765:FLG458765 FVA458765:FVC458765 GEW458765:GEY458765 GOS458765:GOU458765 GYO458765:GYQ458765 HIK458765:HIM458765 HSG458765:HSI458765 ICC458765:ICE458765 ILY458765:IMA458765 IVU458765:IVW458765 JFQ458765:JFS458765 JPM458765:JPO458765 JZI458765:JZK458765 KJE458765:KJG458765 KTA458765:KTC458765 LCW458765:LCY458765 LMS458765:LMU458765 LWO458765:LWQ458765 MGK458765:MGM458765 MQG458765:MQI458765 NAC458765:NAE458765 NJY458765:NKA458765 NTU458765:NTW458765 ODQ458765:ODS458765 ONM458765:ONO458765 OXI458765:OXK458765 PHE458765:PHG458765 PRA458765:PRC458765 QAW458765:QAY458765 QKS458765:QKU458765 QUO458765:QUQ458765 REK458765:REM458765 ROG458765:ROI458765 RYC458765:RYE458765 SHY458765:SIA458765 SRU458765:SRW458765 TBQ458765:TBS458765 TLM458765:TLO458765 TVI458765:TVK458765 UFE458765:UFG458765 UPA458765:UPC458765 UYW458765:UYY458765 VIS458765:VIU458765 VSO458765:VSQ458765 WCK458765:WCM458765 WMG458765:WMI458765 WWC458765:WWE458765 U524301:W524301 JQ524301:JS524301 TM524301:TO524301 ADI524301:ADK524301 ANE524301:ANG524301 AXA524301:AXC524301 BGW524301:BGY524301 BQS524301:BQU524301 CAO524301:CAQ524301 CKK524301:CKM524301 CUG524301:CUI524301 DEC524301:DEE524301 DNY524301:DOA524301 DXU524301:DXW524301 EHQ524301:EHS524301 ERM524301:ERO524301 FBI524301:FBK524301 FLE524301:FLG524301 FVA524301:FVC524301 GEW524301:GEY524301 GOS524301:GOU524301 GYO524301:GYQ524301 HIK524301:HIM524301 HSG524301:HSI524301 ICC524301:ICE524301 ILY524301:IMA524301 IVU524301:IVW524301 JFQ524301:JFS524301 JPM524301:JPO524301 JZI524301:JZK524301 KJE524301:KJG524301 KTA524301:KTC524301 LCW524301:LCY524301 LMS524301:LMU524301 LWO524301:LWQ524301 MGK524301:MGM524301 MQG524301:MQI524301 NAC524301:NAE524301 NJY524301:NKA524301 NTU524301:NTW524301 ODQ524301:ODS524301 ONM524301:ONO524301 OXI524301:OXK524301 PHE524301:PHG524301 PRA524301:PRC524301 QAW524301:QAY524301 QKS524301:QKU524301 QUO524301:QUQ524301 REK524301:REM524301 ROG524301:ROI524301 RYC524301:RYE524301 SHY524301:SIA524301 SRU524301:SRW524301 TBQ524301:TBS524301 TLM524301:TLO524301 TVI524301:TVK524301 UFE524301:UFG524301 UPA524301:UPC524301 UYW524301:UYY524301 VIS524301:VIU524301 VSO524301:VSQ524301 WCK524301:WCM524301 WMG524301:WMI524301 WWC524301:WWE524301 U589837:W589837 JQ589837:JS589837 TM589837:TO589837 ADI589837:ADK589837 ANE589837:ANG589837 AXA589837:AXC589837 BGW589837:BGY589837 BQS589837:BQU589837 CAO589837:CAQ589837 CKK589837:CKM589837 CUG589837:CUI589837 DEC589837:DEE589837 DNY589837:DOA589837 DXU589837:DXW589837 EHQ589837:EHS589837 ERM589837:ERO589837 FBI589837:FBK589837 FLE589837:FLG589837 FVA589837:FVC589837 GEW589837:GEY589837 GOS589837:GOU589837 GYO589837:GYQ589837 HIK589837:HIM589837 HSG589837:HSI589837 ICC589837:ICE589837 ILY589837:IMA589837 IVU589837:IVW589837 JFQ589837:JFS589837 JPM589837:JPO589837 JZI589837:JZK589837 KJE589837:KJG589837 KTA589837:KTC589837 LCW589837:LCY589837 LMS589837:LMU589837 LWO589837:LWQ589837 MGK589837:MGM589837 MQG589837:MQI589837 NAC589837:NAE589837 NJY589837:NKA589837 NTU589837:NTW589837 ODQ589837:ODS589837 ONM589837:ONO589837 OXI589837:OXK589837 PHE589837:PHG589837 PRA589837:PRC589837 QAW589837:QAY589837 QKS589837:QKU589837 QUO589837:QUQ589837 REK589837:REM589837 ROG589837:ROI589837 RYC589837:RYE589837 SHY589837:SIA589837 SRU589837:SRW589837 TBQ589837:TBS589837 TLM589837:TLO589837 TVI589837:TVK589837 UFE589837:UFG589837 UPA589837:UPC589837 UYW589837:UYY589837 VIS589837:VIU589837 VSO589837:VSQ589837 WCK589837:WCM589837 WMG589837:WMI589837 WWC589837:WWE589837 U655373:W655373 JQ655373:JS655373 TM655373:TO655373 ADI655373:ADK655373 ANE655373:ANG655373 AXA655373:AXC655373 BGW655373:BGY655373 BQS655373:BQU655373 CAO655373:CAQ655373 CKK655373:CKM655373 CUG655373:CUI655373 DEC655373:DEE655373 DNY655373:DOA655373 DXU655373:DXW655373 EHQ655373:EHS655373 ERM655373:ERO655373 FBI655373:FBK655373 FLE655373:FLG655373 FVA655373:FVC655373 GEW655373:GEY655373 GOS655373:GOU655373 GYO655373:GYQ655373 HIK655373:HIM655373 HSG655373:HSI655373 ICC655373:ICE655373 ILY655373:IMA655373 IVU655373:IVW655373 JFQ655373:JFS655373 JPM655373:JPO655373 JZI655373:JZK655373 KJE655373:KJG655373 KTA655373:KTC655373 LCW655373:LCY655373 LMS655373:LMU655373 LWO655373:LWQ655373 MGK655373:MGM655373 MQG655373:MQI655373 NAC655373:NAE655373 NJY655373:NKA655373 NTU655373:NTW655373 ODQ655373:ODS655373 ONM655373:ONO655373 OXI655373:OXK655373 PHE655373:PHG655373 PRA655373:PRC655373 QAW655373:QAY655373 QKS655373:QKU655373 QUO655373:QUQ655373 REK655373:REM655373 ROG655373:ROI655373 RYC655373:RYE655373 SHY655373:SIA655373 SRU655373:SRW655373 TBQ655373:TBS655373 TLM655373:TLO655373 TVI655373:TVK655373 UFE655373:UFG655373 UPA655373:UPC655373 UYW655373:UYY655373 VIS655373:VIU655373 VSO655373:VSQ655373 WCK655373:WCM655373 WMG655373:WMI655373 WWC655373:WWE655373 U720909:W720909 JQ720909:JS720909 TM720909:TO720909 ADI720909:ADK720909 ANE720909:ANG720909 AXA720909:AXC720909 BGW720909:BGY720909 BQS720909:BQU720909 CAO720909:CAQ720909 CKK720909:CKM720909 CUG720909:CUI720909 DEC720909:DEE720909 DNY720909:DOA720909 DXU720909:DXW720909 EHQ720909:EHS720909 ERM720909:ERO720909 FBI720909:FBK720909 FLE720909:FLG720909 FVA720909:FVC720909 GEW720909:GEY720909 GOS720909:GOU720909 GYO720909:GYQ720909 HIK720909:HIM720909 HSG720909:HSI720909 ICC720909:ICE720909 ILY720909:IMA720909 IVU720909:IVW720909 JFQ720909:JFS720909 JPM720909:JPO720909 JZI720909:JZK720909 KJE720909:KJG720909 KTA720909:KTC720909 LCW720909:LCY720909 LMS720909:LMU720909 LWO720909:LWQ720909 MGK720909:MGM720909 MQG720909:MQI720909 NAC720909:NAE720909 NJY720909:NKA720909 NTU720909:NTW720909 ODQ720909:ODS720909 ONM720909:ONO720909 OXI720909:OXK720909 PHE720909:PHG720909 PRA720909:PRC720909 QAW720909:QAY720909 QKS720909:QKU720909 QUO720909:QUQ720909 REK720909:REM720909 ROG720909:ROI720909 RYC720909:RYE720909 SHY720909:SIA720909 SRU720909:SRW720909 TBQ720909:TBS720909 TLM720909:TLO720909 TVI720909:TVK720909 UFE720909:UFG720909 UPA720909:UPC720909 UYW720909:UYY720909 VIS720909:VIU720909 VSO720909:VSQ720909 WCK720909:WCM720909 WMG720909:WMI720909 WWC720909:WWE720909 U786445:W786445 JQ786445:JS786445 TM786445:TO786445 ADI786445:ADK786445 ANE786445:ANG786445 AXA786445:AXC786445 BGW786445:BGY786445 BQS786445:BQU786445 CAO786445:CAQ786445 CKK786445:CKM786445 CUG786445:CUI786445 DEC786445:DEE786445 DNY786445:DOA786445 DXU786445:DXW786445 EHQ786445:EHS786445 ERM786445:ERO786445 FBI786445:FBK786445 FLE786445:FLG786445 FVA786445:FVC786445 GEW786445:GEY786445 GOS786445:GOU786445 GYO786445:GYQ786445 HIK786445:HIM786445 HSG786445:HSI786445 ICC786445:ICE786445 ILY786445:IMA786445 IVU786445:IVW786445 JFQ786445:JFS786445 JPM786445:JPO786445 JZI786445:JZK786445 KJE786445:KJG786445 KTA786445:KTC786445 LCW786445:LCY786445 LMS786445:LMU786445 LWO786445:LWQ786445 MGK786445:MGM786445 MQG786445:MQI786445 NAC786445:NAE786445 NJY786445:NKA786445 NTU786445:NTW786445 ODQ786445:ODS786445 ONM786445:ONO786445 OXI786445:OXK786445 PHE786445:PHG786445 PRA786445:PRC786445 QAW786445:QAY786445 QKS786445:QKU786445 QUO786445:QUQ786445 REK786445:REM786445 ROG786445:ROI786445 RYC786445:RYE786445 SHY786445:SIA786445 SRU786445:SRW786445 TBQ786445:TBS786445 TLM786445:TLO786445 TVI786445:TVK786445 UFE786445:UFG786445 UPA786445:UPC786445 UYW786445:UYY786445 VIS786445:VIU786445 VSO786445:VSQ786445 WCK786445:WCM786445 WMG786445:WMI786445 WWC786445:WWE786445 U851981:W851981 JQ851981:JS851981 TM851981:TO851981 ADI851981:ADK851981 ANE851981:ANG851981 AXA851981:AXC851981 BGW851981:BGY851981 BQS851981:BQU851981 CAO851981:CAQ851981 CKK851981:CKM851981 CUG851981:CUI851981 DEC851981:DEE851981 DNY851981:DOA851981 DXU851981:DXW851981 EHQ851981:EHS851981 ERM851981:ERO851981 FBI851981:FBK851981 FLE851981:FLG851981 FVA851981:FVC851981 GEW851981:GEY851981 GOS851981:GOU851981 GYO851981:GYQ851981 HIK851981:HIM851981 HSG851981:HSI851981 ICC851981:ICE851981 ILY851981:IMA851981 IVU851981:IVW851981 JFQ851981:JFS851981 JPM851981:JPO851981 JZI851981:JZK851981 KJE851981:KJG851981 KTA851981:KTC851981 LCW851981:LCY851981 LMS851981:LMU851981 LWO851981:LWQ851981 MGK851981:MGM851981 MQG851981:MQI851981 NAC851981:NAE851981 NJY851981:NKA851981 NTU851981:NTW851981 ODQ851981:ODS851981 ONM851981:ONO851981 OXI851981:OXK851981 PHE851981:PHG851981 PRA851981:PRC851981 QAW851981:QAY851981 QKS851981:QKU851981 QUO851981:QUQ851981 REK851981:REM851981 ROG851981:ROI851981 RYC851981:RYE851981 SHY851981:SIA851981 SRU851981:SRW851981 TBQ851981:TBS851981 TLM851981:TLO851981 TVI851981:TVK851981 UFE851981:UFG851981 UPA851981:UPC851981 UYW851981:UYY851981 VIS851981:VIU851981 VSO851981:VSQ851981 WCK851981:WCM851981 WMG851981:WMI851981 WWC851981:WWE851981 U917517:W917517 JQ917517:JS917517 TM917517:TO917517 ADI917517:ADK917517 ANE917517:ANG917517 AXA917517:AXC917517 BGW917517:BGY917517 BQS917517:BQU917517 CAO917517:CAQ917517 CKK917517:CKM917517 CUG917517:CUI917517 DEC917517:DEE917517 DNY917517:DOA917517 DXU917517:DXW917517 EHQ917517:EHS917517 ERM917517:ERO917517 FBI917517:FBK917517 FLE917517:FLG917517 FVA917517:FVC917517 GEW917517:GEY917517 GOS917517:GOU917517 GYO917517:GYQ917517 HIK917517:HIM917517 HSG917517:HSI917517 ICC917517:ICE917517 ILY917517:IMA917517 IVU917517:IVW917517 JFQ917517:JFS917517 JPM917517:JPO917517 JZI917517:JZK917517 KJE917517:KJG917517 KTA917517:KTC917517 LCW917517:LCY917517 LMS917517:LMU917517 LWO917517:LWQ917517 MGK917517:MGM917517 MQG917517:MQI917517 NAC917517:NAE917517 NJY917517:NKA917517 NTU917517:NTW917517 ODQ917517:ODS917517 ONM917517:ONO917517 OXI917517:OXK917517 PHE917517:PHG917517 PRA917517:PRC917517 QAW917517:QAY917517 QKS917517:QKU917517 QUO917517:QUQ917517 REK917517:REM917517 ROG917517:ROI917517 RYC917517:RYE917517 SHY917517:SIA917517 SRU917517:SRW917517 TBQ917517:TBS917517 TLM917517:TLO917517 TVI917517:TVK917517 UFE917517:UFG917517 UPA917517:UPC917517 UYW917517:UYY917517 VIS917517:VIU917517 VSO917517:VSQ917517 WCK917517:WCM917517 WMG917517:WMI917517 WWC917517:WWE917517 U983053:W983053 JQ983053:JS983053 TM983053:TO983053 ADI983053:ADK983053 ANE983053:ANG983053 AXA983053:AXC983053 BGW983053:BGY983053 BQS983053:BQU983053 CAO983053:CAQ983053 CKK983053:CKM983053 CUG983053:CUI983053 DEC983053:DEE983053 DNY983053:DOA983053 DXU983053:DXW983053 EHQ983053:EHS983053 ERM983053:ERO983053 FBI983053:FBK983053 FLE983053:FLG983053 FVA983053:FVC983053 GEW983053:GEY983053 GOS983053:GOU983053 GYO983053:GYQ983053 HIK983053:HIM983053 HSG983053:HSI983053 ICC983053:ICE983053 ILY983053:IMA983053 IVU983053:IVW983053 JFQ983053:JFS983053 JPM983053:JPO983053 JZI983053:JZK983053 KJE983053:KJG983053 KTA983053:KTC983053 LCW983053:LCY983053 LMS983053:LMU983053 LWO983053:LWQ983053 MGK983053:MGM983053 MQG983053:MQI983053 NAC983053:NAE983053 NJY983053:NKA983053 NTU983053:NTW983053 ODQ983053:ODS983053 ONM983053:ONO983053 OXI983053:OXK983053 PHE983053:PHG983053 PRA983053:PRC983053 QAW983053:QAY983053 QKS983053:QKU983053 QUO983053:QUQ983053 REK983053:REM983053 ROG983053:ROI983053 RYC983053:RYE983053 SHY983053:SIA983053 SRU983053:SRW983053 TBQ983053:TBS983053 TLM983053:TLO983053 TVI983053:TVK983053 UFE983053:UFG983053 UPA983053:UPC983053 UYW983053:UYY983053 VIS983053:VIU983053 VSO983053:VSQ983053 WCK983053:WCM983053 WMG983053:WMI983053 WWC983053:WWE983053 U9:U11 JQ9:JQ11 TM9:TM11 ADI9:ADI11 ANE9:ANE11 AXA9:AXA11 BGW9:BGW11 BQS9:BQS11 CAO9:CAO11 CKK9:CKK11 CUG9:CUG11 DEC9:DEC11 DNY9:DNY11 DXU9:DXU11 EHQ9:EHQ11 ERM9:ERM11 FBI9:FBI11 FLE9:FLE11 FVA9:FVA11 GEW9:GEW11 GOS9:GOS11 GYO9:GYO11 HIK9:HIK11 HSG9:HSG11 ICC9:ICC11 ILY9:ILY11 IVU9:IVU11 JFQ9:JFQ11 JPM9:JPM11 JZI9:JZI11 KJE9:KJE11 KTA9:KTA11 LCW9:LCW11 LMS9:LMS11 LWO9:LWO11 MGK9:MGK11 MQG9:MQG11 NAC9:NAC11 NJY9:NJY11 NTU9:NTU11 ODQ9:ODQ11 ONM9:ONM11 OXI9:OXI11 PHE9:PHE11 PRA9:PRA11 QAW9:QAW11 QKS9:QKS11 QUO9:QUO11 REK9:REK11 ROG9:ROG11 RYC9:RYC11 SHY9:SHY11 SRU9:SRU11 TBQ9:TBQ11 TLM9:TLM11 TVI9:TVI11 UFE9:UFE11 UPA9:UPA11 UYW9:UYW11 VIS9:VIS11 VSO9:VSO11 WCK9:WCK11 WMG9:WMG11 WWC9:WWC11 U65545:U65547 JQ65545:JQ65547 TM65545:TM65547 ADI65545:ADI65547 ANE65545:ANE65547 AXA65545:AXA65547 BGW65545:BGW65547 BQS65545:BQS65547 CAO65545:CAO65547 CKK65545:CKK65547 CUG65545:CUG65547 DEC65545:DEC65547 DNY65545:DNY65547 DXU65545:DXU65547 EHQ65545:EHQ65547 ERM65545:ERM65547 FBI65545:FBI65547 FLE65545:FLE65547 FVA65545:FVA65547 GEW65545:GEW65547 GOS65545:GOS65547 GYO65545:GYO65547 HIK65545:HIK65547 HSG65545:HSG65547 ICC65545:ICC65547 ILY65545:ILY65547 IVU65545:IVU65547 JFQ65545:JFQ65547 JPM65545:JPM65547 JZI65545:JZI65547 KJE65545:KJE65547 KTA65545:KTA65547 LCW65545:LCW65547 LMS65545:LMS65547 LWO65545:LWO65547 MGK65545:MGK65547 MQG65545:MQG65547 NAC65545:NAC65547 NJY65545:NJY65547 NTU65545:NTU65547 ODQ65545:ODQ65547 ONM65545:ONM65547 OXI65545:OXI65547 PHE65545:PHE65547 PRA65545:PRA65547 QAW65545:QAW65547 QKS65545:QKS65547 QUO65545:QUO65547 REK65545:REK65547 ROG65545:ROG65547 RYC65545:RYC65547 SHY65545:SHY65547 SRU65545:SRU65547 TBQ65545:TBQ65547 TLM65545:TLM65547 TVI65545:TVI65547 UFE65545:UFE65547 UPA65545:UPA65547 UYW65545:UYW65547 VIS65545:VIS65547 VSO65545:VSO65547 WCK65545:WCK65547 WMG65545:WMG65547 WWC65545:WWC65547 U131081:U131083 JQ131081:JQ131083 TM131081:TM131083 ADI131081:ADI131083 ANE131081:ANE131083 AXA131081:AXA131083 BGW131081:BGW131083 BQS131081:BQS131083 CAO131081:CAO131083 CKK131081:CKK131083 CUG131081:CUG131083 DEC131081:DEC131083 DNY131081:DNY131083 DXU131081:DXU131083 EHQ131081:EHQ131083 ERM131081:ERM131083 FBI131081:FBI131083 FLE131081:FLE131083 FVA131081:FVA131083 GEW131081:GEW131083 GOS131081:GOS131083 GYO131081:GYO131083 HIK131081:HIK131083 HSG131081:HSG131083 ICC131081:ICC131083 ILY131081:ILY131083 IVU131081:IVU131083 JFQ131081:JFQ131083 JPM131081:JPM131083 JZI131081:JZI131083 KJE131081:KJE131083 KTA131081:KTA131083 LCW131081:LCW131083 LMS131081:LMS131083 LWO131081:LWO131083 MGK131081:MGK131083 MQG131081:MQG131083 NAC131081:NAC131083 NJY131081:NJY131083 NTU131081:NTU131083 ODQ131081:ODQ131083 ONM131081:ONM131083 OXI131081:OXI131083 PHE131081:PHE131083 PRA131081:PRA131083 QAW131081:QAW131083 QKS131081:QKS131083 QUO131081:QUO131083 REK131081:REK131083 ROG131081:ROG131083 RYC131081:RYC131083 SHY131081:SHY131083 SRU131081:SRU131083 TBQ131081:TBQ131083 TLM131081:TLM131083 TVI131081:TVI131083 UFE131081:UFE131083 UPA131081:UPA131083 UYW131081:UYW131083 VIS131081:VIS131083 VSO131081:VSO131083 WCK131081:WCK131083 WMG131081:WMG131083 WWC131081:WWC131083 U196617:U196619 JQ196617:JQ196619 TM196617:TM196619 ADI196617:ADI196619 ANE196617:ANE196619 AXA196617:AXA196619 BGW196617:BGW196619 BQS196617:BQS196619 CAO196617:CAO196619 CKK196617:CKK196619 CUG196617:CUG196619 DEC196617:DEC196619 DNY196617:DNY196619 DXU196617:DXU196619 EHQ196617:EHQ196619 ERM196617:ERM196619 FBI196617:FBI196619 FLE196617:FLE196619 FVA196617:FVA196619 GEW196617:GEW196619 GOS196617:GOS196619 GYO196617:GYO196619 HIK196617:HIK196619 HSG196617:HSG196619 ICC196617:ICC196619 ILY196617:ILY196619 IVU196617:IVU196619 JFQ196617:JFQ196619 JPM196617:JPM196619 JZI196617:JZI196619 KJE196617:KJE196619 KTA196617:KTA196619 LCW196617:LCW196619 LMS196617:LMS196619 LWO196617:LWO196619 MGK196617:MGK196619 MQG196617:MQG196619 NAC196617:NAC196619 NJY196617:NJY196619 NTU196617:NTU196619 ODQ196617:ODQ196619 ONM196617:ONM196619 OXI196617:OXI196619 PHE196617:PHE196619 PRA196617:PRA196619 QAW196617:QAW196619 QKS196617:QKS196619 QUO196617:QUO196619 REK196617:REK196619 ROG196617:ROG196619 RYC196617:RYC196619 SHY196617:SHY196619 SRU196617:SRU196619 TBQ196617:TBQ196619 TLM196617:TLM196619 TVI196617:TVI196619 UFE196617:UFE196619 UPA196617:UPA196619 UYW196617:UYW196619 VIS196617:VIS196619 VSO196617:VSO196619 WCK196617:WCK196619 WMG196617:WMG196619 WWC196617:WWC196619 U262153:U262155 JQ262153:JQ262155 TM262153:TM262155 ADI262153:ADI262155 ANE262153:ANE262155 AXA262153:AXA262155 BGW262153:BGW262155 BQS262153:BQS262155 CAO262153:CAO262155 CKK262153:CKK262155 CUG262153:CUG262155 DEC262153:DEC262155 DNY262153:DNY262155 DXU262153:DXU262155 EHQ262153:EHQ262155 ERM262153:ERM262155 FBI262153:FBI262155 FLE262153:FLE262155 FVA262153:FVA262155 GEW262153:GEW262155 GOS262153:GOS262155 GYO262153:GYO262155 HIK262153:HIK262155 HSG262153:HSG262155 ICC262153:ICC262155 ILY262153:ILY262155 IVU262153:IVU262155 JFQ262153:JFQ262155 JPM262153:JPM262155 JZI262153:JZI262155 KJE262153:KJE262155 KTA262153:KTA262155 LCW262153:LCW262155 LMS262153:LMS262155 LWO262153:LWO262155 MGK262153:MGK262155 MQG262153:MQG262155 NAC262153:NAC262155 NJY262153:NJY262155 NTU262153:NTU262155 ODQ262153:ODQ262155 ONM262153:ONM262155 OXI262153:OXI262155 PHE262153:PHE262155 PRA262153:PRA262155 QAW262153:QAW262155 QKS262153:QKS262155 QUO262153:QUO262155 REK262153:REK262155 ROG262153:ROG262155 RYC262153:RYC262155 SHY262153:SHY262155 SRU262153:SRU262155 TBQ262153:TBQ262155 TLM262153:TLM262155 TVI262153:TVI262155 UFE262153:UFE262155 UPA262153:UPA262155 UYW262153:UYW262155 VIS262153:VIS262155 VSO262153:VSO262155 WCK262153:WCK262155 WMG262153:WMG262155 WWC262153:WWC262155 U327689:U327691 JQ327689:JQ327691 TM327689:TM327691 ADI327689:ADI327691 ANE327689:ANE327691 AXA327689:AXA327691 BGW327689:BGW327691 BQS327689:BQS327691 CAO327689:CAO327691 CKK327689:CKK327691 CUG327689:CUG327691 DEC327689:DEC327691 DNY327689:DNY327691 DXU327689:DXU327691 EHQ327689:EHQ327691 ERM327689:ERM327691 FBI327689:FBI327691 FLE327689:FLE327691 FVA327689:FVA327691 GEW327689:GEW327691 GOS327689:GOS327691 GYO327689:GYO327691 HIK327689:HIK327691 HSG327689:HSG327691 ICC327689:ICC327691 ILY327689:ILY327691 IVU327689:IVU327691 JFQ327689:JFQ327691 JPM327689:JPM327691 JZI327689:JZI327691 KJE327689:KJE327691 KTA327689:KTA327691 LCW327689:LCW327691 LMS327689:LMS327691 LWO327689:LWO327691 MGK327689:MGK327691 MQG327689:MQG327691 NAC327689:NAC327691 NJY327689:NJY327691 NTU327689:NTU327691 ODQ327689:ODQ327691 ONM327689:ONM327691 OXI327689:OXI327691 PHE327689:PHE327691 PRA327689:PRA327691 QAW327689:QAW327691 QKS327689:QKS327691 QUO327689:QUO327691 REK327689:REK327691 ROG327689:ROG327691 RYC327689:RYC327691 SHY327689:SHY327691 SRU327689:SRU327691 TBQ327689:TBQ327691 TLM327689:TLM327691 TVI327689:TVI327691 UFE327689:UFE327691 UPA327689:UPA327691 UYW327689:UYW327691 VIS327689:VIS327691 VSO327689:VSO327691 WCK327689:WCK327691 WMG327689:WMG327691 WWC327689:WWC327691 U393225:U393227 JQ393225:JQ393227 TM393225:TM393227 ADI393225:ADI393227 ANE393225:ANE393227 AXA393225:AXA393227 BGW393225:BGW393227 BQS393225:BQS393227 CAO393225:CAO393227 CKK393225:CKK393227 CUG393225:CUG393227 DEC393225:DEC393227 DNY393225:DNY393227 DXU393225:DXU393227 EHQ393225:EHQ393227 ERM393225:ERM393227 FBI393225:FBI393227 FLE393225:FLE393227 FVA393225:FVA393227 GEW393225:GEW393227 GOS393225:GOS393227 GYO393225:GYO393227 HIK393225:HIK393227 HSG393225:HSG393227 ICC393225:ICC393227 ILY393225:ILY393227 IVU393225:IVU393227 JFQ393225:JFQ393227 JPM393225:JPM393227 JZI393225:JZI393227 KJE393225:KJE393227 KTA393225:KTA393227 LCW393225:LCW393227 LMS393225:LMS393227 LWO393225:LWO393227 MGK393225:MGK393227 MQG393225:MQG393227 NAC393225:NAC393227 NJY393225:NJY393227 NTU393225:NTU393227 ODQ393225:ODQ393227 ONM393225:ONM393227 OXI393225:OXI393227 PHE393225:PHE393227 PRA393225:PRA393227 QAW393225:QAW393227 QKS393225:QKS393227 QUO393225:QUO393227 REK393225:REK393227 ROG393225:ROG393227 RYC393225:RYC393227 SHY393225:SHY393227 SRU393225:SRU393227 TBQ393225:TBQ393227 TLM393225:TLM393227 TVI393225:TVI393227 UFE393225:UFE393227 UPA393225:UPA393227 UYW393225:UYW393227 VIS393225:VIS393227 VSO393225:VSO393227 WCK393225:WCK393227 WMG393225:WMG393227 WWC393225:WWC393227 U458761:U458763 JQ458761:JQ458763 TM458761:TM458763 ADI458761:ADI458763 ANE458761:ANE458763 AXA458761:AXA458763 BGW458761:BGW458763 BQS458761:BQS458763 CAO458761:CAO458763 CKK458761:CKK458763 CUG458761:CUG458763 DEC458761:DEC458763 DNY458761:DNY458763 DXU458761:DXU458763 EHQ458761:EHQ458763 ERM458761:ERM458763 FBI458761:FBI458763 FLE458761:FLE458763 FVA458761:FVA458763 GEW458761:GEW458763 GOS458761:GOS458763 GYO458761:GYO458763 HIK458761:HIK458763 HSG458761:HSG458763 ICC458761:ICC458763 ILY458761:ILY458763 IVU458761:IVU458763 JFQ458761:JFQ458763 JPM458761:JPM458763 JZI458761:JZI458763 KJE458761:KJE458763 KTA458761:KTA458763 LCW458761:LCW458763 LMS458761:LMS458763 LWO458761:LWO458763 MGK458761:MGK458763 MQG458761:MQG458763 NAC458761:NAC458763 NJY458761:NJY458763 NTU458761:NTU458763 ODQ458761:ODQ458763 ONM458761:ONM458763 OXI458761:OXI458763 PHE458761:PHE458763 PRA458761:PRA458763 QAW458761:QAW458763 QKS458761:QKS458763 QUO458761:QUO458763 REK458761:REK458763 ROG458761:ROG458763 RYC458761:RYC458763 SHY458761:SHY458763 SRU458761:SRU458763 TBQ458761:TBQ458763 TLM458761:TLM458763 TVI458761:TVI458763 UFE458761:UFE458763 UPA458761:UPA458763 UYW458761:UYW458763 VIS458761:VIS458763 VSO458761:VSO458763 WCK458761:WCK458763 WMG458761:WMG458763 WWC458761:WWC458763 U524297:U524299 JQ524297:JQ524299 TM524297:TM524299 ADI524297:ADI524299 ANE524297:ANE524299 AXA524297:AXA524299 BGW524297:BGW524299 BQS524297:BQS524299 CAO524297:CAO524299 CKK524297:CKK524299 CUG524297:CUG524299 DEC524297:DEC524299 DNY524297:DNY524299 DXU524297:DXU524299 EHQ524297:EHQ524299 ERM524297:ERM524299 FBI524297:FBI524299 FLE524297:FLE524299 FVA524297:FVA524299 GEW524297:GEW524299 GOS524297:GOS524299 GYO524297:GYO524299 HIK524297:HIK524299 HSG524297:HSG524299 ICC524297:ICC524299 ILY524297:ILY524299 IVU524297:IVU524299 JFQ524297:JFQ524299 JPM524297:JPM524299 JZI524297:JZI524299 KJE524297:KJE524299 KTA524297:KTA524299 LCW524297:LCW524299 LMS524297:LMS524299 LWO524297:LWO524299 MGK524297:MGK524299 MQG524297:MQG524299 NAC524297:NAC524299 NJY524297:NJY524299 NTU524297:NTU524299 ODQ524297:ODQ524299 ONM524297:ONM524299 OXI524297:OXI524299 PHE524297:PHE524299 PRA524297:PRA524299 QAW524297:QAW524299 QKS524297:QKS524299 QUO524297:QUO524299 REK524297:REK524299 ROG524297:ROG524299 RYC524297:RYC524299 SHY524297:SHY524299 SRU524297:SRU524299 TBQ524297:TBQ524299 TLM524297:TLM524299 TVI524297:TVI524299 UFE524297:UFE524299 UPA524297:UPA524299 UYW524297:UYW524299 VIS524297:VIS524299 VSO524297:VSO524299 WCK524297:WCK524299 WMG524297:WMG524299 WWC524297:WWC524299 U589833:U589835 JQ589833:JQ589835 TM589833:TM589835 ADI589833:ADI589835 ANE589833:ANE589835 AXA589833:AXA589835 BGW589833:BGW589835 BQS589833:BQS589835 CAO589833:CAO589835 CKK589833:CKK589835 CUG589833:CUG589835 DEC589833:DEC589835 DNY589833:DNY589835 DXU589833:DXU589835 EHQ589833:EHQ589835 ERM589833:ERM589835 FBI589833:FBI589835 FLE589833:FLE589835 FVA589833:FVA589835 GEW589833:GEW589835 GOS589833:GOS589835 GYO589833:GYO589835 HIK589833:HIK589835 HSG589833:HSG589835 ICC589833:ICC589835 ILY589833:ILY589835 IVU589833:IVU589835 JFQ589833:JFQ589835 JPM589833:JPM589835 JZI589833:JZI589835 KJE589833:KJE589835 KTA589833:KTA589835 LCW589833:LCW589835 LMS589833:LMS589835 LWO589833:LWO589835 MGK589833:MGK589835 MQG589833:MQG589835 NAC589833:NAC589835 NJY589833:NJY589835 NTU589833:NTU589835 ODQ589833:ODQ589835 ONM589833:ONM589835 OXI589833:OXI589835 PHE589833:PHE589835 PRA589833:PRA589835 QAW589833:QAW589835 QKS589833:QKS589835 QUO589833:QUO589835 REK589833:REK589835 ROG589833:ROG589835 RYC589833:RYC589835 SHY589833:SHY589835 SRU589833:SRU589835 TBQ589833:TBQ589835 TLM589833:TLM589835 TVI589833:TVI589835 UFE589833:UFE589835 UPA589833:UPA589835 UYW589833:UYW589835 VIS589833:VIS589835 VSO589833:VSO589835 WCK589833:WCK589835 WMG589833:WMG589835 WWC589833:WWC589835 U655369:U655371 JQ655369:JQ655371 TM655369:TM655371 ADI655369:ADI655371 ANE655369:ANE655371 AXA655369:AXA655371 BGW655369:BGW655371 BQS655369:BQS655371 CAO655369:CAO655371 CKK655369:CKK655371 CUG655369:CUG655371 DEC655369:DEC655371 DNY655369:DNY655371 DXU655369:DXU655371 EHQ655369:EHQ655371 ERM655369:ERM655371 FBI655369:FBI655371 FLE655369:FLE655371 FVA655369:FVA655371 GEW655369:GEW655371 GOS655369:GOS655371 GYO655369:GYO655371 HIK655369:HIK655371 HSG655369:HSG655371 ICC655369:ICC655371 ILY655369:ILY655371 IVU655369:IVU655371 JFQ655369:JFQ655371 JPM655369:JPM655371 JZI655369:JZI655371 KJE655369:KJE655371 KTA655369:KTA655371 LCW655369:LCW655371 LMS655369:LMS655371 LWO655369:LWO655371 MGK655369:MGK655371 MQG655369:MQG655371 NAC655369:NAC655371 NJY655369:NJY655371 NTU655369:NTU655371 ODQ655369:ODQ655371 ONM655369:ONM655371 OXI655369:OXI655371 PHE655369:PHE655371 PRA655369:PRA655371 QAW655369:QAW655371 QKS655369:QKS655371 QUO655369:QUO655371 REK655369:REK655371 ROG655369:ROG655371 RYC655369:RYC655371 SHY655369:SHY655371 SRU655369:SRU655371 TBQ655369:TBQ655371 TLM655369:TLM655371 TVI655369:TVI655371 UFE655369:UFE655371 UPA655369:UPA655371 UYW655369:UYW655371 VIS655369:VIS655371 VSO655369:VSO655371 WCK655369:WCK655371 WMG655369:WMG655371 WWC655369:WWC655371 U720905:U720907 JQ720905:JQ720907 TM720905:TM720907 ADI720905:ADI720907 ANE720905:ANE720907 AXA720905:AXA720907 BGW720905:BGW720907 BQS720905:BQS720907 CAO720905:CAO720907 CKK720905:CKK720907 CUG720905:CUG720907 DEC720905:DEC720907 DNY720905:DNY720907 DXU720905:DXU720907 EHQ720905:EHQ720907 ERM720905:ERM720907 FBI720905:FBI720907 FLE720905:FLE720907 FVA720905:FVA720907 GEW720905:GEW720907 GOS720905:GOS720907 GYO720905:GYO720907 HIK720905:HIK720907 HSG720905:HSG720907 ICC720905:ICC720907 ILY720905:ILY720907 IVU720905:IVU720907 JFQ720905:JFQ720907 JPM720905:JPM720907 JZI720905:JZI720907 KJE720905:KJE720907 KTA720905:KTA720907 LCW720905:LCW720907 LMS720905:LMS720907 LWO720905:LWO720907 MGK720905:MGK720907 MQG720905:MQG720907 NAC720905:NAC720907 NJY720905:NJY720907 NTU720905:NTU720907 ODQ720905:ODQ720907 ONM720905:ONM720907 OXI720905:OXI720907 PHE720905:PHE720907 PRA720905:PRA720907 QAW720905:QAW720907 QKS720905:QKS720907 QUO720905:QUO720907 REK720905:REK720907 ROG720905:ROG720907 RYC720905:RYC720907 SHY720905:SHY720907 SRU720905:SRU720907 TBQ720905:TBQ720907 TLM720905:TLM720907 TVI720905:TVI720907 UFE720905:UFE720907 UPA720905:UPA720907 UYW720905:UYW720907 VIS720905:VIS720907 VSO720905:VSO720907 WCK720905:WCK720907 WMG720905:WMG720907 WWC720905:WWC720907 U786441:U786443 JQ786441:JQ786443 TM786441:TM786443 ADI786441:ADI786443 ANE786441:ANE786443 AXA786441:AXA786443 BGW786441:BGW786443 BQS786441:BQS786443 CAO786441:CAO786443 CKK786441:CKK786443 CUG786441:CUG786443 DEC786441:DEC786443 DNY786441:DNY786443 DXU786441:DXU786443 EHQ786441:EHQ786443 ERM786441:ERM786443 FBI786441:FBI786443 FLE786441:FLE786443 FVA786441:FVA786443 GEW786441:GEW786443 GOS786441:GOS786443 GYO786441:GYO786443 HIK786441:HIK786443 HSG786441:HSG786443 ICC786441:ICC786443 ILY786441:ILY786443 IVU786441:IVU786443 JFQ786441:JFQ786443 JPM786441:JPM786443 JZI786441:JZI786443 KJE786441:KJE786443 KTA786441:KTA786443 LCW786441:LCW786443 LMS786441:LMS786443 LWO786441:LWO786443 MGK786441:MGK786443 MQG786441:MQG786443 NAC786441:NAC786443 NJY786441:NJY786443 NTU786441:NTU786443 ODQ786441:ODQ786443 ONM786441:ONM786443 OXI786441:OXI786443 PHE786441:PHE786443 PRA786441:PRA786443 QAW786441:QAW786443 QKS786441:QKS786443 QUO786441:QUO786443 REK786441:REK786443 ROG786441:ROG786443 RYC786441:RYC786443 SHY786441:SHY786443 SRU786441:SRU786443 TBQ786441:TBQ786443 TLM786441:TLM786443 TVI786441:TVI786443 UFE786441:UFE786443 UPA786441:UPA786443 UYW786441:UYW786443 VIS786441:VIS786443 VSO786441:VSO786443 WCK786441:WCK786443 WMG786441:WMG786443 WWC786441:WWC786443 U851977:U851979 JQ851977:JQ851979 TM851977:TM851979 ADI851977:ADI851979 ANE851977:ANE851979 AXA851977:AXA851979 BGW851977:BGW851979 BQS851977:BQS851979 CAO851977:CAO851979 CKK851977:CKK851979 CUG851977:CUG851979 DEC851977:DEC851979 DNY851977:DNY851979 DXU851977:DXU851979 EHQ851977:EHQ851979 ERM851977:ERM851979 FBI851977:FBI851979 FLE851977:FLE851979 FVA851977:FVA851979 GEW851977:GEW851979 GOS851977:GOS851979 GYO851977:GYO851979 HIK851977:HIK851979 HSG851977:HSG851979 ICC851977:ICC851979 ILY851977:ILY851979 IVU851977:IVU851979 JFQ851977:JFQ851979 JPM851977:JPM851979 JZI851977:JZI851979 KJE851977:KJE851979 KTA851977:KTA851979 LCW851977:LCW851979 LMS851977:LMS851979 LWO851977:LWO851979 MGK851977:MGK851979 MQG851977:MQG851979 NAC851977:NAC851979 NJY851977:NJY851979 NTU851977:NTU851979 ODQ851977:ODQ851979 ONM851977:ONM851979 OXI851977:OXI851979 PHE851977:PHE851979 PRA851977:PRA851979 QAW851977:QAW851979 QKS851977:QKS851979 QUO851977:QUO851979 REK851977:REK851979 ROG851977:ROG851979 RYC851977:RYC851979 SHY851977:SHY851979 SRU851977:SRU851979 TBQ851977:TBQ851979 TLM851977:TLM851979 TVI851977:TVI851979 UFE851977:UFE851979 UPA851977:UPA851979 UYW851977:UYW851979 VIS851977:VIS851979 VSO851977:VSO851979 WCK851977:WCK851979 WMG851977:WMG851979 WWC851977:WWC851979 U917513:U917515 JQ917513:JQ917515 TM917513:TM917515 ADI917513:ADI917515 ANE917513:ANE917515 AXA917513:AXA917515 BGW917513:BGW917515 BQS917513:BQS917515 CAO917513:CAO917515 CKK917513:CKK917515 CUG917513:CUG917515 DEC917513:DEC917515 DNY917513:DNY917515 DXU917513:DXU917515 EHQ917513:EHQ917515 ERM917513:ERM917515 FBI917513:FBI917515 FLE917513:FLE917515 FVA917513:FVA917515 GEW917513:GEW917515 GOS917513:GOS917515 GYO917513:GYO917515 HIK917513:HIK917515 HSG917513:HSG917515 ICC917513:ICC917515 ILY917513:ILY917515 IVU917513:IVU917515 JFQ917513:JFQ917515 JPM917513:JPM917515 JZI917513:JZI917515 KJE917513:KJE917515 KTA917513:KTA917515 LCW917513:LCW917515 LMS917513:LMS917515 LWO917513:LWO917515 MGK917513:MGK917515 MQG917513:MQG917515 NAC917513:NAC917515 NJY917513:NJY917515 NTU917513:NTU917515 ODQ917513:ODQ917515 ONM917513:ONM917515 OXI917513:OXI917515 PHE917513:PHE917515 PRA917513:PRA917515 QAW917513:QAW917515 QKS917513:QKS917515 QUO917513:QUO917515 REK917513:REK917515 ROG917513:ROG917515 RYC917513:RYC917515 SHY917513:SHY917515 SRU917513:SRU917515 TBQ917513:TBQ917515 TLM917513:TLM917515 TVI917513:TVI917515 UFE917513:UFE917515 UPA917513:UPA917515 UYW917513:UYW917515 VIS917513:VIS917515 VSO917513:VSO917515 WCK917513:WCK917515 WMG917513:WMG917515 WWC917513:WWC917515 U983049:U983051 JQ983049:JQ983051 TM983049:TM983051 ADI983049:ADI983051 ANE983049:ANE983051 AXA983049:AXA983051 BGW983049:BGW983051 BQS983049:BQS983051 CAO983049:CAO983051 CKK983049:CKK983051 CUG983049:CUG983051 DEC983049:DEC983051 DNY983049:DNY983051 DXU983049:DXU983051 EHQ983049:EHQ983051 ERM983049:ERM983051 FBI983049:FBI983051 FLE983049:FLE983051 FVA983049:FVA983051 GEW983049:GEW983051 GOS983049:GOS983051 GYO983049:GYO983051 HIK983049:HIK983051 HSG983049:HSG983051 ICC983049:ICC983051 ILY983049:ILY983051 IVU983049:IVU983051 JFQ983049:JFQ983051 JPM983049:JPM983051 JZI983049:JZI983051 KJE983049:KJE983051 KTA983049:KTA983051 LCW983049:LCW983051 LMS983049:LMS983051 LWO983049:LWO983051 MGK983049:MGK983051 MQG983049:MQG983051 NAC983049:NAC983051 NJY983049:NJY983051 NTU983049:NTU983051 ODQ983049:ODQ983051 ONM983049:ONM983051 OXI983049:OXI983051 PHE983049:PHE983051 PRA983049:PRA983051 QAW983049:QAW983051 QKS983049:QKS983051 QUO983049:QUO983051 REK983049:REK983051 ROG983049:ROG983051 RYC983049:RYC983051 SHY983049:SHY983051 SRU983049:SRU983051 TBQ983049:TBQ983051 TLM983049:TLM983051 TVI983049:TVI983051 UFE983049:UFE983051 UPA983049:UPA983051 UYW983049:UYW983051 VIS983049:VIS983051 VSO983049:VSO983051 WCK983049:WCK983051 WMG983049:WMG983051 WWC983049:WWC983051 M24:M25 JI24:JI25 TE24:TE25 ADA24:ADA25 AMW24:AMW25 AWS24:AWS25 BGO24:BGO25 BQK24:BQK25 CAG24:CAG25 CKC24:CKC25 CTY24:CTY25 DDU24:DDU25 DNQ24:DNQ25 DXM24:DXM25 EHI24:EHI25 ERE24:ERE25 FBA24:FBA25 FKW24:FKW25 FUS24:FUS25 GEO24:GEO25 GOK24:GOK25 GYG24:GYG25 HIC24:HIC25 HRY24:HRY25 IBU24:IBU25 ILQ24:ILQ25 IVM24:IVM25 JFI24:JFI25 JPE24:JPE25 JZA24:JZA25 KIW24:KIW25 KSS24:KSS25 LCO24:LCO25 LMK24:LMK25 LWG24:LWG25 MGC24:MGC25 MPY24:MPY25 MZU24:MZU25 NJQ24:NJQ25 NTM24:NTM25 ODI24:ODI25 ONE24:ONE25 OXA24:OXA25 PGW24:PGW25 PQS24:PQS25 QAO24:QAO25 QKK24:QKK25 QUG24:QUG25 REC24:REC25 RNY24:RNY25 RXU24:RXU25 SHQ24:SHQ25 SRM24:SRM25 TBI24:TBI25 TLE24:TLE25 TVA24:TVA25 UEW24:UEW25 UOS24:UOS25 UYO24:UYO25 VIK24:VIK25 VSG24:VSG25 WCC24:WCC25 WLY24:WLY25 WVU24:WVU25 M65560:M65561 JI65560:JI65561 TE65560:TE65561 ADA65560:ADA65561 AMW65560:AMW65561 AWS65560:AWS65561 BGO65560:BGO65561 BQK65560:BQK65561 CAG65560:CAG65561 CKC65560:CKC65561 CTY65560:CTY65561 DDU65560:DDU65561 DNQ65560:DNQ65561 DXM65560:DXM65561 EHI65560:EHI65561 ERE65560:ERE65561 FBA65560:FBA65561 FKW65560:FKW65561 FUS65560:FUS65561 GEO65560:GEO65561 GOK65560:GOK65561 GYG65560:GYG65561 HIC65560:HIC65561 HRY65560:HRY65561 IBU65560:IBU65561 ILQ65560:ILQ65561 IVM65560:IVM65561 JFI65560:JFI65561 JPE65560:JPE65561 JZA65560:JZA65561 KIW65560:KIW65561 KSS65560:KSS65561 LCO65560:LCO65561 LMK65560:LMK65561 LWG65560:LWG65561 MGC65560:MGC65561 MPY65560:MPY65561 MZU65560:MZU65561 NJQ65560:NJQ65561 NTM65560:NTM65561 ODI65560:ODI65561 ONE65560:ONE65561 OXA65560:OXA65561 PGW65560:PGW65561 PQS65560:PQS65561 QAO65560:QAO65561 QKK65560:QKK65561 QUG65560:QUG65561 REC65560:REC65561 RNY65560:RNY65561 RXU65560:RXU65561 SHQ65560:SHQ65561 SRM65560:SRM65561 TBI65560:TBI65561 TLE65560:TLE65561 TVA65560:TVA65561 UEW65560:UEW65561 UOS65560:UOS65561 UYO65560:UYO65561 VIK65560:VIK65561 VSG65560:VSG65561 WCC65560:WCC65561 WLY65560:WLY65561 WVU65560:WVU65561 M131096:M131097 JI131096:JI131097 TE131096:TE131097 ADA131096:ADA131097 AMW131096:AMW131097 AWS131096:AWS131097 BGO131096:BGO131097 BQK131096:BQK131097 CAG131096:CAG131097 CKC131096:CKC131097 CTY131096:CTY131097 DDU131096:DDU131097 DNQ131096:DNQ131097 DXM131096:DXM131097 EHI131096:EHI131097 ERE131096:ERE131097 FBA131096:FBA131097 FKW131096:FKW131097 FUS131096:FUS131097 GEO131096:GEO131097 GOK131096:GOK131097 GYG131096:GYG131097 HIC131096:HIC131097 HRY131096:HRY131097 IBU131096:IBU131097 ILQ131096:ILQ131097 IVM131096:IVM131097 JFI131096:JFI131097 JPE131096:JPE131097 JZA131096:JZA131097 KIW131096:KIW131097 KSS131096:KSS131097 LCO131096:LCO131097 LMK131096:LMK131097 LWG131096:LWG131097 MGC131096:MGC131097 MPY131096:MPY131097 MZU131096:MZU131097 NJQ131096:NJQ131097 NTM131096:NTM131097 ODI131096:ODI131097 ONE131096:ONE131097 OXA131096:OXA131097 PGW131096:PGW131097 PQS131096:PQS131097 QAO131096:QAO131097 QKK131096:QKK131097 QUG131096:QUG131097 REC131096:REC131097 RNY131096:RNY131097 RXU131096:RXU131097 SHQ131096:SHQ131097 SRM131096:SRM131097 TBI131096:TBI131097 TLE131096:TLE131097 TVA131096:TVA131097 UEW131096:UEW131097 UOS131096:UOS131097 UYO131096:UYO131097 VIK131096:VIK131097 VSG131096:VSG131097 WCC131096:WCC131097 WLY131096:WLY131097 WVU131096:WVU131097 M196632:M196633 JI196632:JI196633 TE196632:TE196633 ADA196632:ADA196633 AMW196632:AMW196633 AWS196632:AWS196633 BGO196632:BGO196633 BQK196632:BQK196633 CAG196632:CAG196633 CKC196632:CKC196633 CTY196632:CTY196633 DDU196632:DDU196633 DNQ196632:DNQ196633 DXM196632:DXM196633 EHI196632:EHI196633 ERE196632:ERE196633 FBA196632:FBA196633 FKW196632:FKW196633 FUS196632:FUS196633 GEO196632:GEO196633 GOK196632:GOK196633 GYG196632:GYG196633 HIC196632:HIC196633 HRY196632:HRY196633 IBU196632:IBU196633 ILQ196632:ILQ196633 IVM196632:IVM196633 JFI196632:JFI196633 JPE196632:JPE196633 JZA196632:JZA196633 KIW196632:KIW196633 KSS196632:KSS196633 LCO196632:LCO196633 LMK196632:LMK196633 LWG196632:LWG196633 MGC196632:MGC196633 MPY196632:MPY196633 MZU196632:MZU196633 NJQ196632:NJQ196633 NTM196632:NTM196633 ODI196632:ODI196633 ONE196632:ONE196633 OXA196632:OXA196633 PGW196632:PGW196633 PQS196632:PQS196633 QAO196632:QAO196633 QKK196632:QKK196633 QUG196632:QUG196633 REC196632:REC196633 RNY196632:RNY196633 RXU196632:RXU196633 SHQ196632:SHQ196633 SRM196632:SRM196633 TBI196632:TBI196633 TLE196632:TLE196633 TVA196632:TVA196633 UEW196632:UEW196633 UOS196632:UOS196633 UYO196632:UYO196633 VIK196632:VIK196633 VSG196632:VSG196633 WCC196632:WCC196633 WLY196632:WLY196633 WVU196632:WVU196633 M262168:M262169 JI262168:JI262169 TE262168:TE262169 ADA262168:ADA262169 AMW262168:AMW262169 AWS262168:AWS262169 BGO262168:BGO262169 BQK262168:BQK262169 CAG262168:CAG262169 CKC262168:CKC262169 CTY262168:CTY262169 DDU262168:DDU262169 DNQ262168:DNQ262169 DXM262168:DXM262169 EHI262168:EHI262169 ERE262168:ERE262169 FBA262168:FBA262169 FKW262168:FKW262169 FUS262168:FUS262169 GEO262168:GEO262169 GOK262168:GOK262169 GYG262168:GYG262169 HIC262168:HIC262169 HRY262168:HRY262169 IBU262168:IBU262169 ILQ262168:ILQ262169 IVM262168:IVM262169 JFI262168:JFI262169 JPE262168:JPE262169 JZA262168:JZA262169 KIW262168:KIW262169 KSS262168:KSS262169 LCO262168:LCO262169 LMK262168:LMK262169 LWG262168:LWG262169 MGC262168:MGC262169 MPY262168:MPY262169 MZU262168:MZU262169 NJQ262168:NJQ262169 NTM262168:NTM262169 ODI262168:ODI262169 ONE262168:ONE262169 OXA262168:OXA262169 PGW262168:PGW262169 PQS262168:PQS262169 QAO262168:QAO262169 QKK262168:QKK262169 QUG262168:QUG262169 REC262168:REC262169 RNY262168:RNY262169 RXU262168:RXU262169 SHQ262168:SHQ262169 SRM262168:SRM262169 TBI262168:TBI262169 TLE262168:TLE262169 TVA262168:TVA262169 UEW262168:UEW262169 UOS262168:UOS262169 UYO262168:UYO262169 VIK262168:VIK262169 VSG262168:VSG262169 WCC262168:WCC262169 WLY262168:WLY262169 WVU262168:WVU262169 M327704:M327705 JI327704:JI327705 TE327704:TE327705 ADA327704:ADA327705 AMW327704:AMW327705 AWS327704:AWS327705 BGO327704:BGO327705 BQK327704:BQK327705 CAG327704:CAG327705 CKC327704:CKC327705 CTY327704:CTY327705 DDU327704:DDU327705 DNQ327704:DNQ327705 DXM327704:DXM327705 EHI327704:EHI327705 ERE327704:ERE327705 FBA327704:FBA327705 FKW327704:FKW327705 FUS327704:FUS327705 GEO327704:GEO327705 GOK327704:GOK327705 GYG327704:GYG327705 HIC327704:HIC327705 HRY327704:HRY327705 IBU327704:IBU327705 ILQ327704:ILQ327705 IVM327704:IVM327705 JFI327704:JFI327705 JPE327704:JPE327705 JZA327704:JZA327705 KIW327704:KIW327705 KSS327704:KSS327705 LCO327704:LCO327705 LMK327704:LMK327705 LWG327704:LWG327705 MGC327704:MGC327705 MPY327704:MPY327705 MZU327704:MZU327705 NJQ327704:NJQ327705 NTM327704:NTM327705 ODI327704:ODI327705 ONE327704:ONE327705 OXA327704:OXA327705 PGW327704:PGW327705 PQS327704:PQS327705 QAO327704:QAO327705 QKK327704:QKK327705 QUG327704:QUG327705 REC327704:REC327705 RNY327704:RNY327705 RXU327704:RXU327705 SHQ327704:SHQ327705 SRM327704:SRM327705 TBI327704:TBI327705 TLE327704:TLE327705 TVA327704:TVA327705 UEW327704:UEW327705 UOS327704:UOS327705 UYO327704:UYO327705 VIK327704:VIK327705 VSG327704:VSG327705 WCC327704:WCC327705 WLY327704:WLY327705 WVU327704:WVU327705 M393240:M393241 JI393240:JI393241 TE393240:TE393241 ADA393240:ADA393241 AMW393240:AMW393241 AWS393240:AWS393241 BGO393240:BGO393241 BQK393240:BQK393241 CAG393240:CAG393241 CKC393240:CKC393241 CTY393240:CTY393241 DDU393240:DDU393241 DNQ393240:DNQ393241 DXM393240:DXM393241 EHI393240:EHI393241 ERE393240:ERE393241 FBA393240:FBA393241 FKW393240:FKW393241 FUS393240:FUS393241 GEO393240:GEO393241 GOK393240:GOK393241 GYG393240:GYG393241 HIC393240:HIC393241 HRY393240:HRY393241 IBU393240:IBU393241 ILQ393240:ILQ393241 IVM393240:IVM393241 JFI393240:JFI393241 JPE393240:JPE393241 JZA393240:JZA393241 KIW393240:KIW393241 KSS393240:KSS393241 LCO393240:LCO393241 LMK393240:LMK393241 LWG393240:LWG393241 MGC393240:MGC393241 MPY393240:MPY393241 MZU393240:MZU393241 NJQ393240:NJQ393241 NTM393240:NTM393241 ODI393240:ODI393241 ONE393240:ONE393241 OXA393240:OXA393241 PGW393240:PGW393241 PQS393240:PQS393241 QAO393240:QAO393241 QKK393240:QKK393241 QUG393240:QUG393241 REC393240:REC393241 RNY393240:RNY393241 RXU393240:RXU393241 SHQ393240:SHQ393241 SRM393240:SRM393241 TBI393240:TBI393241 TLE393240:TLE393241 TVA393240:TVA393241 UEW393240:UEW393241 UOS393240:UOS393241 UYO393240:UYO393241 VIK393240:VIK393241 VSG393240:VSG393241 WCC393240:WCC393241 WLY393240:WLY393241 WVU393240:WVU393241 M458776:M458777 JI458776:JI458777 TE458776:TE458777 ADA458776:ADA458777 AMW458776:AMW458777 AWS458776:AWS458777 BGO458776:BGO458777 BQK458776:BQK458777 CAG458776:CAG458777 CKC458776:CKC458777 CTY458776:CTY458777 DDU458776:DDU458777 DNQ458776:DNQ458777 DXM458776:DXM458777 EHI458776:EHI458777 ERE458776:ERE458777 FBA458776:FBA458777 FKW458776:FKW458777 FUS458776:FUS458777 GEO458776:GEO458777 GOK458776:GOK458777 GYG458776:GYG458777 HIC458776:HIC458777 HRY458776:HRY458777 IBU458776:IBU458777 ILQ458776:ILQ458777 IVM458776:IVM458777 JFI458776:JFI458777 JPE458776:JPE458777 JZA458776:JZA458777 KIW458776:KIW458777 KSS458776:KSS458777 LCO458776:LCO458777 LMK458776:LMK458777 LWG458776:LWG458777 MGC458776:MGC458777 MPY458776:MPY458777 MZU458776:MZU458777 NJQ458776:NJQ458777 NTM458776:NTM458777 ODI458776:ODI458777 ONE458776:ONE458777 OXA458776:OXA458777 PGW458776:PGW458777 PQS458776:PQS458777 QAO458776:QAO458777 QKK458776:QKK458777 QUG458776:QUG458777 REC458776:REC458777 RNY458776:RNY458777 RXU458776:RXU458777 SHQ458776:SHQ458777 SRM458776:SRM458777 TBI458776:TBI458777 TLE458776:TLE458777 TVA458776:TVA458777 UEW458776:UEW458777 UOS458776:UOS458777 UYO458776:UYO458777 VIK458776:VIK458777 VSG458776:VSG458777 WCC458776:WCC458777 WLY458776:WLY458777 WVU458776:WVU458777 M524312:M524313 JI524312:JI524313 TE524312:TE524313 ADA524312:ADA524313 AMW524312:AMW524313 AWS524312:AWS524313 BGO524312:BGO524313 BQK524312:BQK524313 CAG524312:CAG524313 CKC524312:CKC524313 CTY524312:CTY524313 DDU524312:DDU524313 DNQ524312:DNQ524313 DXM524312:DXM524313 EHI524312:EHI524313 ERE524312:ERE524313 FBA524312:FBA524313 FKW524312:FKW524313 FUS524312:FUS524313 GEO524312:GEO524313 GOK524312:GOK524313 GYG524312:GYG524313 HIC524312:HIC524313 HRY524312:HRY524313 IBU524312:IBU524313 ILQ524312:ILQ524313 IVM524312:IVM524313 JFI524312:JFI524313 JPE524312:JPE524313 JZA524312:JZA524313 KIW524312:KIW524313 KSS524312:KSS524313 LCO524312:LCO524313 LMK524312:LMK524313 LWG524312:LWG524313 MGC524312:MGC524313 MPY524312:MPY524313 MZU524312:MZU524313 NJQ524312:NJQ524313 NTM524312:NTM524313 ODI524312:ODI524313 ONE524312:ONE524313 OXA524312:OXA524313 PGW524312:PGW524313 PQS524312:PQS524313 QAO524312:QAO524313 QKK524312:QKK524313 QUG524312:QUG524313 REC524312:REC524313 RNY524312:RNY524313 RXU524312:RXU524313 SHQ524312:SHQ524313 SRM524312:SRM524313 TBI524312:TBI524313 TLE524312:TLE524313 TVA524312:TVA524313 UEW524312:UEW524313 UOS524312:UOS524313 UYO524312:UYO524313 VIK524312:VIK524313 VSG524312:VSG524313 WCC524312:WCC524313 WLY524312:WLY524313 WVU524312:WVU524313 M589848:M589849 JI589848:JI589849 TE589848:TE589849 ADA589848:ADA589849 AMW589848:AMW589849 AWS589848:AWS589849 BGO589848:BGO589849 BQK589848:BQK589849 CAG589848:CAG589849 CKC589848:CKC589849 CTY589848:CTY589849 DDU589848:DDU589849 DNQ589848:DNQ589849 DXM589848:DXM589849 EHI589848:EHI589849 ERE589848:ERE589849 FBA589848:FBA589849 FKW589848:FKW589849 FUS589848:FUS589849 GEO589848:GEO589849 GOK589848:GOK589849 GYG589848:GYG589849 HIC589848:HIC589849 HRY589848:HRY589849 IBU589848:IBU589849 ILQ589848:ILQ589849 IVM589848:IVM589849 JFI589848:JFI589849 JPE589848:JPE589849 JZA589848:JZA589849 KIW589848:KIW589849 KSS589848:KSS589849 LCO589848:LCO589849 LMK589848:LMK589849 LWG589848:LWG589849 MGC589848:MGC589849 MPY589848:MPY589849 MZU589848:MZU589849 NJQ589848:NJQ589849 NTM589848:NTM589849 ODI589848:ODI589849 ONE589848:ONE589849 OXA589848:OXA589849 PGW589848:PGW589849 PQS589848:PQS589849 QAO589848:QAO589849 QKK589848:QKK589849 QUG589848:QUG589849 REC589848:REC589849 RNY589848:RNY589849 RXU589848:RXU589849 SHQ589848:SHQ589849 SRM589848:SRM589849 TBI589848:TBI589849 TLE589848:TLE589849 TVA589848:TVA589849 UEW589848:UEW589849 UOS589848:UOS589849 UYO589848:UYO589849 VIK589848:VIK589849 VSG589848:VSG589849 WCC589848:WCC589849 WLY589848:WLY589849 WVU589848:WVU589849 M655384:M655385 JI655384:JI655385 TE655384:TE655385 ADA655384:ADA655385 AMW655384:AMW655385 AWS655384:AWS655385 BGO655384:BGO655385 BQK655384:BQK655385 CAG655384:CAG655385 CKC655384:CKC655385 CTY655384:CTY655385 DDU655384:DDU655385 DNQ655384:DNQ655385 DXM655384:DXM655385 EHI655384:EHI655385 ERE655384:ERE655385 FBA655384:FBA655385 FKW655384:FKW655385 FUS655384:FUS655385 GEO655384:GEO655385 GOK655384:GOK655385 GYG655384:GYG655385 HIC655384:HIC655385 HRY655384:HRY655385 IBU655384:IBU655385 ILQ655384:ILQ655385 IVM655384:IVM655385 JFI655384:JFI655385 JPE655384:JPE655385 JZA655384:JZA655385 KIW655384:KIW655385 KSS655384:KSS655385 LCO655384:LCO655385 LMK655384:LMK655385 LWG655384:LWG655385 MGC655384:MGC655385 MPY655384:MPY655385 MZU655384:MZU655385 NJQ655384:NJQ655385 NTM655384:NTM655385 ODI655384:ODI655385 ONE655384:ONE655385 OXA655384:OXA655385 PGW655384:PGW655385 PQS655384:PQS655385 QAO655384:QAO655385 QKK655384:QKK655385 QUG655384:QUG655385 REC655384:REC655385 RNY655384:RNY655385 RXU655384:RXU655385 SHQ655384:SHQ655385 SRM655384:SRM655385 TBI655384:TBI655385 TLE655384:TLE655385 TVA655384:TVA655385 UEW655384:UEW655385 UOS655384:UOS655385 UYO655384:UYO655385 VIK655384:VIK655385 VSG655384:VSG655385 WCC655384:WCC655385 WLY655384:WLY655385 WVU655384:WVU655385 M720920:M720921 JI720920:JI720921 TE720920:TE720921 ADA720920:ADA720921 AMW720920:AMW720921 AWS720920:AWS720921 BGO720920:BGO720921 BQK720920:BQK720921 CAG720920:CAG720921 CKC720920:CKC720921 CTY720920:CTY720921 DDU720920:DDU720921 DNQ720920:DNQ720921 DXM720920:DXM720921 EHI720920:EHI720921 ERE720920:ERE720921 FBA720920:FBA720921 FKW720920:FKW720921 FUS720920:FUS720921 GEO720920:GEO720921 GOK720920:GOK720921 GYG720920:GYG720921 HIC720920:HIC720921 HRY720920:HRY720921 IBU720920:IBU720921 ILQ720920:ILQ720921 IVM720920:IVM720921 JFI720920:JFI720921 JPE720920:JPE720921 JZA720920:JZA720921 KIW720920:KIW720921 KSS720920:KSS720921 LCO720920:LCO720921 LMK720920:LMK720921 LWG720920:LWG720921 MGC720920:MGC720921 MPY720920:MPY720921 MZU720920:MZU720921 NJQ720920:NJQ720921 NTM720920:NTM720921 ODI720920:ODI720921 ONE720920:ONE720921 OXA720920:OXA720921 PGW720920:PGW720921 PQS720920:PQS720921 QAO720920:QAO720921 QKK720920:QKK720921 QUG720920:QUG720921 REC720920:REC720921 RNY720920:RNY720921 RXU720920:RXU720921 SHQ720920:SHQ720921 SRM720920:SRM720921 TBI720920:TBI720921 TLE720920:TLE720921 TVA720920:TVA720921 UEW720920:UEW720921 UOS720920:UOS720921 UYO720920:UYO720921 VIK720920:VIK720921 VSG720920:VSG720921 WCC720920:WCC720921 WLY720920:WLY720921 WVU720920:WVU720921 M786456:M786457 JI786456:JI786457 TE786456:TE786457 ADA786456:ADA786457 AMW786456:AMW786457 AWS786456:AWS786457 BGO786456:BGO786457 BQK786456:BQK786457 CAG786456:CAG786457 CKC786456:CKC786457 CTY786456:CTY786457 DDU786456:DDU786457 DNQ786456:DNQ786457 DXM786456:DXM786457 EHI786456:EHI786457 ERE786456:ERE786457 FBA786456:FBA786457 FKW786456:FKW786457 FUS786456:FUS786457 GEO786456:GEO786457 GOK786456:GOK786457 GYG786456:GYG786457 HIC786456:HIC786457 HRY786456:HRY786457 IBU786456:IBU786457 ILQ786456:ILQ786457 IVM786456:IVM786457 JFI786456:JFI786457 JPE786456:JPE786457 JZA786456:JZA786457 KIW786456:KIW786457 KSS786456:KSS786457 LCO786456:LCO786457 LMK786456:LMK786457 LWG786456:LWG786457 MGC786456:MGC786457 MPY786456:MPY786457 MZU786456:MZU786457 NJQ786456:NJQ786457 NTM786456:NTM786457 ODI786456:ODI786457 ONE786456:ONE786457 OXA786456:OXA786457 PGW786456:PGW786457 PQS786456:PQS786457 QAO786456:QAO786457 QKK786456:QKK786457 QUG786456:QUG786457 REC786456:REC786457 RNY786456:RNY786457 RXU786456:RXU786457 SHQ786456:SHQ786457 SRM786456:SRM786457 TBI786456:TBI786457 TLE786456:TLE786457 TVA786456:TVA786457 UEW786456:UEW786457 UOS786456:UOS786457 UYO786456:UYO786457 VIK786456:VIK786457 VSG786456:VSG786457 WCC786456:WCC786457 WLY786456:WLY786457 WVU786456:WVU786457 M851992:M851993 JI851992:JI851993 TE851992:TE851993 ADA851992:ADA851993 AMW851992:AMW851993 AWS851992:AWS851993 BGO851992:BGO851993 BQK851992:BQK851993 CAG851992:CAG851993 CKC851992:CKC851993 CTY851992:CTY851993 DDU851992:DDU851993 DNQ851992:DNQ851993 DXM851992:DXM851993 EHI851992:EHI851993 ERE851992:ERE851993 FBA851992:FBA851993 FKW851992:FKW851993 FUS851992:FUS851993 GEO851992:GEO851993 GOK851992:GOK851993 GYG851992:GYG851993 HIC851992:HIC851993 HRY851992:HRY851993 IBU851992:IBU851993 ILQ851992:ILQ851993 IVM851992:IVM851993 JFI851992:JFI851993 JPE851992:JPE851993 JZA851992:JZA851993 KIW851992:KIW851993 KSS851992:KSS851993 LCO851992:LCO851993 LMK851992:LMK851993 LWG851992:LWG851993 MGC851992:MGC851993 MPY851992:MPY851993 MZU851992:MZU851993 NJQ851992:NJQ851993 NTM851992:NTM851993 ODI851992:ODI851993 ONE851992:ONE851993 OXA851992:OXA851993 PGW851992:PGW851993 PQS851992:PQS851993 QAO851992:QAO851993 QKK851992:QKK851993 QUG851992:QUG851993 REC851992:REC851993 RNY851992:RNY851993 RXU851992:RXU851993 SHQ851992:SHQ851993 SRM851992:SRM851993 TBI851992:TBI851993 TLE851992:TLE851993 TVA851992:TVA851993 UEW851992:UEW851993 UOS851992:UOS851993 UYO851992:UYO851993 VIK851992:VIK851993 VSG851992:VSG851993 WCC851992:WCC851993 WLY851992:WLY851993 WVU851992:WVU851993 M917528:M917529 JI917528:JI917529 TE917528:TE917529 ADA917528:ADA917529 AMW917528:AMW917529 AWS917528:AWS917529 BGO917528:BGO917529 BQK917528:BQK917529 CAG917528:CAG917529 CKC917528:CKC917529 CTY917528:CTY917529 DDU917528:DDU917529 DNQ917528:DNQ917529 DXM917528:DXM917529 EHI917528:EHI917529 ERE917528:ERE917529 FBA917528:FBA917529 FKW917528:FKW917529 FUS917528:FUS917529 GEO917528:GEO917529 GOK917528:GOK917529 GYG917528:GYG917529 HIC917528:HIC917529 HRY917528:HRY917529 IBU917528:IBU917529 ILQ917528:ILQ917529 IVM917528:IVM917529 JFI917528:JFI917529 JPE917528:JPE917529 JZA917528:JZA917529 KIW917528:KIW917529 KSS917528:KSS917529 LCO917528:LCO917529 LMK917528:LMK917529 LWG917528:LWG917529 MGC917528:MGC917529 MPY917528:MPY917529 MZU917528:MZU917529 NJQ917528:NJQ917529 NTM917528:NTM917529 ODI917528:ODI917529 ONE917528:ONE917529 OXA917528:OXA917529 PGW917528:PGW917529 PQS917528:PQS917529 QAO917528:QAO917529 QKK917528:QKK917529 QUG917528:QUG917529 REC917528:REC917529 RNY917528:RNY917529 RXU917528:RXU917529 SHQ917528:SHQ917529 SRM917528:SRM917529 TBI917528:TBI917529 TLE917528:TLE917529 TVA917528:TVA917529 UEW917528:UEW917529 UOS917528:UOS917529 UYO917528:UYO917529 VIK917528:VIK917529 VSG917528:VSG917529 WCC917528:WCC917529 WLY917528:WLY917529 WVU917528:WVU917529 M983064:M983065 JI983064:JI983065 TE983064:TE983065 ADA983064:ADA983065 AMW983064:AMW983065 AWS983064:AWS983065 BGO983064:BGO983065 BQK983064:BQK983065 CAG983064:CAG983065 CKC983064:CKC983065 CTY983064:CTY983065 DDU983064:DDU983065 DNQ983064:DNQ983065 DXM983064:DXM983065 EHI983064:EHI983065 ERE983064:ERE983065 FBA983064:FBA983065 FKW983064:FKW983065 FUS983064:FUS983065 GEO983064:GEO983065 GOK983064:GOK983065 GYG983064:GYG983065 HIC983064:HIC983065 HRY983064:HRY983065 IBU983064:IBU983065 ILQ983064:ILQ983065 IVM983064:IVM983065 JFI983064:JFI983065 JPE983064:JPE983065 JZA983064:JZA983065 KIW983064:KIW983065 KSS983064:KSS983065 LCO983064:LCO983065 LMK983064:LMK983065 LWG983064:LWG983065 MGC983064:MGC983065 MPY983064:MPY983065 MZU983064:MZU983065 NJQ983064:NJQ983065 NTM983064:NTM983065 ODI983064:ODI983065 ONE983064:ONE983065 OXA983064:OXA983065 PGW983064:PGW983065 PQS983064:PQS983065 QAO983064:QAO983065 QKK983064:QKK983065 QUG983064:QUG983065 REC983064:REC983065 RNY983064:RNY983065 RXU983064:RXU983065 SHQ983064:SHQ983065 SRM983064:SRM983065 TBI983064:TBI983065 TLE983064:TLE983065 TVA983064:TVA983065 UEW983064:UEW983065 UOS983064:UOS983065 UYO983064:UYO983065 VIK983064:VIK983065 VSG983064:VSG983065 WCC983064:WCC983065 WLY983064:WLY983065 WVU983064:WVU983065 W24:W25 JS24:JS25 TO24:TO25 ADK24:ADK25 ANG24:ANG25 AXC24:AXC25 BGY24:BGY25 BQU24:BQU25 CAQ24:CAQ25 CKM24:CKM25 CUI24:CUI25 DEE24:DEE25 DOA24:DOA25 DXW24:DXW25 EHS24:EHS25 ERO24:ERO25 FBK24:FBK25 FLG24:FLG25 FVC24:FVC25 GEY24:GEY25 GOU24:GOU25 GYQ24:GYQ25 HIM24:HIM25 HSI24:HSI25 ICE24:ICE25 IMA24:IMA25 IVW24:IVW25 JFS24:JFS25 JPO24:JPO25 JZK24:JZK25 KJG24:KJG25 KTC24:KTC25 LCY24:LCY25 LMU24:LMU25 LWQ24:LWQ25 MGM24:MGM25 MQI24:MQI25 NAE24:NAE25 NKA24:NKA25 NTW24:NTW25 ODS24:ODS25 ONO24:ONO25 OXK24:OXK25 PHG24:PHG25 PRC24:PRC25 QAY24:QAY25 QKU24:QKU25 QUQ24:QUQ25 REM24:REM25 ROI24:ROI25 RYE24:RYE25 SIA24:SIA25 SRW24:SRW25 TBS24:TBS25 TLO24:TLO25 TVK24:TVK25 UFG24:UFG25 UPC24:UPC25 UYY24:UYY25 VIU24:VIU25 VSQ24:VSQ25 WCM24:WCM25 WMI24:WMI25 WWE24:WWE25 W65560:W65561 JS65560:JS65561 TO65560:TO65561 ADK65560:ADK65561 ANG65560:ANG65561 AXC65560:AXC65561 BGY65560:BGY65561 BQU65560:BQU65561 CAQ65560:CAQ65561 CKM65560:CKM65561 CUI65560:CUI65561 DEE65560:DEE65561 DOA65560:DOA65561 DXW65560:DXW65561 EHS65560:EHS65561 ERO65560:ERO65561 FBK65560:FBK65561 FLG65560:FLG65561 FVC65560:FVC65561 GEY65560:GEY65561 GOU65560:GOU65561 GYQ65560:GYQ65561 HIM65560:HIM65561 HSI65560:HSI65561 ICE65560:ICE65561 IMA65560:IMA65561 IVW65560:IVW65561 JFS65560:JFS65561 JPO65560:JPO65561 JZK65560:JZK65561 KJG65560:KJG65561 KTC65560:KTC65561 LCY65560:LCY65561 LMU65560:LMU65561 LWQ65560:LWQ65561 MGM65560:MGM65561 MQI65560:MQI65561 NAE65560:NAE65561 NKA65560:NKA65561 NTW65560:NTW65561 ODS65560:ODS65561 ONO65560:ONO65561 OXK65560:OXK65561 PHG65560:PHG65561 PRC65560:PRC65561 QAY65560:QAY65561 QKU65560:QKU65561 QUQ65560:QUQ65561 REM65560:REM65561 ROI65560:ROI65561 RYE65560:RYE65561 SIA65560:SIA65561 SRW65560:SRW65561 TBS65560:TBS65561 TLO65560:TLO65561 TVK65560:TVK65561 UFG65560:UFG65561 UPC65560:UPC65561 UYY65560:UYY65561 VIU65560:VIU65561 VSQ65560:VSQ65561 WCM65560:WCM65561 WMI65560:WMI65561 WWE65560:WWE65561 W131096:W131097 JS131096:JS131097 TO131096:TO131097 ADK131096:ADK131097 ANG131096:ANG131097 AXC131096:AXC131097 BGY131096:BGY131097 BQU131096:BQU131097 CAQ131096:CAQ131097 CKM131096:CKM131097 CUI131096:CUI131097 DEE131096:DEE131097 DOA131096:DOA131097 DXW131096:DXW131097 EHS131096:EHS131097 ERO131096:ERO131097 FBK131096:FBK131097 FLG131096:FLG131097 FVC131096:FVC131097 GEY131096:GEY131097 GOU131096:GOU131097 GYQ131096:GYQ131097 HIM131096:HIM131097 HSI131096:HSI131097 ICE131096:ICE131097 IMA131096:IMA131097 IVW131096:IVW131097 JFS131096:JFS131097 JPO131096:JPO131097 JZK131096:JZK131097 KJG131096:KJG131097 KTC131096:KTC131097 LCY131096:LCY131097 LMU131096:LMU131097 LWQ131096:LWQ131097 MGM131096:MGM131097 MQI131096:MQI131097 NAE131096:NAE131097 NKA131096:NKA131097 NTW131096:NTW131097 ODS131096:ODS131097 ONO131096:ONO131097 OXK131096:OXK131097 PHG131096:PHG131097 PRC131096:PRC131097 QAY131096:QAY131097 QKU131096:QKU131097 QUQ131096:QUQ131097 REM131096:REM131097 ROI131096:ROI131097 RYE131096:RYE131097 SIA131096:SIA131097 SRW131096:SRW131097 TBS131096:TBS131097 TLO131096:TLO131097 TVK131096:TVK131097 UFG131096:UFG131097 UPC131096:UPC131097 UYY131096:UYY131097 VIU131096:VIU131097 VSQ131096:VSQ131097 WCM131096:WCM131097 WMI131096:WMI131097 WWE131096:WWE131097 W196632:W196633 JS196632:JS196633 TO196632:TO196633 ADK196632:ADK196633 ANG196632:ANG196633 AXC196632:AXC196633 BGY196632:BGY196633 BQU196632:BQU196633 CAQ196632:CAQ196633 CKM196632:CKM196633 CUI196632:CUI196633 DEE196632:DEE196633 DOA196632:DOA196633 DXW196632:DXW196633 EHS196632:EHS196633 ERO196632:ERO196633 FBK196632:FBK196633 FLG196632:FLG196633 FVC196632:FVC196633 GEY196632:GEY196633 GOU196632:GOU196633 GYQ196632:GYQ196633 HIM196632:HIM196633 HSI196632:HSI196633 ICE196632:ICE196633 IMA196632:IMA196633 IVW196632:IVW196633 JFS196632:JFS196633 JPO196632:JPO196633 JZK196632:JZK196633 KJG196632:KJG196633 KTC196632:KTC196633 LCY196632:LCY196633 LMU196632:LMU196633 LWQ196632:LWQ196633 MGM196632:MGM196633 MQI196632:MQI196633 NAE196632:NAE196633 NKA196632:NKA196633 NTW196632:NTW196633 ODS196632:ODS196633 ONO196632:ONO196633 OXK196632:OXK196633 PHG196632:PHG196633 PRC196632:PRC196633 QAY196632:QAY196633 QKU196632:QKU196633 QUQ196632:QUQ196633 REM196632:REM196633 ROI196632:ROI196633 RYE196632:RYE196633 SIA196632:SIA196633 SRW196632:SRW196633 TBS196632:TBS196633 TLO196632:TLO196633 TVK196632:TVK196633 UFG196632:UFG196633 UPC196632:UPC196633 UYY196632:UYY196633 VIU196632:VIU196633 VSQ196632:VSQ196633 WCM196632:WCM196633 WMI196632:WMI196633 WWE196632:WWE196633 W262168:W262169 JS262168:JS262169 TO262168:TO262169 ADK262168:ADK262169 ANG262168:ANG262169 AXC262168:AXC262169 BGY262168:BGY262169 BQU262168:BQU262169 CAQ262168:CAQ262169 CKM262168:CKM262169 CUI262168:CUI262169 DEE262168:DEE262169 DOA262168:DOA262169 DXW262168:DXW262169 EHS262168:EHS262169 ERO262168:ERO262169 FBK262168:FBK262169 FLG262168:FLG262169 FVC262168:FVC262169 GEY262168:GEY262169 GOU262168:GOU262169 GYQ262168:GYQ262169 HIM262168:HIM262169 HSI262168:HSI262169 ICE262168:ICE262169 IMA262168:IMA262169 IVW262168:IVW262169 JFS262168:JFS262169 JPO262168:JPO262169 JZK262168:JZK262169 KJG262168:KJG262169 KTC262168:KTC262169 LCY262168:LCY262169 LMU262168:LMU262169 LWQ262168:LWQ262169 MGM262168:MGM262169 MQI262168:MQI262169 NAE262168:NAE262169 NKA262168:NKA262169 NTW262168:NTW262169 ODS262168:ODS262169 ONO262168:ONO262169 OXK262168:OXK262169 PHG262168:PHG262169 PRC262168:PRC262169 QAY262168:QAY262169 QKU262168:QKU262169 QUQ262168:QUQ262169 REM262168:REM262169 ROI262168:ROI262169 RYE262168:RYE262169 SIA262168:SIA262169 SRW262168:SRW262169 TBS262168:TBS262169 TLO262168:TLO262169 TVK262168:TVK262169 UFG262168:UFG262169 UPC262168:UPC262169 UYY262168:UYY262169 VIU262168:VIU262169 VSQ262168:VSQ262169 WCM262168:WCM262169 WMI262168:WMI262169 WWE262168:WWE262169 W327704:W327705 JS327704:JS327705 TO327704:TO327705 ADK327704:ADK327705 ANG327704:ANG327705 AXC327704:AXC327705 BGY327704:BGY327705 BQU327704:BQU327705 CAQ327704:CAQ327705 CKM327704:CKM327705 CUI327704:CUI327705 DEE327704:DEE327705 DOA327704:DOA327705 DXW327704:DXW327705 EHS327704:EHS327705 ERO327704:ERO327705 FBK327704:FBK327705 FLG327704:FLG327705 FVC327704:FVC327705 GEY327704:GEY327705 GOU327704:GOU327705 GYQ327704:GYQ327705 HIM327704:HIM327705 HSI327704:HSI327705 ICE327704:ICE327705 IMA327704:IMA327705 IVW327704:IVW327705 JFS327704:JFS327705 JPO327704:JPO327705 JZK327704:JZK327705 KJG327704:KJG327705 KTC327704:KTC327705 LCY327704:LCY327705 LMU327704:LMU327705 LWQ327704:LWQ327705 MGM327704:MGM327705 MQI327704:MQI327705 NAE327704:NAE327705 NKA327704:NKA327705 NTW327704:NTW327705 ODS327704:ODS327705 ONO327704:ONO327705 OXK327704:OXK327705 PHG327704:PHG327705 PRC327704:PRC327705 QAY327704:QAY327705 QKU327704:QKU327705 QUQ327704:QUQ327705 REM327704:REM327705 ROI327704:ROI327705 RYE327704:RYE327705 SIA327704:SIA327705 SRW327704:SRW327705 TBS327704:TBS327705 TLO327704:TLO327705 TVK327704:TVK327705 UFG327704:UFG327705 UPC327704:UPC327705 UYY327704:UYY327705 VIU327704:VIU327705 VSQ327704:VSQ327705 WCM327704:WCM327705 WMI327704:WMI327705 WWE327704:WWE327705 W393240:W393241 JS393240:JS393241 TO393240:TO393241 ADK393240:ADK393241 ANG393240:ANG393241 AXC393240:AXC393241 BGY393240:BGY393241 BQU393240:BQU393241 CAQ393240:CAQ393241 CKM393240:CKM393241 CUI393240:CUI393241 DEE393240:DEE393241 DOA393240:DOA393241 DXW393240:DXW393241 EHS393240:EHS393241 ERO393240:ERO393241 FBK393240:FBK393241 FLG393240:FLG393241 FVC393240:FVC393241 GEY393240:GEY393241 GOU393240:GOU393241 GYQ393240:GYQ393241 HIM393240:HIM393241 HSI393240:HSI393241 ICE393240:ICE393241 IMA393240:IMA393241 IVW393240:IVW393241 JFS393240:JFS393241 JPO393240:JPO393241 JZK393240:JZK393241 KJG393240:KJG393241 KTC393240:KTC393241 LCY393240:LCY393241 LMU393240:LMU393241 LWQ393240:LWQ393241 MGM393240:MGM393241 MQI393240:MQI393241 NAE393240:NAE393241 NKA393240:NKA393241 NTW393240:NTW393241 ODS393240:ODS393241 ONO393240:ONO393241 OXK393240:OXK393241 PHG393240:PHG393241 PRC393240:PRC393241 QAY393240:QAY393241 QKU393240:QKU393241 QUQ393240:QUQ393241 REM393240:REM393241 ROI393240:ROI393241 RYE393240:RYE393241 SIA393240:SIA393241 SRW393240:SRW393241 TBS393240:TBS393241 TLO393240:TLO393241 TVK393240:TVK393241 UFG393240:UFG393241 UPC393240:UPC393241 UYY393240:UYY393241 VIU393240:VIU393241 VSQ393240:VSQ393241 WCM393240:WCM393241 WMI393240:WMI393241 WWE393240:WWE393241 W458776:W458777 JS458776:JS458777 TO458776:TO458777 ADK458776:ADK458777 ANG458776:ANG458777 AXC458776:AXC458777 BGY458776:BGY458777 BQU458776:BQU458777 CAQ458776:CAQ458777 CKM458776:CKM458777 CUI458776:CUI458777 DEE458776:DEE458777 DOA458776:DOA458777 DXW458776:DXW458777 EHS458776:EHS458777 ERO458776:ERO458777 FBK458776:FBK458777 FLG458776:FLG458777 FVC458776:FVC458777 GEY458776:GEY458777 GOU458776:GOU458777 GYQ458776:GYQ458777 HIM458776:HIM458777 HSI458776:HSI458777 ICE458776:ICE458777 IMA458776:IMA458777 IVW458776:IVW458777 JFS458776:JFS458777 JPO458776:JPO458777 JZK458776:JZK458777 KJG458776:KJG458777 KTC458776:KTC458777 LCY458776:LCY458777 LMU458776:LMU458777 LWQ458776:LWQ458777 MGM458776:MGM458777 MQI458776:MQI458777 NAE458776:NAE458777 NKA458776:NKA458777 NTW458776:NTW458777 ODS458776:ODS458777 ONO458776:ONO458777 OXK458776:OXK458777 PHG458776:PHG458777 PRC458776:PRC458777 QAY458776:QAY458777 QKU458776:QKU458777 QUQ458776:QUQ458777 REM458776:REM458777 ROI458776:ROI458777 RYE458776:RYE458777 SIA458776:SIA458777 SRW458776:SRW458777 TBS458776:TBS458777 TLO458776:TLO458777 TVK458776:TVK458777 UFG458776:UFG458777 UPC458776:UPC458777 UYY458776:UYY458777 VIU458776:VIU458777 VSQ458776:VSQ458777 WCM458776:WCM458777 WMI458776:WMI458777 WWE458776:WWE458777 W524312:W524313 JS524312:JS524313 TO524312:TO524313 ADK524312:ADK524313 ANG524312:ANG524313 AXC524312:AXC524313 BGY524312:BGY524313 BQU524312:BQU524313 CAQ524312:CAQ524313 CKM524312:CKM524313 CUI524312:CUI524313 DEE524312:DEE524313 DOA524312:DOA524313 DXW524312:DXW524313 EHS524312:EHS524313 ERO524312:ERO524313 FBK524312:FBK524313 FLG524312:FLG524313 FVC524312:FVC524313 GEY524312:GEY524313 GOU524312:GOU524313 GYQ524312:GYQ524313 HIM524312:HIM524313 HSI524312:HSI524313 ICE524312:ICE524313 IMA524312:IMA524313 IVW524312:IVW524313 JFS524312:JFS524313 JPO524312:JPO524313 JZK524312:JZK524313 KJG524312:KJG524313 KTC524312:KTC524313 LCY524312:LCY524313 LMU524312:LMU524313 LWQ524312:LWQ524313 MGM524312:MGM524313 MQI524312:MQI524313 NAE524312:NAE524313 NKA524312:NKA524313 NTW524312:NTW524313 ODS524312:ODS524313 ONO524312:ONO524313 OXK524312:OXK524313 PHG524312:PHG524313 PRC524312:PRC524313 QAY524312:QAY524313 QKU524312:QKU524313 QUQ524312:QUQ524313 REM524312:REM524313 ROI524312:ROI524313 RYE524312:RYE524313 SIA524312:SIA524313 SRW524312:SRW524313 TBS524312:TBS524313 TLO524312:TLO524313 TVK524312:TVK524313 UFG524312:UFG524313 UPC524312:UPC524313 UYY524312:UYY524313 VIU524312:VIU524313 VSQ524312:VSQ524313 WCM524312:WCM524313 WMI524312:WMI524313 WWE524312:WWE524313 W589848:W589849 JS589848:JS589849 TO589848:TO589849 ADK589848:ADK589849 ANG589848:ANG589849 AXC589848:AXC589849 BGY589848:BGY589849 BQU589848:BQU589849 CAQ589848:CAQ589849 CKM589848:CKM589849 CUI589848:CUI589849 DEE589848:DEE589849 DOA589848:DOA589849 DXW589848:DXW589849 EHS589848:EHS589849 ERO589848:ERO589849 FBK589848:FBK589849 FLG589848:FLG589849 FVC589848:FVC589849 GEY589848:GEY589849 GOU589848:GOU589849 GYQ589848:GYQ589849 HIM589848:HIM589849 HSI589848:HSI589849 ICE589848:ICE589849 IMA589848:IMA589849 IVW589848:IVW589849 JFS589848:JFS589849 JPO589848:JPO589849 JZK589848:JZK589849 KJG589848:KJG589849 KTC589848:KTC589849 LCY589848:LCY589849 LMU589848:LMU589849 LWQ589848:LWQ589849 MGM589848:MGM589849 MQI589848:MQI589849 NAE589848:NAE589849 NKA589848:NKA589849 NTW589848:NTW589849 ODS589848:ODS589849 ONO589848:ONO589849 OXK589848:OXK589849 PHG589848:PHG589849 PRC589848:PRC589849 QAY589848:QAY589849 QKU589848:QKU589849 QUQ589848:QUQ589849 REM589848:REM589849 ROI589848:ROI589849 RYE589848:RYE589849 SIA589848:SIA589849 SRW589848:SRW589849 TBS589848:TBS589849 TLO589848:TLO589849 TVK589848:TVK589849 UFG589848:UFG589849 UPC589848:UPC589849 UYY589848:UYY589849 VIU589848:VIU589849 VSQ589848:VSQ589849 WCM589848:WCM589849 WMI589848:WMI589849 WWE589848:WWE589849 W655384:W655385 JS655384:JS655385 TO655384:TO655385 ADK655384:ADK655385 ANG655384:ANG655385 AXC655384:AXC655385 BGY655384:BGY655385 BQU655384:BQU655385 CAQ655384:CAQ655385 CKM655384:CKM655385 CUI655384:CUI655385 DEE655384:DEE655385 DOA655384:DOA655385 DXW655384:DXW655385 EHS655384:EHS655385 ERO655384:ERO655385 FBK655384:FBK655385 FLG655384:FLG655385 FVC655384:FVC655385 GEY655384:GEY655385 GOU655384:GOU655385 GYQ655384:GYQ655385 HIM655384:HIM655385 HSI655384:HSI655385 ICE655384:ICE655385 IMA655384:IMA655385 IVW655384:IVW655385 JFS655384:JFS655385 JPO655384:JPO655385 JZK655384:JZK655385 KJG655384:KJG655385 KTC655384:KTC655385 LCY655384:LCY655385 LMU655384:LMU655385 LWQ655384:LWQ655385 MGM655384:MGM655385 MQI655384:MQI655385 NAE655384:NAE655385 NKA655384:NKA655385 NTW655384:NTW655385 ODS655384:ODS655385 ONO655384:ONO655385 OXK655384:OXK655385 PHG655384:PHG655385 PRC655384:PRC655385 QAY655384:QAY655385 QKU655384:QKU655385 QUQ655384:QUQ655385 REM655384:REM655385 ROI655384:ROI655385 RYE655384:RYE655385 SIA655384:SIA655385 SRW655384:SRW655385 TBS655384:TBS655385 TLO655384:TLO655385 TVK655384:TVK655385 UFG655384:UFG655385 UPC655384:UPC655385 UYY655384:UYY655385 VIU655384:VIU655385 VSQ655384:VSQ655385 WCM655384:WCM655385 WMI655384:WMI655385 WWE655384:WWE655385 W720920:W720921 JS720920:JS720921 TO720920:TO720921 ADK720920:ADK720921 ANG720920:ANG720921 AXC720920:AXC720921 BGY720920:BGY720921 BQU720920:BQU720921 CAQ720920:CAQ720921 CKM720920:CKM720921 CUI720920:CUI720921 DEE720920:DEE720921 DOA720920:DOA720921 DXW720920:DXW720921 EHS720920:EHS720921 ERO720920:ERO720921 FBK720920:FBK720921 FLG720920:FLG720921 FVC720920:FVC720921 GEY720920:GEY720921 GOU720920:GOU720921 GYQ720920:GYQ720921 HIM720920:HIM720921 HSI720920:HSI720921 ICE720920:ICE720921 IMA720920:IMA720921 IVW720920:IVW720921 JFS720920:JFS720921 JPO720920:JPO720921 JZK720920:JZK720921 KJG720920:KJG720921 KTC720920:KTC720921 LCY720920:LCY720921 LMU720920:LMU720921 LWQ720920:LWQ720921 MGM720920:MGM720921 MQI720920:MQI720921 NAE720920:NAE720921 NKA720920:NKA720921 NTW720920:NTW720921 ODS720920:ODS720921 ONO720920:ONO720921 OXK720920:OXK720921 PHG720920:PHG720921 PRC720920:PRC720921 QAY720920:QAY720921 QKU720920:QKU720921 QUQ720920:QUQ720921 REM720920:REM720921 ROI720920:ROI720921 RYE720920:RYE720921 SIA720920:SIA720921 SRW720920:SRW720921 TBS720920:TBS720921 TLO720920:TLO720921 TVK720920:TVK720921 UFG720920:UFG720921 UPC720920:UPC720921 UYY720920:UYY720921 VIU720920:VIU720921 VSQ720920:VSQ720921 WCM720920:WCM720921 WMI720920:WMI720921 WWE720920:WWE720921 W786456:W786457 JS786456:JS786457 TO786456:TO786457 ADK786456:ADK786457 ANG786456:ANG786457 AXC786456:AXC786457 BGY786456:BGY786457 BQU786456:BQU786457 CAQ786456:CAQ786457 CKM786456:CKM786457 CUI786456:CUI786457 DEE786456:DEE786457 DOA786456:DOA786457 DXW786456:DXW786457 EHS786456:EHS786457 ERO786456:ERO786457 FBK786456:FBK786457 FLG786456:FLG786457 FVC786456:FVC786457 GEY786456:GEY786457 GOU786456:GOU786457 GYQ786456:GYQ786457 HIM786456:HIM786457 HSI786456:HSI786457 ICE786456:ICE786457 IMA786456:IMA786457 IVW786456:IVW786457 JFS786456:JFS786457 JPO786456:JPO786457 JZK786456:JZK786457 KJG786456:KJG786457 KTC786456:KTC786457 LCY786456:LCY786457 LMU786456:LMU786457 LWQ786456:LWQ786457 MGM786456:MGM786457 MQI786456:MQI786457 NAE786456:NAE786457 NKA786456:NKA786457 NTW786456:NTW786457 ODS786456:ODS786457 ONO786456:ONO786457 OXK786456:OXK786457 PHG786456:PHG786457 PRC786456:PRC786457 QAY786456:QAY786457 QKU786456:QKU786457 QUQ786456:QUQ786457 REM786456:REM786457 ROI786456:ROI786457 RYE786456:RYE786457 SIA786456:SIA786457 SRW786456:SRW786457 TBS786456:TBS786457 TLO786456:TLO786457 TVK786456:TVK786457 UFG786456:UFG786457 UPC786456:UPC786457 UYY786456:UYY786457 VIU786456:VIU786457 VSQ786456:VSQ786457 WCM786456:WCM786457 WMI786456:WMI786457 WWE786456:WWE786457 W851992:W851993 JS851992:JS851993 TO851992:TO851993 ADK851992:ADK851993 ANG851992:ANG851993 AXC851992:AXC851993 BGY851992:BGY851993 BQU851992:BQU851993 CAQ851992:CAQ851993 CKM851992:CKM851993 CUI851992:CUI851993 DEE851992:DEE851993 DOA851992:DOA851993 DXW851992:DXW851993 EHS851992:EHS851993 ERO851992:ERO851993 FBK851992:FBK851993 FLG851992:FLG851993 FVC851992:FVC851993 GEY851992:GEY851993 GOU851992:GOU851993 GYQ851992:GYQ851993 HIM851992:HIM851993 HSI851992:HSI851993 ICE851992:ICE851993 IMA851992:IMA851993 IVW851992:IVW851993 JFS851992:JFS851993 JPO851992:JPO851993 JZK851992:JZK851993 KJG851992:KJG851993 KTC851992:KTC851993 LCY851992:LCY851993 LMU851992:LMU851993 LWQ851992:LWQ851993 MGM851992:MGM851993 MQI851992:MQI851993 NAE851992:NAE851993 NKA851992:NKA851993 NTW851992:NTW851993 ODS851992:ODS851993 ONO851992:ONO851993 OXK851992:OXK851993 PHG851992:PHG851993 PRC851992:PRC851993 QAY851992:QAY851993 QKU851992:QKU851993 QUQ851992:QUQ851993 REM851992:REM851993 ROI851992:ROI851993 RYE851992:RYE851993 SIA851992:SIA851993 SRW851992:SRW851993 TBS851992:TBS851993 TLO851992:TLO851993 TVK851992:TVK851993 UFG851992:UFG851993 UPC851992:UPC851993 UYY851992:UYY851993 VIU851992:VIU851993 VSQ851992:VSQ851993 WCM851992:WCM851993 WMI851992:WMI851993 WWE851992:WWE851993 W917528:W917529 JS917528:JS917529 TO917528:TO917529 ADK917528:ADK917529 ANG917528:ANG917529 AXC917528:AXC917529 BGY917528:BGY917529 BQU917528:BQU917529 CAQ917528:CAQ917529 CKM917528:CKM917529 CUI917528:CUI917529 DEE917528:DEE917529 DOA917528:DOA917529 DXW917528:DXW917529 EHS917528:EHS917529 ERO917528:ERO917529 FBK917528:FBK917529 FLG917528:FLG917529 FVC917528:FVC917529 GEY917528:GEY917529 GOU917528:GOU917529 GYQ917528:GYQ917529 HIM917528:HIM917529 HSI917528:HSI917529 ICE917528:ICE917529 IMA917528:IMA917529 IVW917528:IVW917529 JFS917528:JFS917529 JPO917528:JPO917529 JZK917528:JZK917529 KJG917528:KJG917529 KTC917528:KTC917529 LCY917528:LCY917529 LMU917528:LMU917529 LWQ917528:LWQ917529 MGM917528:MGM917529 MQI917528:MQI917529 NAE917528:NAE917529 NKA917528:NKA917529 NTW917528:NTW917529 ODS917528:ODS917529 ONO917528:ONO917529 OXK917528:OXK917529 PHG917528:PHG917529 PRC917528:PRC917529 QAY917528:QAY917529 QKU917528:QKU917529 QUQ917528:QUQ917529 REM917528:REM917529 ROI917528:ROI917529 RYE917528:RYE917529 SIA917528:SIA917529 SRW917528:SRW917529 TBS917528:TBS917529 TLO917528:TLO917529 TVK917528:TVK917529 UFG917528:UFG917529 UPC917528:UPC917529 UYY917528:UYY917529 VIU917528:VIU917529 VSQ917528:VSQ917529 WCM917528:WCM917529 WMI917528:WMI917529 WWE917528:WWE917529 W983064:W983065 JS983064:JS983065 TO983064:TO983065 ADK983064:ADK983065 ANG983064:ANG983065 AXC983064:AXC983065 BGY983064:BGY983065 BQU983064:BQU983065 CAQ983064:CAQ983065 CKM983064:CKM983065 CUI983064:CUI983065 DEE983064:DEE983065 DOA983064:DOA983065 DXW983064:DXW983065 EHS983064:EHS983065 ERO983064:ERO983065 FBK983064:FBK983065 FLG983064:FLG983065 FVC983064:FVC983065 GEY983064:GEY983065 GOU983064:GOU983065 GYQ983064:GYQ983065 HIM983064:HIM983065 HSI983064:HSI983065 ICE983064:ICE983065 IMA983064:IMA983065 IVW983064:IVW983065 JFS983064:JFS983065 JPO983064:JPO983065 JZK983064:JZK983065 KJG983064:KJG983065 KTC983064:KTC983065 LCY983064:LCY983065 LMU983064:LMU983065 LWQ983064:LWQ983065 MGM983064:MGM983065 MQI983064:MQI983065 NAE983064:NAE983065 NKA983064:NKA983065 NTW983064:NTW983065 ODS983064:ODS983065 ONO983064:ONO983065 OXK983064:OXK983065 PHG983064:PHG983065 PRC983064:PRC983065 QAY983064:QAY983065 QKU983064:QKU983065 QUQ983064:QUQ983065 REM983064:REM983065 ROI983064:ROI983065 RYE983064:RYE983065 SIA983064:SIA983065 SRW983064:SRW983065 TBS983064:TBS983065 TLO983064:TLO983065 TVK983064:TVK983065 UFG983064:UFG983065 UPC983064:UPC983065 UYY983064:UYY983065 VIU983064:VIU983065 VSQ983064:VSQ983065 WCM983064:WCM983065 WMI983064:WMI983065 WWE983064:WWE983065 M39:M41 JI39:JI41 TE39:TE41 ADA39:ADA41 AMW39:AMW41 AWS39:AWS41 BGO39:BGO41 BQK39:BQK41 CAG39:CAG41 CKC39:CKC41 CTY39:CTY41 DDU39:DDU41 DNQ39:DNQ41 DXM39:DXM41 EHI39:EHI41 ERE39:ERE41 FBA39:FBA41 FKW39:FKW41 FUS39:FUS41 GEO39:GEO41 GOK39:GOK41 GYG39:GYG41 HIC39:HIC41 HRY39:HRY41 IBU39:IBU41 ILQ39:ILQ41 IVM39:IVM41 JFI39:JFI41 JPE39:JPE41 JZA39:JZA41 KIW39:KIW41 KSS39:KSS41 LCO39:LCO41 LMK39:LMK41 LWG39:LWG41 MGC39:MGC41 MPY39:MPY41 MZU39:MZU41 NJQ39:NJQ41 NTM39:NTM41 ODI39:ODI41 ONE39:ONE41 OXA39:OXA41 PGW39:PGW41 PQS39:PQS41 QAO39:QAO41 QKK39:QKK41 QUG39:QUG41 REC39:REC41 RNY39:RNY41 RXU39:RXU41 SHQ39:SHQ41 SRM39:SRM41 TBI39:TBI41 TLE39:TLE41 TVA39:TVA41 UEW39:UEW41 UOS39:UOS41 UYO39:UYO41 VIK39:VIK41 VSG39:VSG41 WCC39:WCC41 WLY39:WLY41 WVU39:WVU41 M65575:M65577 JI65575:JI65577 TE65575:TE65577 ADA65575:ADA65577 AMW65575:AMW65577 AWS65575:AWS65577 BGO65575:BGO65577 BQK65575:BQK65577 CAG65575:CAG65577 CKC65575:CKC65577 CTY65575:CTY65577 DDU65575:DDU65577 DNQ65575:DNQ65577 DXM65575:DXM65577 EHI65575:EHI65577 ERE65575:ERE65577 FBA65575:FBA65577 FKW65575:FKW65577 FUS65575:FUS65577 GEO65575:GEO65577 GOK65575:GOK65577 GYG65575:GYG65577 HIC65575:HIC65577 HRY65575:HRY65577 IBU65575:IBU65577 ILQ65575:ILQ65577 IVM65575:IVM65577 JFI65575:JFI65577 JPE65575:JPE65577 JZA65575:JZA65577 KIW65575:KIW65577 KSS65575:KSS65577 LCO65575:LCO65577 LMK65575:LMK65577 LWG65575:LWG65577 MGC65575:MGC65577 MPY65575:MPY65577 MZU65575:MZU65577 NJQ65575:NJQ65577 NTM65575:NTM65577 ODI65575:ODI65577 ONE65575:ONE65577 OXA65575:OXA65577 PGW65575:PGW65577 PQS65575:PQS65577 QAO65575:QAO65577 QKK65575:QKK65577 QUG65575:QUG65577 REC65575:REC65577 RNY65575:RNY65577 RXU65575:RXU65577 SHQ65575:SHQ65577 SRM65575:SRM65577 TBI65575:TBI65577 TLE65575:TLE65577 TVA65575:TVA65577 UEW65575:UEW65577 UOS65575:UOS65577 UYO65575:UYO65577 VIK65575:VIK65577 VSG65575:VSG65577 WCC65575:WCC65577 WLY65575:WLY65577 WVU65575:WVU65577 M131111:M131113 JI131111:JI131113 TE131111:TE131113 ADA131111:ADA131113 AMW131111:AMW131113 AWS131111:AWS131113 BGO131111:BGO131113 BQK131111:BQK131113 CAG131111:CAG131113 CKC131111:CKC131113 CTY131111:CTY131113 DDU131111:DDU131113 DNQ131111:DNQ131113 DXM131111:DXM131113 EHI131111:EHI131113 ERE131111:ERE131113 FBA131111:FBA131113 FKW131111:FKW131113 FUS131111:FUS131113 GEO131111:GEO131113 GOK131111:GOK131113 GYG131111:GYG131113 HIC131111:HIC131113 HRY131111:HRY131113 IBU131111:IBU131113 ILQ131111:ILQ131113 IVM131111:IVM131113 JFI131111:JFI131113 JPE131111:JPE131113 JZA131111:JZA131113 KIW131111:KIW131113 KSS131111:KSS131113 LCO131111:LCO131113 LMK131111:LMK131113 LWG131111:LWG131113 MGC131111:MGC131113 MPY131111:MPY131113 MZU131111:MZU131113 NJQ131111:NJQ131113 NTM131111:NTM131113 ODI131111:ODI131113 ONE131111:ONE131113 OXA131111:OXA131113 PGW131111:PGW131113 PQS131111:PQS131113 QAO131111:QAO131113 QKK131111:QKK131113 QUG131111:QUG131113 REC131111:REC131113 RNY131111:RNY131113 RXU131111:RXU131113 SHQ131111:SHQ131113 SRM131111:SRM131113 TBI131111:TBI131113 TLE131111:TLE131113 TVA131111:TVA131113 UEW131111:UEW131113 UOS131111:UOS131113 UYO131111:UYO131113 VIK131111:VIK131113 VSG131111:VSG131113 WCC131111:WCC131113 WLY131111:WLY131113 WVU131111:WVU131113 M196647:M196649 JI196647:JI196649 TE196647:TE196649 ADA196647:ADA196649 AMW196647:AMW196649 AWS196647:AWS196649 BGO196647:BGO196649 BQK196647:BQK196649 CAG196647:CAG196649 CKC196647:CKC196649 CTY196647:CTY196649 DDU196647:DDU196649 DNQ196647:DNQ196649 DXM196647:DXM196649 EHI196647:EHI196649 ERE196647:ERE196649 FBA196647:FBA196649 FKW196647:FKW196649 FUS196647:FUS196649 GEO196647:GEO196649 GOK196647:GOK196649 GYG196647:GYG196649 HIC196647:HIC196649 HRY196647:HRY196649 IBU196647:IBU196649 ILQ196647:ILQ196649 IVM196647:IVM196649 JFI196647:JFI196649 JPE196647:JPE196649 JZA196647:JZA196649 KIW196647:KIW196649 KSS196647:KSS196649 LCO196647:LCO196649 LMK196647:LMK196649 LWG196647:LWG196649 MGC196647:MGC196649 MPY196647:MPY196649 MZU196647:MZU196649 NJQ196647:NJQ196649 NTM196647:NTM196649 ODI196647:ODI196649 ONE196647:ONE196649 OXA196647:OXA196649 PGW196647:PGW196649 PQS196647:PQS196649 QAO196647:QAO196649 QKK196647:QKK196649 QUG196647:QUG196649 REC196647:REC196649 RNY196647:RNY196649 RXU196647:RXU196649 SHQ196647:SHQ196649 SRM196647:SRM196649 TBI196647:TBI196649 TLE196647:TLE196649 TVA196647:TVA196649 UEW196647:UEW196649 UOS196647:UOS196649 UYO196647:UYO196649 VIK196647:VIK196649 VSG196647:VSG196649 WCC196647:WCC196649 WLY196647:WLY196649 WVU196647:WVU196649 M262183:M262185 JI262183:JI262185 TE262183:TE262185 ADA262183:ADA262185 AMW262183:AMW262185 AWS262183:AWS262185 BGO262183:BGO262185 BQK262183:BQK262185 CAG262183:CAG262185 CKC262183:CKC262185 CTY262183:CTY262185 DDU262183:DDU262185 DNQ262183:DNQ262185 DXM262183:DXM262185 EHI262183:EHI262185 ERE262183:ERE262185 FBA262183:FBA262185 FKW262183:FKW262185 FUS262183:FUS262185 GEO262183:GEO262185 GOK262183:GOK262185 GYG262183:GYG262185 HIC262183:HIC262185 HRY262183:HRY262185 IBU262183:IBU262185 ILQ262183:ILQ262185 IVM262183:IVM262185 JFI262183:JFI262185 JPE262183:JPE262185 JZA262183:JZA262185 KIW262183:KIW262185 KSS262183:KSS262185 LCO262183:LCO262185 LMK262183:LMK262185 LWG262183:LWG262185 MGC262183:MGC262185 MPY262183:MPY262185 MZU262183:MZU262185 NJQ262183:NJQ262185 NTM262183:NTM262185 ODI262183:ODI262185 ONE262183:ONE262185 OXA262183:OXA262185 PGW262183:PGW262185 PQS262183:PQS262185 QAO262183:QAO262185 QKK262183:QKK262185 QUG262183:QUG262185 REC262183:REC262185 RNY262183:RNY262185 RXU262183:RXU262185 SHQ262183:SHQ262185 SRM262183:SRM262185 TBI262183:TBI262185 TLE262183:TLE262185 TVA262183:TVA262185 UEW262183:UEW262185 UOS262183:UOS262185 UYO262183:UYO262185 VIK262183:VIK262185 VSG262183:VSG262185 WCC262183:WCC262185 WLY262183:WLY262185 WVU262183:WVU262185 M327719:M327721 JI327719:JI327721 TE327719:TE327721 ADA327719:ADA327721 AMW327719:AMW327721 AWS327719:AWS327721 BGO327719:BGO327721 BQK327719:BQK327721 CAG327719:CAG327721 CKC327719:CKC327721 CTY327719:CTY327721 DDU327719:DDU327721 DNQ327719:DNQ327721 DXM327719:DXM327721 EHI327719:EHI327721 ERE327719:ERE327721 FBA327719:FBA327721 FKW327719:FKW327721 FUS327719:FUS327721 GEO327719:GEO327721 GOK327719:GOK327721 GYG327719:GYG327721 HIC327719:HIC327721 HRY327719:HRY327721 IBU327719:IBU327721 ILQ327719:ILQ327721 IVM327719:IVM327721 JFI327719:JFI327721 JPE327719:JPE327721 JZA327719:JZA327721 KIW327719:KIW327721 KSS327719:KSS327721 LCO327719:LCO327721 LMK327719:LMK327721 LWG327719:LWG327721 MGC327719:MGC327721 MPY327719:MPY327721 MZU327719:MZU327721 NJQ327719:NJQ327721 NTM327719:NTM327721 ODI327719:ODI327721 ONE327719:ONE327721 OXA327719:OXA327721 PGW327719:PGW327721 PQS327719:PQS327721 QAO327719:QAO327721 QKK327719:QKK327721 QUG327719:QUG327721 REC327719:REC327721 RNY327719:RNY327721 RXU327719:RXU327721 SHQ327719:SHQ327721 SRM327719:SRM327721 TBI327719:TBI327721 TLE327719:TLE327721 TVA327719:TVA327721 UEW327719:UEW327721 UOS327719:UOS327721 UYO327719:UYO327721 VIK327719:VIK327721 VSG327719:VSG327721 WCC327719:WCC327721 WLY327719:WLY327721 WVU327719:WVU327721 M393255:M393257 JI393255:JI393257 TE393255:TE393257 ADA393255:ADA393257 AMW393255:AMW393257 AWS393255:AWS393257 BGO393255:BGO393257 BQK393255:BQK393257 CAG393255:CAG393257 CKC393255:CKC393257 CTY393255:CTY393257 DDU393255:DDU393257 DNQ393255:DNQ393257 DXM393255:DXM393257 EHI393255:EHI393257 ERE393255:ERE393257 FBA393255:FBA393257 FKW393255:FKW393257 FUS393255:FUS393257 GEO393255:GEO393257 GOK393255:GOK393257 GYG393255:GYG393257 HIC393255:HIC393257 HRY393255:HRY393257 IBU393255:IBU393257 ILQ393255:ILQ393257 IVM393255:IVM393257 JFI393255:JFI393257 JPE393255:JPE393257 JZA393255:JZA393257 KIW393255:KIW393257 KSS393255:KSS393257 LCO393255:LCO393257 LMK393255:LMK393257 LWG393255:LWG393257 MGC393255:MGC393257 MPY393255:MPY393257 MZU393255:MZU393257 NJQ393255:NJQ393257 NTM393255:NTM393257 ODI393255:ODI393257 ONE393255:ONE393257 OXA393255:OXA393257 PGW393255:PGW393257 PQS393255:PQS393257 QAO393255:QAO393257 QKK393255:QKK393257 QUG393255:QUG393257 REC393255:REC393257 RNY393255:RNY393257 RXU393255:RXU393257 SHQ393255:SHQ393257 SRM393255:SRM393257 TBI393255:TBI393257 TLE393255:TLE393257 TVA393255:TVA393257 UEW393255:UEW393257 UOS393255:UOS393257 UYO393255:UYO393257 VIK393255:VIK393257 VSG393255:VSG393257 WCC393255:WCC393257 WLY393255:WLY393257 WVU393255:WVU393257 M458791:M458793 JI458791:JI458793 TE458791:TE458793 ADA458791:ADA458793 AMW458791:AMW458793 AWS458791:AWS458793 BGO458791:BGO458793 BQK458791:BQK458793 CAG458791:CAG458793 CKC458791:CKC458793 CTY458791:CTY458793 DDU458791:DDU458793 DNQ458791:DNQ458793 DXM458791:DXM458793 EHI458791:EHI458793 ERE458791:ERE458793 FBA458791:FBA458793 FKW458791:FKW458793 FUS458791:FUS458793 GEO458791:GEO458793 GOK458791:GOK458793 GYG458791:GYG458793 HIC458791:HIC458793 HRY458791:HRY458793 IBU458791:IBU458793 ILQ458791:ILQ458793 IVM458791:IVM458793 JFI458791:JFI458793 JPE458791:JPE458793 JZA458791:JZA458793 KIW458791:KIW458793 KSS458791:KSS458793 LCO458791:LCO458793 LMK458791:LMK458793 LWG458791:LWG458793 MGC458791:MGC458793 MPY458791:MPY458793 MZU458791:MZU458793 NJQ458791:NJQ458793 NTM458791:NTM458793 ODI458791:ODI458793 ONE458791:ONE458793 OXA458791:OXA458793 PGW458791:PGW458793 PQS458791:PQS458793 QAO458791:QAO458793 QKK458791:QKK458793 QUG458791:QUG458793 REC458791:REC458793 RNY458791:RNY458793 RXU458791:RXU458793 SHQ458791:SHQ458793 SRM458791:SRM458793 TBI458791:TBI458793 TLE458791:TLE458793 TVA458791:TVA458793 UEW458791:UEW458793 UOS458791:UOS458793 UYO458791:UYO458793 VIK458791:VIK458793 VSG458791:VSG458793 WCC458791:WCC458793 WLY458791:WLY458793 WVU458791:WVU458793 M524327:M524329 JI524327:JI524329 TE524327:TE524329 ADA524327:ADA524329 AMW524327:AMW524329 AWS524327:AWS524329 BGO524327:BGO524329 BQK524327:BQK524329 CAG524327:CAG524329 CKC524327:CKC524329 CTY524327:CTY524329 DDU524327:DDU524329 DNQ524327:DNQ524329 DXM524327:DXM524329 EHI524327:EHI524329 ERE524327:ERE524329 FBA524327:FBA524329 FKW524327:FKW524329 FUS524327:FUS524329 GEO524327:GEO524329 GOK524327:GOK524329 GYG524327:GYG524329 HIC524327:HIC524329 HRY524327:HRY524329 IBU524327:IBU524329 ILQ524327:ILQ524329 IVM524327:IVM524329 JFI524327:JFI524329 JPE524327:JPE524329 JZA524327:JZA524329 KIW524327:KIW524329 KSS524327:KSS524329 LCO524327:LCO524329 LMK524327:LMK524329 LWG524327:LWG524329 MGC524327:MGC524329 MPY524327:MPY524329 MZU524327:MZU524329 NJQ524327:NJQ524329 NTM524327:NTM524329 ODI524327:ODI524329 ONE524327:ONE524329 OXA524327:OXA524329 PGW524327:PGW524329 PQS524327:PQS524329 QAO524327:QAO524329 QKK524327:QKK524329 QUG524327:QUG524329 REC524327:REC524329 RNY524327:RNY524329 RXU524327:RXU524329 SHQ524327:SHQ524329 SRM524327:SRM524329 TBI524327:TBI524329 TLE524327:TLE524329 TVA524327:TVA524329 UEW524327:UEW524329 UOS524327:UOS524329 UYO524327:UYO524329 VIK524327:VIK524329 VSG524327:VSG524329 WCC524327:WCC524329 WLY524327:WLY524329 WVU524327:WVU524329 M589863:M589865 JI589863:JI589865 TE589863:TE589865 ADA589863:ADA589865 AMW589863:AMW589865 AWS589863:AWS589865 BGO589863:BGO589865 BQK589863:BQK589865 CAG589863:CAG589865 CKC589863:CKC589865 CTY589863:CTY589865 DDU589863:DDU589865 DNQ589863:DNQ589865 DXM589863:DXM589865 EHI589863:EHI589865 ERE589863:ERE589865 FBA589863:FBA589865 FKW589863:FKW589865 FUS589863:FUS589865 GEO589863:GEO589865 GOK589863:GOK589865 GYG589863:GYG589865 HIC589863:HIC589865 HRY589863:HRY589865 IBU589863:IBU589865 ILQ589863:ILQ589865 IVM589863:IVM589865 JFI589863:JFI589865 JPE589863:JPE589865 JZA589863:JZA589865 KIW589863:KIW589865 KSS589863:KSS589865 LCO589863:LCO589865 LMK589863:LMK589865 LWG589863:LWG589865 MGC589863:MGC589865 MPY589863:MPY589865 MZU589863:MZU589865 NJQ589863:NJQ589865 NTM589863:NTM589865 ODI589863:ODI589865 ONE589863:ONE589865 OXA589863:OXA589865 PGW589863:PGW589865 PQS589863:PQS589865 QAO589863:QAO589865 QKK589863:QKK589865 QUG589863:QUG589865 REC589863:REC589865 RNY589863:RNY589865 RXU589863:RXU589865 SHQ589863:SHQ589865 SRM589863:SRM589865 TBI589863:TBI589865 TLE589863:TLE589865 TVA589863:TVA589865 UEW589863:UEW589865 UOS589863:UOS589865 UYO589863:UYO589865 VIK589863:VIK589865 VSG589863:VSG589865 WCC589863:WCC589865 WLY589863:WLY589865 WVU589863:WVU589865 M655399:M655401 JI655399:JI655401 TE655399:TE655401 ADA655399:ADA655401 AMW655399:AMW655401 AWS655399:AWS655401 BGO655399:BGO655401 BQK655399:BQK655401 CAG655399:CAG655401 CKC655399:CKC655401 CTY655399:CTY655401 DDU655399:DDU655401 DNQ655399:DNQ655401 DXM655399:DXM655401 EHI655399:EHI655401 ERE655399:ERE655401 FBA655399:FBA655401 FKW655399:FKW655401 FUS655399:FUS655401 GEO655399:GEO655401 GOK655399:GOK655401 GYG655399:GYG655401 HIC655399:HIC655401 HRY655399:HRY655401 IBU655399:IBU655401 ILQ655399:ILQ655401 IVM655399:IVM655401 JFI655399:JFI655401 JPE655399:JPE655401 JZA655399:JZA655401 KIW655399:KIW655401 KSS655399:KSS655401 LCO655399:LCO655401 LMK655399:LMK655401 LWG655399:LWG655401 MGC655399:MGC655401 MPY655399:MPY655401 MZU655399:MZU655401 NJQ655399:NJQ655401 NTM655399:NTM655401 ODI655399:ODI655401 ONE655399:ONE655401 OXA655399:OXA655401 PGW655399:PGW655401 PQS655399:PQS655401 QAO655399:QAO655401 QKK655399:QKK655401 QUG655399:QUG655401 REC655399:REC655401 RNY655399:RNY655401 RXU655399:RXU655401 SHQ655399:SHQ655401 SRM655399:SRM655401 TBI655399:TBI655401 TLE655399:TLE655401 TVA655399:TVA655401 UEW655399:UEW655401 UOS655399:UOS655401 UYO655399:UYO655401 VIK655399:VIK655401 VSG655399:VSG655401 WCC655399:WCC655401 WLY655399:WLY655401 WVU655399:WVU655401 M720935:M720937 JI720935:JI720937 TE720935:TE720937 ADA720935:ADA720937 AMW720935:AMW720937 AWS720935:AWS720937 BGO720935:BGO720937 BQK720935:BQK720937 CAG720935:CAG720937 CKC720935:CKC720937 CTY720935:CTY720937 DDU720935:DDU720937 DNQ720935:DNQ720937 DXM720935:DXM720937 EHI720935:EHI720937 ERE720935:ERE720937 FBA720935:FBA720937 FKW720935:FKW720937 FUS720935:FUS720937 GEO720935:GEO720937 GOK720935:GOK720937 GYG720935:GYG720937 HIC720935:HIC720937 HRY720935:HRY720937 IBU720935:IBU720937 ILQ720935:ILQ720937 IVM720935:IVM720937 JFI720935:JFI720937 JPE720935:JPE720937 JZA720935:JZA720937 KIW720935:KIW720937 KSS720935:KSS720937 LCO720935:LCO720937 LMK720935:LMK720937 LWG720935:LWG720937 MGC720935:MGC720937 MPY720935:MPY720937 MZU720935:MZU720937 NJQ720935:NJQ720937 NTM720935:NTM720937 ODI720935:ODI720937 ONE720935:ONE720937 OXA720935:OXA720937 PGW720935:PGW720937 PQS720935:PQS720937 QAO720935:QAO720937 QKK720935:QKK720937 QUG720935:QUG720937 REC720935:REC720937 RNY720935:RNY720937 RXU720935:RXU720937 SHQ720935:SHQ720937 SRM720935:SRM720937 TBI720935:TBI720937 TLE720935:TLE720937 TVA720935:TVA720937 UEW720935:UEW720937 UOS720935:UOS720937 UYO720935:UYO720937 VIK720935:VIK720937 VSG720935:VSG720937 WCC720935:WCC720937 WLY720935:WLY720937 WVU720935:WVU720937 M786471:M786473 JI786471:JI786473 TE786471:TE786473 ADA786471:ADA786473 AMW786471:AMW786473 AWS786471:AWS786473 BGO786471:BGO786473 BQK786471:BQK786473 CAG786471:CAG786473 CKC786471:CKC786473 CTY786471:CTY786473 DDU786471:DDU786473 DNQ786471:DNQ786473 DXM786471:DXM786473 EHI786471:EHI786473 ERE786471:ERE786473 FBA786471:FBA786473 FKW786471:FKW786473 FUS786471:FUS786473 GEO786471:GEO786473 GOK786471:GOK786473 GYG786471:GYG786473 HIC786471:HIC786473 HRY786471:HRY786473 IBU786471:IBU786473 ILQ786471:ILQ786473 IVM786471:IVM786473 JFI786471:JFI786473 JPE786471:JPE786473 JZA786471:JZA786473 KIW786471:KIW786473 KSS786471:KSS786473 LCO786471:LCO786473 LMK786471:LMK786473 LWG786471:LWG786473 MGC786471:MGC786473 MPY786471:MPY786473 MZU786471:MZU786473 NJQ786471:NJQ786473 NTM786471:NTM786473 ODI786471:ODI786473 ONE786471:ONE786473 OXA786471:OXA786473 PGW786471:PGW786473 PQS786471:PQS786473 QAO786471:QAO786473 QKK786471:QKK786473 QUG786471:QUG786473 REC786471:REC786473 RNY786471:RNY786473 RXU786471:RXU786473 SHQ786471:SHQ786473 SRM786471:SRM786473 TBI786471:TBI786473 TLE786471:TLE786473 TVA786471:TVA786473 UEW786471:UEW786473 UOS786471:UOS786473 UYO786471:UYO786473 VIK786471:VIK786473 VSG786471:VSG786473 WCC786471:WCC786473 WLY786471:WLY786473 WVU786471:WVU786473 M852007:M852009 JI852007:JI852009 TE852007:TE852009 ADA852007:ADA852009 AMW852007:AMW852009 AWS852007:AWS852009 BGO852007:BGO852009 BQK852007:BQK852009 CAG852007:CAG852009 CKC852007:CKC852009 CTY852007:CTY852009 DDU852007:DDU852009 DNQ852007:DNQ852009 DXM852007:DXM852009 EHI852007:EHI852009 ERE852007:ERE852009 FBA852007:FBA852009 FKW852007:FKW852009 FUS852007:FUS852009 GEO852007:GEO852009 GOK852007:GOK852009 GYG852007:GYG852009 HIC852007:HIC852009 HRY852007:HRY852009 IBU852007:IBU852009 ILQ852007:ILQ852009 IVM852007:IVM852009 JFI852007:JFI852009 JPE852007:JPE852009 JZA852007:JZA852009 KIW852007:KIW852009 KSS852007:KSS852009 LCO852007:LCO852009 LMK852007:LMK852009 LWG852007:LWG852009 MGC852007:MGC852009 MPY852007:MPY852009 MZU852007:MZU852009 NJQ852007:NJQ852009 NTM852007:NTM852009 ODI852007:ODI852009 ONE852007:ONE852009 OXA852007:OXA852009 PGW852007:PGW852009 PQS852007:PQS852009 QAO852007:QAO852009 QKK852007:QKK852009 QUG852007:QUG852009 REC852007:REC852009 RNY852007:RNY852009 RXU852007:RXU852009 SHQ852007:SHQ852009 SRM852007:SRM852009 TBI852007:TBI852009 TLE852007:TLE852009 TVA852007:TVA852009 UEW852007:UEW852009 UOS852007:UOS852009 UYO852007:UYO852009 VIK852007:VIK852009 VSG852007:VSG852009 WCC852007:WCC852009 WLY852007:WLY852009 WVU852007:WVU852009 M917543:M917545 JI917543:JI917545 TE917543:TE917545 ADA917543:ADA917545 AMW917543:AMW917545 AWS917543:AWS917545 BGO917543:BGO917545 BQK917543:BQK917545 CAG917543:CAG917545 CKC917543:CKC917545 CTY917543:CTY917545 DDU917543:DDU917545 DNQ917543:DNQ917545 DXM917543:DXM917545 EHI917543:EHI917545 ERE917543:ERE917545 FBA917543:FBA917545 FKW917543:FKW917545 FUS917543:FUS917545 GEO917543:GEO917545 GOK917543:GOK917545 GYG917543:GYG917545 HIC917543:HIC917545 HRY917543:HRY917545 IBU917543:IBU917545 ILQ917543:ILQ917545 IVM917543:IVM917545 JFI917543:JFI917545 JPE917543:JPE917545 JZA917543:JZA917545 KIW917543:KIW917545 KSS917543:KSS917545 LCO917543:LCO917545 LMK917543:LMK917545 LWG917543:LWG917545 MGC917543:MGC917545 MPY917543:MPY917545 MZU917543:MZU917545 NJQ917543:NJQ917545 NTM917543:NTM917545 ODI917543:ODI917545 ONE917543:ONE917545 OXA917543:OXA917545 PGW917543:PGW917545 PQS917543:PQS917545 QAO917543:QAO917545 QKK917543:QKK917545 QUG917543:QUG917545 REC917543:REC917545 RNY917543:RNY917545 RXU917543:RXU917545 SHQ917543:SHQ917545 SRM917543:SRM917545 TBI917543:TBI917545 TLE917543:TLE917545 TVA917543:TVA917545 UEW917543:UEW917545 UOS917543:UOS917545 UYO917543:UYO917545 VIK917543:VIK917545 VSG917543:VSG917545 WCC917543:WCC917545 WLY917543:WLY917545 WVU917543:WVU917545 M983079:M983081 JI983079:JI983081 TE983079:TE983081 ADA983079:ADA983081 AMW983079:AMW983081 AWS983079:AWS983081 BGO983079:BGO983081 BQK983079:BQK983081 CAG983079:CAG983081 CKC983079:CKC983081 CTY983079:CTY983081 DDU983079:DDU983081 DNQ983079:DNQ983081 DXM983079:DXM983081 EHI983079:EHI983081 ERE983079:ERE983081 FBA983079:FBA983081 FKW983079:FKW983081 FUS983079:FUS983081 GEO983079:GEO983081 GOK983079:GOK983081 GYG983079:GYG983081 HIC983079:HIC983081 HRY983079:HRY983081 IBU983079:IBU983081 ILQ983079:ILQ983081 IVM983079:IVM983081 JFI983079:JFI983081 JPE983079:JPE983081 JZA983079:JZA983081 KIW983079:KIW983081 KSS983079:KSS983081 LCO983079:LCO983081 LMK983079:LMK983081 LWG983079:LWG983081 MGC983079:MGC983081 MPY983079:MPY983081 MZU983079:MZU983081 NJQ983079:NJQ983081 NTM983079:NTM983081 ODI983079:ODI983081 ONE983079:ONE983081 OXA983079:OXA983081 PGW983079:PGW983081 PQS983079:PQS983081 QAO983079:QAO983081 QKK983079:QKK983081 QUG983079:QUG983081 REC983079:REC983081 RNY983079:RNY983081 RXU983079:RXU983081 SHQ983079:SHQ983081 SRM983079:SRM983081 TBI983079:TBI983081 TLE983079:TLE983081 TVA983079:TVA983081 UEW983079:UEW983081 UOS983079:UOS983081 UYO983079:UYO983081 VIK983079:VIK983081 VSG983079:VSG983081 WCC983079:WCC983081 WLY983079:WLY983081 WVU983079:WVU983081 W39 JS39 TO39 ADK39 ANG39 AXC39 BGY39 BQU39 CAQ39 CKM39 CUI39 DEE39 DOA39 DXW39 EHS39 ERO39 FBK39 FLG39 FVC39 GEY39 GOU39 GYQ39 HIM39 HSI39 ICE39 IMA39 IVW39 JFS39 JPO39 JZK39 KJG39 KTC39 LCY39 LMU39 LWQ39 MGM39 MQI39 NAE39 NKA39 NTW39 ODS39 ONO39 OXK39 PHG39 PRC39 QAY39 QKU39 QUQ39 REM39 ROI39 RYE39 SIA39 SRW39 TBS39 TLO39 TVK39 UFG39 UPC39 UYY39 VIU39 VSQ39 WCM39 WMI39 WWE39 W65575 JS65575 TO65575 ADK65575 ANG65575 AXC65575 BGY65575 BQU65575 CAQ65575 CKM65575 CUI65575 DEE65575 DOA65575 DXW65575 EHS65575 ERO65575 FBK65575 FLG65575 FVC65575 GEY65575 GOU65575 GYQ65575 HIM65575 HSI65575 ICE65575 IMA65575 IVW65575 JFS65575 JPO65575 JZK65575 KJG65575 KTC65575 LCY65575 LMU65575 LWQ65575 MGM65575 MQI65575 NAE65575 NKA65575 NTW65575 ODS65575 ONO65575 OXK65575 PHG65575 PRC65575 QAY65575 QKU65575 QUQ65575 REM65575 ROI65575 RYE65575 SIA65575 SRW65575 TBS65575 TLO65575 TVK65575 UFG65575 UPC65575 UYY65575 VIU65575 VSQ65575 WCM65575 WMI65575 WWE65575 W131111 JS131111 TO131111 ADK131111 ANG131111 AXC131111 BGY131111 BQU131111 CAQ131111 CKM131111 CUI131111 DEE131111 DOA131111 DXW131111 EHS131111 ERO131111 FBK131111 FLG131111 FVC131111 GEY131111 GOU131111 GYQ131111 HIM131111 HSI131111 ICE131111 IMA131111 IVW131111 JFS131111 JPO131111 JZK131111 KJG131111 KTC131111 LCY131111 LMU131111 LWQ131111 MGM131111 MQI131111 NAE131111 NKA131111 NTW131111 ODS131111 ONO131111 OXK131111 PHG131111 PRC131111 QAY131111 QKU131111 QUQ131111 REM131111 ROI131111 RYE131111 SIA131111 SRW131111 TBS131111 TLO131111 TVK131111 UFG131111 UPC131111 UYY131111 VIU131111 VSQ131111 WCM131111 WMI131111 WWE131111 W196647 JS196647 TO196647 ADK196647 ANG196647 AXC196647 BGY196647 BQU196647 CAQ196647 CKM196647 CUI196647 DEE196647 DOA196647 DXW196647 EHS196647 ERO196647 FBK196647 FLG196647 FVC196647 GEY196647 GOU196647 GYQ196647 HIM196647 HSI196647 ICE196647 IMA196647 IVW196647 JFS196647 JPO196647 JZK196647 KJG196647 KTC196647 LCY196647 LMU196647 LWQ196647 MGM196647 MQI196647 NAE196647 NKA196647 NTW196647 ODS196647 ONO196647 OXK196647 PHG196647 PRC196647 QAY196647 QKU196647 QUQ196647 REM196647 ROI196647 RYE196647 SIA196647 SRW196647 TBS196647 TLO196647 TVK196647 UFG196647 UPC196647 UYY196647 VIU196647 VSQ196647 WCM196647 WMI196647 WWE196647 W262183 JS262183 TO262183 ADK262183 ANG262183 AXC262183 BGY262183 BQU262183 CAQ262183 CKM262183 CUI262183 DEE262183 DOA262183 DXW262183 EHS262183 ERO262183 FBK262183 FLG262183 FVC262183 GEY262183 GOU262183 GYQ262183 HIM262183 HSI262183 ICE262183 IMA262183 IVW262183 JFS262183 JPO262183 JZK262183 KJG262183 KTC262183 LCY262183 LMU262183 LWQ262183 MGM262183 MQI262183 NAE262183 NKA262183 NTW262183 ODS262183 ONO262183 OXK262183 PHG262183 PRC262183 QAY262183 QKU262183 QUQ262183 REM262183 ROI262183 RYE262183 SIA262183 SRW262183 TBS262183 TLO262183 TVK262183 UFG262183 UPC262183 UYY262183 VIU262183 VSQ262183 WCM262183 WMI262183 WWE262183 W327719 JS327719 TO327719 ADK327719 ANG327719 AXC327719 BGY327719 BQU327719 CAQ327719 CKM327719 CUI327719 DEE327719 DOA327719 DXW327719 EHS327719 ERO327719 FBK327719 FLG327719 FVC327719 GEY327719 GOU327719 GYQ327719 HIM327719 HSI327719 ICE327719 IMA327719 IVW327719 JFS327719 JPO327719 JZK327719 KJG327719 KTC327719 LCY327719 LMU327719 LWQ327719 MGM327719 MQI327719 NAE327719 NKA327719 NTW327719 ODS327719 ONO327719 OXK327719 PHG327719 PRC327719 QAY327719 QKU327719 QUQ327719 REM327719 ROI327719 RYE327719 SIA327719 SRW327719 TBS327719 TLO327719 TVK327719 UFG327719 UPC327719 UYY327719 VIU327719 VSQ327719 WCM327719 WMI327719 WWE327719 W393255 JS393255 TO393255 ADK393255 ANG393255 AXC393255 BGY393255 BQU393255 CAQ393255 CKM393255 CUI393255 DEE393255 DOA393255 DXW393255 EHS393255 ERO393255 FBK393255 FLG393255 FVC393255 GEY393255 GOU393255 GYQ393255 HIM393255 HSI393255 ICE393255 IMA393255 IVW393255 JFS393255 JPO393255 JZK393255 KJG393255 KTC393255 LCY393255 LMU393255 LWQ393255 MGM393255 MQI393255 NAE393255 NKA393255 NTW393255 ODS393255 ONO393255 OXK393255 PHG393255 PRC393255 QAY393255 QKU393255 QUQ393255 REM393255 ROI393255 RYE393255 SIA393255 SRW393255 TBS393255 TLO393255 TVK393255 UFG393255 UPC393255 UYY393255 VIU393255 VSQ393255 WCM393255 WMI393255 WWE393255 W458791 JS458791 TO458791 ADK458791 ANG458791 AXC458791 BGY458791 BQU458791 CAQ458791 CKM458791 CUI458791 DEE458791 DOA458791 DXW458791 EHS458791 ERO458791 FBK458791 FLG458791 FVC458791 GEY458791 GOU458791 GYQ458791 HIM458791 HSI458791 ICE458791 IMA458791 IVW458791 JFS458791 JPO458791 JZK458791 KJG458791 KTC458791 LCY458791 LMU458791 LWQ458791 MGM458791 MQI458791 NAE458791 NKA458791 NTW458791 ODS458791 ONO458791 OXK458791 PHG458791 PRC458791 QAY458791 QKU458791 QUQ458791 REM458791 ROI458791 RYE458791 SIA458791 SRW458791 TBS458791 TLO458791 TVK458791 UFG458791 UPC458791 UYY458791 VIU458791 VSQ458791 WCM458791 WMI458791 WWE458791 W524327 JS524327 TO524327 ADK524327 ANG524327 AXC524327 BGY524327 BQU524327 CAQ524327 CKM524327 CUI524327 DEE524327 DOA524327 DXW524327 EHS524327 ERO524327 FBK524327 FLG524327 FVC524327 GEY524327 GOU524327 GYQ524327 HIM524327 HSI524327 ICE524327 IMA524327 IVW524327 JFS524327 JPO524327 JZK524327 KJG524327 KTC524327 LCY524327 LMU524327 LWQ524327 MGM524327 MQI524327 NAE524327 NKA524327 NTW524327 ODS524327 ONO524327 OXK524327 PHG524327 PRC524327 QAY524327 QKU524327 QUQ524327 REM524327 ROI524327 RYE524327 SIA524327 SRW524327 TBS524327 TLO524327 TVK524327 UFG524327 UPC524327 UYY524327 VIU524327 VSQ524327 WCM524327 WMI524327 WWE524327 W589863 JS589863 TO589863 ADK589863 ANG589863 AXC589863 BGY589863 BQU589863 CAQ589863 CKM589863 CUI589863 DEE589863 DOA589863 DXW589863 EHS589863 ERO589863 FBK589863 FLG589863 FVC589863 GEY589863 GOU589863 GYQ589863 HIM589863 HSI589863 ICE589863 IMA589863 IVW589863 JFS589863 JPO589863 JZK589863 KJG589863 KTC589863 LCY589863 LMU589863 LWQ589863 MGM589863 MQI589863 NAE589863 NKA589863 NTW589863 ODS589863 ONO589863 OXK589863 PHG589863 PRC589863 QAY589863 QKU589863 QUQ589863 REM589863 ROI589863 RYE589863 SIA589863 SRW589863 TBS589863 TLO589863 TVK589863 UFG589863 UPC589863 UYY589863 VIU589863 VSQ589863 WCM589863 WMI589863 WWE589863 W655399 JS655399 TO655399 ADK655399 ANG655399 AXC655399 BGY655399 BQU655399 CAQ655399 CKM655399 CUI655399 DEE655399 DOA655399 DXW655399 EHS655399 ERO655399 FBK655399 FLG655399 FVC655399 GEY655399 GOU655399 GYQ655399 HIM655399 HSI655399 ICE655399 IMA655399 IVW655399 JFS655399 JPO655399 JZK655399 KJG655399 KTC655399 LCY655399 LMU655399 LWQ655399 MGM655399 MQI655399 NAE655399 NKA655399 NTW655399 ODS655399 ONO655399 OXK655399 PHG655399 PRC655399 QAY655399 QKU655399 QUQ655399 REM655399 ROI655399 RYE655399 SIA655399 SRW655399 TBS655399 TLO655399 TVK655399 UFG655399 UPC655399 UYY655399 VIU655399 VSQ655399 WCM655399 WMI655399 WWE655399 W720935 JS720935 TO720935 ADK720935 ANG720935 AXC720935 BGY720935 BQU720935 CAQ720935 CKM720935 CUI720935 DEE720935 DOA720935 DXW720935 EHS720935 ERO720935 FBK720935 FLG720935 FVC720935 GEY720935 GOU720935 GYQ720935 HIM720935 HSI720935 ICE720935 IMA720935 IVW720935 JFS720935 JPO720935 JZK720935 KJG720935 KTC720935 LCY720935 LMU720935 LWQ720935 MGM720935 MQI720935 NAE720935 NKA720935 NTW720935 ODS720935 ONO720935 OXK720935 PHG720935 PRC720935 QAY720935 QKU720935 QUQ720935 REM720935 ROI720935 RYE720935 SIA720935 SRW720935 TBS720935 TLO720935 TVK720935 UFG720935 UPC720935 UYY720935 VIU720935 VSQ720935 WCM720935 WMI720935 WWE720935 W786471 JS786471 TO786471 ADK786471 ANG786471 AXC786471 BGY786471 BQU786471 CAQ786471 CKM786471 CUI786471 DEE786471 DOA786471 DXW786471 EHS786471 ERO786471 FBK786471 FLG786471 FVC786471 GEY786471 GOU786471 GYQ786471 HIM786471 HSI786471 ICE786471 IMA786471 IVW786471 JFS786471 JPO786471 JZK786471 KJG786471 KTC786471 LCY786471 LMU786471 LWQ786471 MGM786471 MQI786471 NAE786471 NKA786471 NTW786471 ODS786471 ONO786471 OXK786471 PHG786471 PRC786471 QAY786471 QKU786471 QUQ786471 REM786471 ROI786471 RYE786471 SIA786471 SRW786471 TBS786471 TLO786471 TVK786471 UFG786471 UPC786471 UYY786471 VIU786471 VSQ786471 WCM786471 WMI786471 WWE786471 W852007 JS852007 TO852007 ADK852007 ANG852007 AXC852007 BGY852007 BQU852007 CAQ852007 CKM852007 CUI852007 DEE852007 DOA852007 DXW852007 EHS852007 ERO852007 FBK852007 FLG852007 FVC852007 GEY852007 GOU852007 GYQ852007 HIM852007 HSI852007 ICE852007 IMA852007 IVW852007 JFS852007 JPO852007 JZK852007 KJG852007 KTC852007 LCY852007 LMU852007 LWQ852007 MGM852007 MQI852007 NAE852007 NKA852007 NTW852007 ODS852007 ONO852007 OXK852007 PHG852007 PRC852007 QAY852007 QKU852007 QUQ852007 REM852007 ROI852007 RYE852007 SIA852007 SRW852007 TBS852007 TLO852007 TVK852007 UFG852007 UPC852007 UYY852007 VIU852007 VSQ852007 WCM852007 WMI852007 WWE852007 W917543 JS917543 TO917543 ADK917543 ANG917543 AXC917543 BGY917543 BQU917543 CAQ917543 CKM917543 CUI917543 DEE917543 DOA917543 DXW917543 EHS917543 ERO917543 FBK917543 FLG917543 FVC917543 GEY917543 GOU917543 GYQ917543 HIM917543 HSI917543 ICE917543 IMA917543 IVW917543 JFS917543 JPO917543 JZK917543 KJG917543 KTC917543 LCY917543 LMU917543 LWQ917543 MGM917543 MQI917543 NAE917543 NKA917543 NTW917543 ODS917543 ONO917543 OXK917543 PHG917543 PRC917543 QAY917543 QKU917543 QUQ917543 REM917543 ROI917543 RYE917543 SIA917543 SRW917543 TBS917543 TLO917543 TVK917543 UFG917543 UPC917543 UYY917543 VIU917543 VSQ917543 WCM917543 WMI917543 WWE917543 W983079 JS983079 TO983079 ADK983079 ANG983079 AXC983079 BGY983079 BQU983079 CAQ983079 CKM983079 CUI983079 DEE983079 DOA983079 DXW983079 EHS983079 ERO983079 FBK983079 FLG983079 FVC983079 GEY983079 GOU983079 GYQ983079 HIM983079 HSI983079 ICE983079 IMA983079 IVW983079 JFS983079 JPO983079 JZK983079 KJG983079 KTC983079 LCY983079 LMU983079 LWQ983079 MGM983079 MQI983079 NAE983079 NKA983079 NTW983079 ODS983079 ONO983079 OXK983079 PHG983079 PRC983079 QAY983079 QKU983079 QUQ983079 REM983079 ROI983079 RYE983079 SIA983079 SRW983079 TBS983079 TLO983079 TVK983079 UFG983079 UPC983079 UYY983079 VIU983079 VSQ983079 WCM983079 WMI983079 WWE983079 T12 JP12 TL12 ADH12 AND12 AWZ12 BGV12 BQR12 CAN12 CKJ12 CUF12 DEB12 DNX12 DXT12 EHP12 ERL12 FBH12 FLD12 FUZ12 GEV12 GOR12 GYN12 HIJ12 HSF12 ICB12 ILX12 IVT12 JFP12 JPL12 JZH12 KJD12 KSZ12 LCV12 LMR12 LWN12 MGJ12 MQF12 NAB12 NJX12 NTT12 ODP12 ONL12 OXH12 PHD12 PQZ12 QAV12 QKR12 QUN12 REJ12 ROF12 RYB12 SHX12 SRT12 TBP12 TLL12 TVH12 UFD12 UOZ12 UYV12 VIR12 VSN12 WCJ12 WMF12 WWB12 T65548 JP65548 TL65548 ADH65548 AND65548 AWZ65548 BGV65548 BQR65548 CAN65548 CKJ65548 CUF65548 DEB65548 DNX65548 DXT65548 EHP65548 ERL65548 FBH65548 FLD65548 FUZ65548 GEV65548 GOR65548 GYN65548 HIJ65548 HSF65548 ICB65548 ILX65548 IVT65548 JFP65548 JPL65548 JZH65548 KJD65548 KSZ65548 LCV65548 LMR65548 LWN65548 MGJ65548 MQF65548 NAB65548 NJX65548 NTT65548 ODP65548 ONL65548 OXH65548 PHD65548 PQZ65548 QAV65548 QKR65548 QUN65548 REJ65548 ROF65548 RYB65548 SHX65548 SRT65548 TBP65548 TLL65548 TVH65548 UFD65548 UOZ65548 UYV65548 VIR65548 VSN65548 WCJ65548 WMF65548 WWB65548 T131084 JP131084 TL131084 ADH131084 AND131084 AWZ131084 BGV131084 BQR131084 CAN131084 CKJ131084 CUF131084 DEB131084 DNX131084 DXT131084 EHP131084 ERL131084 FBH131084 FLD131084 FUZ131084 GEV131084 GOR131084 GYN131084 HIJ131084 HSF131084 ICB131084 ILX131084 IVT131084 JFP131084 JPL131084 JZH131084 KJD131084 KSZ131084 LCV131084 LMR131084 LWN131084 MGJ131084 MQF131084 NAB131084 NJX131084 NTT131084 ODP131084 ONL131084 OXH131084 PHD131084 PQZ131084 QAV131084 QKR131084 QUN131084 REJ131084 ROF131084 RYB131084 SHX131084 SRT131084 TBP131084 TLL131084 TVH131084 UFD131084 UOZ131084 UYV131084 VIR131084 VSN131084 WCJ131084 WMF131084 WWB131084 T196620 JP196620 TL196620 ADH196620 AND196620 AWZ196620 BGV196620 BQR196620 CAN196620 CKJ196620 CUF196620 DEB196620 DNX196620 DXT196620 EHP196620 ERL196620 FBH196620 FLD196620 FUZ196620 GEV196620 GOR196620 GYN196620 HIJ196620 HSF196620 ICB196620 ILX196620 IVT196620 JFP196620 JPL196620 JZH196620 KJD196620 KSZ196620 LCV196620 LMR196620 LWN196620 MGJ196620 MQF196620 NAB196620 NJX196620 NTT196620 ODP196620 ONL196620 OXH196620 PHD196620 PQZ196620 QAV196620 QKR196620 QUN196620 REJ196620 ROF196620 RYB196620 SHX196620 SRT196620 TBP196620 TLL196620 TVH196620 UFD196620 UOZ196620 UYV196620 VIR196620 VSN196620 WCJ196620 WMF196620 WWB196620 T262156 JP262156 TL262156 ADH262156 AND262156 AWZ262156 BGV262156 BQR262156 CAN262156 CKJ262156 CUF262156 DEB262156 DNX262156 DXT262156 EHP262156 ERL262156 FBH262156 FLD262156 FUZ262156 GEV262156 GOR262156 GYN262156 HIJ262156 HSF262156 ICB262156 ILX262156 IVT262156 JFP262156 JPL262156 JZH262156 KJD262156 KSZ262156 LCV262156 LMR262156 LWN262156 MGJ262156 MQF262156 NAB262156 NJX262156 NTT262156 ODP262156 ONL262156 OXH262156 PHD262156 PQZ262156 QAV262156 QKR262156 QUN262156 REJ262156 ROF262156 RYB262156 SHX262156 SRT262156 TBP262156 TLL262156 TVH262156 UFD262156 UOZ262156 UYV262156 VIR262156 VSN262156 WCJ262156 WMF262156 WWB262156 T327692 JP327692 TL327692 ADH327692 AND327692 AWZ327692 BGV327692 BQR327692 CAN327692 CKJ327692 CUF327692 DEB327692 DNX327692 DXT327692 EHP327692 ERL327692 FBH327692 FLD327692 FUZ327692 GEV327692 GOR327692 GYN327692 HIJ327692 HSF327692 ICB327692 ILX327692 IVT327692 JFP327692 JPL327692 JZH327692 KJD327692 KSZ327692 LCV327692 LMR327692 LWN327692 MGJ327692 MQF327692 NAB327692 NJX327692 NTT327692 ODP327692 ONL327692 OXH327692 PHD327692 PQZ327692 QAV327692 QKR327692 QUN327692 REJ327692 ROF327692 RYB327692 SHX327692 SRT327692 TBP327692 TLL327692 TVH327692 UFD327692 UOZ327692 UYV327692 VIR327692 VSN327692 WCJ327692 WMF327692 WWB327692 T393228 JP393228 TL393228 ADH393228 AND393228 AWZ393228 BGV393228 BQR393228 CAN393228 CKJ393228 CUF393228 DEB393228 DNX393228 DXT393228 EHP393228 ERL393228 FBH393228 FLD393228 FUZ393228 GEV393228 GOR393228 GYN393228 HIJ393228 HSF393228 ICB393228 ILX393228 IVT393228 JFP393228 JPL393228 JZH393228 KJD393228 KSZ393228 LCV393228 LMR393228 LWN393228 MGJ393228 MQF393228 NAB393228 NJX393228 NTT393228 ODP393228 ONL393228 OXH393228 PHD393228 PQZ393228 QAV393228 QKR393228 QUN393228 REJ393228 ROF393228 RYB393228 SHX393228 SRT393228 TBP393228 TLL393228 TVH393228 UFD393228 UOZ393228 UYV393228 VIR393228 VSN393228 WCJ393228 WMF393228 WWB393228 T458764 JP458764 TL458764 ADH458764 AND458764 AWZ458764 BGV458764 BQR458764 CAN458764 CKJ458764 CUF458764 DEB458764 DNX458764 DXT458764 EHP458764 ERL458764 FBH458764 FLD458764 FUZ458764 GEV458764 GOR458764 GYN458764 HIJ458764 HSF458764 ICB458764 ILX458764 IVT458764 JFP458764 JPL458764 JZH458764 KJD458764 KSZ458764 LCV458764 LMR458764 LWN458764 MGJ458764 MQF458764 NAB458764 NJX458764 NTT458764 ODP458764 ONL458764 OXH458764 PHD458764 PQZ458764 QAV458764 QKR458764 QUN458764 REJ458764 ROF458764 RYB458764 SHX458764 SRT458764 TBP458764 TLL458764 TVH458764 UFD458764 UOZ458764 UYV458764 VIR458764 VSN458764 WCJ458764 WMF458764 WWB458764 T524300 JP524300 TL524300 ADH524300 AND524300 AWZ524300 BGV524300 BQR524300 CAN524300 CKJ524300 CUF524300 DEB524300 DNX524300 DXT524300 EHP524300 ERL524300 FBH524300 FLD524300 FUZ524300 GEV524300 GOR524300 GYN524300 HIJ524300 HSF524300 ICB524300 ILX524300 IVT524300 JFP524300 JPL524300 JZH524300 KJD524300 KSZ524300 LCV524300 LMR524300 LWN524300 MGJ524300 MQF524300 NAB524300 NJX524300 NTT524300 ODP524300 ONL524300 OXH524300 PHD524300 PQZ524300 QAV524300 QKR524300 QUN524300 REJ524300 ROF524300 RYB524300 SHX524300 SRT524300 TBP524300 TLL524300 TVH524300 UFD524300 UOZ524300 UYV524300 VIR524300 VSN524300 WCJ524300 WMF524300 WWB524300 T589836 JP589836 TL589836 ADH589836 AND589836 AWZ589836 BGV589836 BQR589836 CAN589836 CKJ589836 CUF589836 DEB589836 DNX589836 DXT589836 EHP589836 ERL589836 FBH589836 FLD589836 FUZ589836 GEV589836 GOR589836 GYN589836 HIJ589836 HSF589836 ICB589836 ILX589836 IVT589836 JFP589836 JPL589836 JZH589836 KJD589836 KSZ589836 LCV589836 LMR589836 LWN589836 MGJ589836 MQF589836 NAB589836 NJX589836 NTT589836 ODP589836 ONL589836 OXH589836 PHD589836 PQZ589836 QAV589836 QKR589836 QUN589836 REJ589836 ROF589836 RYB589836 SHX589836 SRT589836 TBP589836 TLL589836 TVH589836 UFD589836 UOZ589836 UYV589836 VIR589836 VSN589836 WCJ589836 WMF589836 WWB589836 T655372 JP655372 TL655372 ADH655372 AND655372 AWZ655372 BGV655372 BQR655372 CAN655372 CKJ655372 CUF655372 DEB655372 DNX655372 DXT655372 EHP655372 ERL655372 FBH655372 FLD655372 FUZ655372 GEV655372 GOR655372 GYN655372 HIJ655372 HSF655372 ICB655372 ILX655372 IVT655372 JFP655372 JPL655372 JZH655372 KJD655372 KSZ655372 LCV655372 LMR655372 LWN655372 MGJ655372 MQF655372 NAB655372 NJX655372 NTT655372 ODP655372 ONL655372 OXH655372 PHD655372 PQZ655372 QAV655372 QKR655372 QUN655372 REJ655372 ROF655372 RYB655372 SHX655372 SRT655372 TBP655372 TLL655372 TVH655372 UFD655372 UOZ655372 UYV655372 VIR655372 VSN655372 WCJ655372 WMF655372 WWB655372 T720908 JP720908 TL720908 ADH720908 AND720908 AWZ720908 BGV720908 BQR720908 CAN720908 CKJ720908 CUF720908 DEB720908 DNX720908 DXT720908 EHP720908 ERL720908 FBH720908 FLD720908 FUZ720908 GEV720908 GOR720908 GYN720908 HIJ720908 HSF720908 ICB720908 ILX720908 IVT720908 JFP720908 JPL720908 JZH720908 KJD720908 KSZ720908 LCV720908 LMR720908 LWN720908 MGJ720908 MQF720908 NAB720908 NJX720908 NTT720908 ODP720908 ONL720908 OXH720908 PHD720908 PQZ720908 QAV720908 QKR720908 QUN720908 REJ720908 ROF720908 RYB720908 SHX720908 SRT720908 TBP720908 TLL720908 TVH720908 UFD720908 UOZ720908 UYV720908 VIR720908 VSN720908 WCJ720908 WMF720908 WWB720908 T786444 JP786444 TL786444 ADH786444 AND786444 AWZ786444 BGV786444 BQR786444 CAN786444 CKJ786444 CUF786444 DEB786444 DNX786444 DXT786444 EHP786444 ERL786444 FBH786444 FLD786444 FUZ786444 GEV786444 GOR786444 GYN786444 HIJ786444 HSF786444 ICB786444 ILX786444 IVT786444 JFP786444 JPL786444 JZH786444 KJD786444 KSZ786444 LCV786444 LMR786444 LWN786444 MGJ786444 MQF786444 NAB786444 NJX786444 NTT786444 ODP786444 ONL786444 OXH786444 PHD786444 PQZ786444 QAV786444 QKR786444 QUN786444 REJ786444 ROF786444 RYB786444 SHX786444 SRT786444 TBP786444 TLL786444 TVH786444 UFD786444 UOZ786444 UYV786444 VIR786444 VSN786444 WCJ786444 WMF786444 WWB786444 T851980 JP851980 TL851980 ADH851980 AND851980 AWZ851980 BGV851980 BQR851980 CAN851980 CKJ851980 CUF851980 DEB851980 DNX851980 DXT851980 EHP851980 ERL851980 FBH851980 FLD851980 FUZ851980 GEV851980 GOR851980 GYN851980 HIJ851980 HSF851980 ICB851980 ILX851980 IVT851980 JFP851980 JPL851980 JZH851980 KJD851980 KSZ851980 LCV851980 LMR851980 LWN851980 MGJ851980 MQF851980 NAB851980 NJX851980 NTT851980 ODP851980 ONL851980 OXH851980 PHD851980 PQZ851980 QAV851980 QKR851980 QUN851980 REJ851980 ROF851980 RYB851980 SHX851980 SRT851980 TBP851980 TLL851980 TVH851980 UFD851980 UOZ851980 UYV851980 VIR851980 VSN851980 WCJ851980 WMF851980 WWB851980 T917516 JP917516 TL917516 ADH917516 AND917516 AWZ917516 BGV917516 BQR917516 CAN917516 CKJ917516 CUF917516 DEB917516 DNX917516 DXT917516 EHP917516 ERL917516 FBH917516 FLD917516 FUZ917516 GEV917516 GOR917516 GYN917516 HIJ917516 HSF917516 ICB917516 ILX917516 IVT917516 JFP917516 JPL917516 JZH917516 KJD917516 KSZ917516 LCV917516 LMR917516 LWN917516 MGJ917516 MQF917516 NAB917516 NJX917516 NTT917516 ODP917516 ONL917516 OXH917516 PHD917516 PQZ917516 QAV917516 QKR917516 QUN917516 REJ917516 ROF917516 RYB917516 SHX917516 SRT917516 TBP917516 TLL917516 TVH917516 UFD917516 UOZ917516 UYV917516 VIR917516 VSN917516 WCJ917516 WMF917516 WWB917516 T983052 JP983052 TL983052 ADH983052 AND983052 AWZ983052 BGV983052 BQR983052 CAN983052 CKJ983052 CUF983052 DEB983052 DNX983052 DXT983052 EHP983052 ERL983052 FBH983052 FLD983052 FUZ983052 GEV983052 GOR983052 GYN983052 HIJ983052 HSF983052 ICB983052 ILX983052 IVT983052 JFP983052 JPL983052 JZH983052 KJD983052 KSZ983052 LCV983052 LMR983052 LWN983052 MGJ983052 MQF983052 NAB983052 NJX983052 NTT983052 ODP983052 ONL983052 OXH983052 PHD983052 PQZ983052 QAV983052 QKR983052 QUN983052 REJ983052 ROF983052 RYB983052 SHX983052 SRT983052 TBP983052 TLL983052 TVH983052 UFD983052 UOZ983052 UYV983052 VIR983052 VSN983052 WCJ983052 WMF983052 WWB983052 Y40:Y41 JU40:JU41 TQ40:TQ41 ADM40:ADM41 ANI40:ANI41 AXE40:AXE41 BHA40:BHA41 BQW40:BQW41 CAS40:CAS41 CKO40:CKO41 CUK40:CUK41 DEG40:DEG41 DOC40:DOC41 DXY40:DXY41 EHU40:EHU41 ERQ40:ERQ41 FBM40:FBM41 FLI40:FLI41 FVE40:FVE41 GFA40:GFA41 GOW40:GOW41 GYS40:GYS41 HIO40:HIO41 HSK40:HSK41 ICG40:ICG41 IMC40:IMC41 IVY40:IVY41 JFU40:JFU41 JPQ40:JPQ41 JZM40:JZM41 KJI40:KJI41 KTE40:KTE41 LDA40:LDA41 LMW40:LMW41 LWS40:LWS41 MGO40:MGO41 MQK40:MQK41 NAG40:NAG41 NKC40:NKC41 NTY40:NTY41 ODU40:ODU41 ONQ40:ONQ41 OXM40:OXM41 PHI40:PHI41 PRE40:PRE41 QBA40:QBA41 QKW40:QKW41 QUS40:QUS41 REO40:REO41 ROK40:ROK41 RYG40:RYG41 SIC40:SIC41 SRY40:SRY41 TBU40:TBU41 TLQ40:TLQ41 TVM40:TVM41 UFI40:UFI41 UPE40:UPE41 UZA40:UZA41 VIW40:VIW41 VSS40:VSS41 WCO40:WCO41 WMK40:WMK41 WWG40:WWG41 Y65576:Y65577 JU65576:JU65577 TQ65576:TQ65577 ADM65576:ADM65577 ANI65576:ANI65577 AXE65576:AXE65577 BHA65576:BHA65577 BQW65576:BQW65577 CAS65576:CAS65577 CKO65576:CKO65577 CUK65576:CUK65577 DEG65576:DEG65577 DOC65576:DOC65577 DXY65576:DXY65577 EHU65576:EHU65577 ERQ65576:ERQ65577 FBM65576:FBM65577 FLI65576:FLI65577 FVE65576:FVE65577 GFA65576:GFA65577 GOW65576:GOW65577 GYS65576:GYS65577 HIO65576:HIO65577 HSK65576:HSK65577 ICG65576:ICG65577 IMC65576:IMC65577 IVY65576:IVY65577 JFU65576:JFU65577 JPQ65576:JPQ65577 JZM65576:JZM65577 KJI65576:KJI65577 KTE65576:KTE65577 LDA65576:LDA65577 LMW65576:LMW65577 LWS65576:LWS65577 MGO65576:MGO65577 MQK65576:MQK65577 NAG65576:NAG65577 NKC65576:NKC65577 NTY65576:NTY65577 ODU65576:ODU65577 ONQ65576:ONQ65577 OXM65576:OXM65577 PHI65576:PHI65577 PRE65576:PRE65577 QBA65576:QBA65577 QKW65576:QKW65577 QUS65576:QUS65577 REO65576:REO65577 ROK65576:ROK65577 RYG65576:RYG65577 SIC65576:SIC65577 SRY65576:SRY65577 TBU65576:TBU65577 TLQ65576:TLQ65577 TVM65576:TVM65577 UFI65576:UFI65577 UPE65576:UPE65577 UZA65576:UZA65577 VIW65576:VIW65577 VSS65576:VSS65577 WCO65576:WCO65577 WMK65576:WMK65577 WWG65576:WWG65577 Y131112:Y131113 JU131112:JU131113 TQ131112:TQ131113 ADM131112:ADM131113 ANI131112:ANI131113 AXE131112:AXE131113 BHA131112:BHA131113 BQW131112:BQW131113 CAS131112:CAS131113 CKO131112:CKO131113 CUK131112:CUK131113 DEG131112:DEG131113 DOC131112:DOC131113 DXY131112:DXY131113 EHU131112:EHU131113 ERQ131112:ERQ131113 FBM131112:FBM131113 FLI131112:FLI131113 FVE131112:FVE131113 GFA131112:GFA131113 GOW131112:GOW131113 GYS131112:GYS131113 HIO131112:HIO131113 HSK131112:HSK131113 ICG131112:ICG131113 IMC131112:IMC131113 IVY131112:IVY131113 JFU131112:JFU131113 JPQ131112:JPQ131113 JZM131112:JZM131113 KJI131112:KJI131113 KTE131112:KTE131113 LDA131112:LDA131113 LMW131112:LMW131113 LWS131112:LWS131113 MGO131112:MGO131113 MQK131112:MQK131113 NAG131112:NAG131113 NKC131112:NKC131113 NTY131112:NTY131113 ODU131112:ODU131113 ONQ131112:ONQ131113 OXM131112:OXM131113 PHI131112:PHI131113 PRE131112:PRE131113 QBA131112:QBA131113 QKW131112:QKW131113 QUS131112:QUS131113 REO131112:REO131113 ROK131112:ROK131113 RYG131112:RYG131113 SIC131112:SIC131113 SRY131112:SRY131113 TBU131112:TBU131113 TLQ131112:TLQ131113 TVM131112:TVM131113 UFI131112:UFI131113 UPE131112:UPE131113 UZA131112:UZA131113 VIW131112:VIW131113 VSS131112:VSS131113 WCO131112:WCO131113 WMK131112:WMK131113 WWG131112:WWG131113 Y196648:Y196649 JU196648:JU196649 TQ196648:TQ196649 ADM196648:ADM196649 ANI196648:ANI196649 AXE196648:AXE196649 BHA196648:BHA196649 BQW196648:BQW196649 CAS196648:CAS196649 CKO196648:CKO196649 CUK196648:CUK196649 DEG196648:DEG196649 DOC196648:DOC196649 DXY196648:DXY196649 EHU196648:EHU196649 ERQ196648:ERQ196649 FBM196648:FBM196649 FLI196648:FLI196649 FVE196648:FVE196649 GFA196648:GFA196649 GOW196648:GOW196649 GYS196648:GYS196649 HIO196648:HIO196649 HSK196648:HSK196649 ICG196648:ICG196649 IMC196648:IMC196649 IVY196648:IVY196649 JFU196648:JFU196649 JPQ196648:JPQ196649 JZM196648:JZM196649 KJI196648:KJI196649 KTE196648:KTE196649 LDA196648:LDA196649 LMW196648:LMW196649 LWS196648:LWS196649 MGO196648:MGO196649 MQK196648:MQK196649 NAG196648:NAG196649 NKC196648:NKC196649 NTY196648:NTY196649 ODU196648:ODU196649 ONQ196648:ONQ196649 OXM196648:OXM196649 PHI196648:PHI196649 PRE196648:PRE196649 QBA196648:QBA196649 QKW196648:QKW196649 QUS196648:QUS196649 REO196648:REO196649 ROK196648:ROK196649 RYG196648:RYG196649 SIC196648:SIC196649 SRY196648:SRY196649 TBU196648:TBU196649 TLQ196648:TLQ196649 TVM196648:TVM196649 UFI196648:UFI196649 UPE196648:UPE196649 UZA196648:UZA196649 VIW196648:VIW196649 VSS196648:VSS196649 WCO196648:WCO196649 WMK196648:WMK196649 WWG196648:WWG196649 Y262184:Y262185 JU262184:JU262185 TQ262184:TQ262185 ADM262184:ADM262185 ANI262184:ANI262185 AXE262184:AXE262185 BHA262184:BHA262185 BQW262184:BQW262185 CAS262184:CAS262185 CKO262184:CKO262185 CUK262184:CUK262185 DEG262184:DEG262185 DOC262184:DOC262185 DXY262184:DXY262185 EHU262184:EHU262185 ERQ262184:ERQ262185 FBM262184:FBM262185 FLI262184:FLI262185 FVE262184:FVE262185 GFA262184:GFA262185 GOW262184:GOW262185 GYS262184:GYS262185 HIO262184:HIO262185 HSK262184:HSK262185 ICG262184:ICG262185 IMC262184:IMC262185 IVY262184:IVY262185 JFU262184:JFU262185 JPQ262184:JPQ262185 JZM262184:JZM262185 KJI262184:KJI262185 KTE262184:KTE262185 LDA262184:LDA262185 LMW262184:LMW262185 LWS262184:LWS262185 MGO262184:MGO262185 MQK262184:MQK262185 NAG262184:NAG262185 NKC262184:NKC262185 NTY262184:NTY262185 ODU262184:ODU262185 ONQ262184:ONQ262185 OXM262184:OXM262185 PHI262184:PHI262185 PRE262184:PRE262185 QBA262184:QBA262185 QKW262184:QKW262185 QUS262184:QUS262185 REO262184:REO262185 ROK262184:ROK262185 RYG262184:RYG262185 SIC262184:SIC262185 SRY262184:SRY262185 TBU262184:TBU262185 TLQ262184:TLQ262185 TVM262184:TVM262185 UFI262184:UFI262185 UPE262184:UPE262185 UZA262184:UZA262185 VIW262184:VIW262185 VSS262184:VSS262185 WCO262184:WCO262185 WMK262184:WMK262185 WWG262184:WWG262185 Y327720:Y327721 JU327720:JU327721 TQ327720:TQ327721 ADM327720:ADM327721 ANI327720:ANI327721 AXE327720:AXE327721 BHA327720:BHA327721 BQW327720:BQW327721 CAS327720:CAS327721 CKO327720:CKO327721 CUK327720:CUK327721 DEG327720:DEG327721 DOC327720:DOC327721 DXY327720:DXY327721 EHU327720:EHU327721 ERQ327720:ERQ327721 FBM327720:FBM327721 FLI327720:FLI327721 FVE327720:FVE327721 GFA327720:GFA327721 GOW327720:GOW327721 GYS327720:GYS327721 HIO327720:HIO327721 HSK327720:HSK327721 ICG327720:ICG327721 IMC327720:IMC327721 IVY327720:IVY327721 JFU327720:JFU327721 JPQ327720:JPQ327721 JZM327720:JZM327721 KJI327720:KJI327721 KTE327720:KTE327721 LDA327720:LDA327721 LMW327720:LMW327721 LWS327720:LWS327721 MGO327720:MGO327721 MQK327720:MQK327721 NAG327720:NAG327721 NKC327720:NKC327721 NTY327720:NTY327721 ODU327720:ODU327721 ONQ327720:ONQ327721 OXM327720:OXM327721 PHI327720:PHI327721 PRE327720:PRE327721 QBA327720:QBA327721 QKW327720:QKW327721 QUS327720:QUS327721 REO327720:REO327721 ROK327720:ROK327721 RYG327720:RYG327721 SIC327720:SIC327721 SRY327720:SRY327721 TBU327720:TBU327721 TLQ327720:TLQ327721 TVM327720:TVM327721 UFI327720:UFI327721 UPE327720:UPE327721 UZA327720:UZA327721 VIW327720:VIW327721 VSS327720:VSS327721 WCO327720:WCO327721 WMK327720:WMK327721 WWG327720:WWG327721 Y393256:Y393257 JU393256:JU393257 TQ393256:TQ393257 ADM393256:ADM393257 ANI393256:ANI393257 AXE393256:AXE393257 BHA393256:BHA393257 BQW393256:BQW393257 CAS393256:CAS393257 CKO393256:CKO393257 CUK393256:CUK393257 DEG393256:DEG393257 DOC393256:DOC393257 DXY393256:DXY393257 EHU393256:EHU393257 ERQ393256:ERQ393257 FBM393256:FBM393257 FLI393256:FLI393257 FVE393256:FVE393257 GFA393256:GFA393257 GOW393256:GOW393257 GYS393256:GYS393257 HIO393256:HIO393257 HSK393256:HSK393257 ICG393256:ICG393257 IMC393256:IMC393257 IVY393256:IVY393257 JFU393256:JFU393257 JPQ393256:JPQ393257 JZM393256:JZM393257 KJI393256:KJI393257 KTE393256:KTE393257 LDA393256:LDA393257 LMW393256:LMW393257 LWS393256:LWS393257 MGO393256:MGO393257 MQK393256:MQK393257 NAG393256:NAG393257 NKC393256:NKC393257 NTY393256:NTY393257 ODU393256:ODU393257 ONQ393256:ONQ393257 OXM393256:OXM393257 PHI393256:PHI393257 PRE393256:PRE393257 QBA393256:QBA393257 QKW393256:QKW393257 QUS393256:QUS393257 REO393256:REO393257 ROK393256:ROK393257 RYG393256:RYG393257 SIC393256:SIC393257 SRY393256:SRY393257 TBU393256:TBU393257 TLQ393256:TLQ393257 TVM393256:TVM393257 UFI393256:UFI393257 UPE393256:UPE393257 UZA393256:UZA393257 VIW393256:VIW393257 VSS393256:VSS393257 WCO393256:WCO393257 WMK393256:WMK393257 WWG393256:WWG393257 Y458792:Y458793 JU458792:JU458793 TQ458792:TQ458793 ADM458792:ADM458793 ANI458792:ANI458793 AXE458792:AXE458793 BHA458792:BHA458793 BQW458792:BQW458793 CAS458792:CAS458793 CKO458792:CKO458793 CUK458792:CUK458793 DEG458792:DEG458793 DOC458792:DOC458793 DXY458792:DXY458793 EHU458792:EHU458793 ERQ458792:ERQ458793 FBM458792:FBM458793 FLI458792:FLI458793 FVE458792:FVE458793 GFA458792:GFA458793 GOW458792:GOW458793 GYS458792:GYS458793 HIO458792:HIO458793 HSK458792:HSK458793 ICG458792:ICG458793 IMC458792:IMC458793 IVY458792:IVY458793 JFU458792:JFU458793 JPQ458792:JPQ458793 JZM458792:JZM458793 KJI458792:KJI458793 KTE458792:KTE458793 LDA458792:LDA458793 LMW458792:LMW458793 LWS458792:LWS458793 MGO458792:MGO458793 MQK458792:MQK458793 NAG458792:NAG458793 NKC458792:NKC458793 NTY458792:NTY458793 ODU458792:ODU458793 ONQ458792:ONQ458793 OXM458792:OXM458793 PHI458792:PHI458793 PRE458792:PRE458793 QBA458792:QBA458793 QKW458792:QKW458793 QUS458792:QUS458793 REO458792:REO458793 ROK458792:ROK458793 RYG458792:RYG458793 SIC458792:SIC458793 SRY458792:SRY458793 TBU458792:TBU458793 TLQ458792:TLQ458793 TVM458792:TVM458793 UFI458792:UFI458793 UPE458792:UPE458793 UZA458792:UZA458793 VIW458792:VIW458793 VSS458792:VSS458793 WCO458792:WCO458793 WMK458792:WMK458793 WWG458792:WWG458793 Y524328:Y524329 JU524328:JU524329 TQ524328:TQ524329 ADM524328:ADM524329 ANI524328:ANI524329 AXE524328:AXE524329 BHA524328:BHA524329 BQW524328:BQW524329 CAS524328:CAS524329 CKO524328:CKO524329 CUK524328:CUK524329 DEG524328:DEG524329 DOC524328:DOC524329 DXY524328:DXY524329 EHU524328:EHU524329 ERQ524328:ERQ524329 FBM524328:FBM524329 FLI524328:FLI524329 FVE524328:FVE524329 GFA524328:GFA524329 GOW524328:GOW524329 GYS524328:GYS524329 HIO524328:HIO524329 HSK524328:HSK524329 ICG524328:ICG524329 IMC524328:IMC524329 IVY524328:IVY524329 JFU524328:JFU524329 JPQ524328:JPQ524329 JZM524328:JZM524329 KJI524328:KJI524329 KTE524328:KTE524329 LDA524328:LDA524329 LMW524328:LMW524329 LWS524328:LWS524329 MGO524328:MGO524329 MQK524328:MQK524329 NAG524328:NAG524329 NKC524328:NKC524329 NTY524328:NTY524329 ODU524328:ODU524329 ONQ524328:ONQ524329 OXM524328:OXM524329 PHI524328:PHI524329 PRE524328:PRE524329 QBA524328:QBA524329 QKW524328:QKW524329 QUS524328:QUS524329 REO524328:REO524329 ROK524328:ROK524329 RYG524328:RYG524329 SIC524328:SIC524329 SRY524328:SRY524329 TBU524328:TBU524329 TLQ524328:TLQ524329 TVM524328:TVM524329 UFI524328:UFI524329 UPE524328:UPE524329 UZA524328:UZA524329 VIW524328:VIW524329 VSS524328:VSS524329 WCO524328:WCO524329 WMK524328:WMK524329 WWG524328:WWG524329 Y589864:Y589865 JU589864:JU589865 TQ589864:TQ589865 ADM589864:ADM589865 ANI589864:ANI589865 AXE589864:AXE589865 BHA589864:BHA589865 BQW589864:BQW589865 CAS589864:CAS589865 CKO589864:CKO589865 CUK589864:CUK589865 DEG589864:DEG589865 DOC589864:DOC589865 DXY589864:DXY589865 EHU589864:EHU589865 ERQ589864:ERQ589865 FBM589864:FBM589865 FLI589864:FLI589865 FVE589864:FVE589865 GFA589864:GFA589865 GOW589864:GOW589865 GYS589864:GYS589865 HIO589864:HIO589865 HSK589864:HSK589865 ICG589864:ICG589865 IMC589864:IMC589865 IVY589864:IVY589865 JFU589864:JFU589865 JPQ589864:JPQ589865 JZM589864:JZM589865 KJI589864:KJI589865 KTE589864:KTE589865 LDA589864:LDA589865 LMW589864:LMW589865 LWS589864:LWS589865 MGO589864:MGO589865 MQK589864:MQK589865 NAG589864:NAG589865 NKC589864:NKC589865 NTY589864:NTY589865 ODU589864:ODU589865 ONQ589864:ONQ589865 OXM589864:OXM589865 PHI589864:PHI589865 PRE589864:PRE589865 QBA589864:QBA589865 QKW589864:QKW589865 QUS589864:QUS589865 REO589864:REO589865 ROK589864:ROK589865 RYG589864:RYG589865 SIC589864:SIC589865 SRY589864:SRY589865 TBU589864:TBU589865 TLQ589864:TLQ589865 TVM589864:TVM589865 UFI589864:UFI589865 UPE589864:UPE589865 UZA589864:UZA589865 VIW589864:VIW589865 VSS589864:VSS589865 WCO589864:WCO589865 WMK589864:WMK589865 WWG589864:WWG589865 Y655400:Y655401 JU655400:JU655401 TQ655400:TQ655401 ADM655400:ADM655401 ANI655400:ANI655401 AXE655400:AXE655401 BHA655400:BHA655401 BQW655400:BQW655401 CAS655400:CAS655401 CKO655400:CKO655401 CUK655400:CUK655401 DEG655400:DEG655401 DOC655400:DOC655401 DXY655400:DXY655401 EHU655400:EHU655401 ERQ655400:ERQ655401 FBM655400:FBM655401 FLI655400:FLI655401 FVE655400:FVE655401 GFA655400:GFA655401 GOW655400:GOW655401 GYS655400:GYS655401 HIO655400:HIO655401 HSK655400:HSK655401 ICG655400:ICG655401 IMC655400:IMC655401 IVY655400:IVY655401 JFU655400:JFU655401 JPQ655400:JPQ655401 JZM655400:JZM655401 KJI655400:KJI655401 KTE655400:KTE655401 LDA655400:LDA655401 LMW655400:LMW655401 LWS655400:LWS655401 MGO655400:MGO655401 MQK655400:MQK655401 NAG655400:NAG655401 NKC655400:NKC655401 NTY655400:NTY655401 ODU655400:ODU655401 ONQ655400:ONQ655401 OXM655400:OXM655401 PHI655400:PHI655401 PRE655400:PRE655401 QBA655400:QBA655401 QKW655400:QKW655401 QUS655400:QUS655401 REO655400:REO655401 ROK655400:ROK655401 RYG655400:RYG655401 SIC655400:SIC655401 SRY655400:SRY655401 TBU655400:TBU655401 TLQ655400:TLQ655401 TVM655400:TVM655401 UFI655400:UFI655401 UPE655400:UPE655401 UZA655400:UZA655401 VIW655400:VIW655401 VSS655400:VSS655401 WCO655400:WCO655401 WMK655400:WMK655401 WWG655400:WWG655401 Y720936:Y720937 JU720936:JU720937 TQ720936:TQ720937 ADM720936:ADM720937 ANI720936:ANI720937 AXE720936:AXE720937 BHA720936:BHA720937 BQW720936:BQW720937 CAS720936:CAS720937 CKO720936:CKO720937 CUK720936:CUK720937 DEG720936:DEG720937 DOC720936:DOC720937 DXY720936:DXY720937 EHU720936:EHU720937 ERQ720936:ERQ720937 FBM720936:FBM720937 FLI720936:FLI720937 FVE720936:FVE720937 GFA720936:GFA720937 GOW720936:GOW720937 GYS720936:GYS720937 HIO720936:HIO720937 HSK720936:HSK720937 ICG720936:ICG720937 IMC720936:IMC720937 IVY720936:IVY720937 JFU720936:JFU720937 JPQ720936:JPQ720937 JZM720936:JZM720937 KJI720936:KJI720937 KTE720936:KTE720937 LDA720936:LDA720937 LMW720936:LMW720937 LWS720936:LWS720937 MGO720936:MGO720937 MQK720936:MQK720937 NAG720936:NAG720937 NKC720936:NKC720937 NTY720936:NTY720937 ODU720936:ODU720937 ONQ720936:ONQ720937 OXM720936:OXM720937 PHI720936:PHI720937 PRE720936:PRE720937 QBA720936:QBA720937 QKW720936:QKW720937 QUS720936:QUS720937 REO720936:REO720937 ROK720936:ROK720937 RYG720936:RYG720937 SIC720936:SIC720937 SRY720936:SRY720937 TBU720936:TBU720937 TLQ720936:TLQ720937 TVM720936:TVM720937 UFI720936:UFI720937 UPE720936:UPE720937 UZA720936:UZA720937 VIW720936:VIW720937 VSS720936:VSS720937 WCO720936:WCO720937 WMK720936:WMK720937 WWG720936:WWG720937 Y786472:Y786473 JU786472:JU786473 TQ786472:TQ786473 ADM786472:ADM786473 ANI786472:ANI786473 AXE786472:AXE786473 BHA786472:BHA786473 BQW786472:BQW786473 CAS786472:CAS786473 CKO786472:CKO786473 CUK786472:CUK786473 DEG786472:DEG786473 DOC786472:DOC786473 DXY786472:DXY786473 EHU786472:EHU786473 ERQ786472:ERQ786473 FBM786472:FBM786473 FLI786472:FLI786473 FVE786472:FVE786473 GFA786472:GFA786473 GOW786472:GOW786473 GYS786472:GYS786473 HIO786472:HIO786473 HSK786472:HSK786473 ICG786472:ICG786473 IMC786472:IMC786473 IVY786472:IVY786473 JFU786472:JFU786473 JPQ786472:JPQ786473 JZM786472:JZM786473 KJI786472:KJI786473 KTE786472:KTE786473 LDA786472:LDA786473 LMW786472:LMW786473 LWS786472:LWS786473 MGO786472:MGO786473 MQK786472:MQK786473 NAG786472:NAG786473 NKC786472:NKC786473 NTY786472:NTY786473 ODU786472:ODU786473 ONQ786472:ONQ786473 OXM786472:OXM786473 PHI786472:PHI786473 PRE786472:PRE786473 QBA786472:QBA786473 QKW786472:QKW786473 QUS786472:QUS786473 REO786472:REO786473 ROK786472:ROK786473 RYG786472:RYG786473 SIC786472:SIC786473 SRY786472:SRY786473 TBU786472:TBU786473 TLQ786472:TLQ786473 TVM786472:TVM786473 UFI786472:UFI786473 UPE786472:UPE786473 UZA786472:UZA786473 VIW786472:VIW786473 VSS786472:VSS786473 WCO786472:WCO786473 WMK786472:WMK786473 WWG786472:WWG786473 Y852008:Y852009 JU852008:JU852009 TQ852008:TQ852009 ADM852008:ADM852009 ANI852008:ANI852009 AXE852008:AXE852009 BHA852008:BHA852009 BQW852008:BQW852009 CAS852008:CAS852009 CKO852008:CKO852009 CUK852008:CUK852009 DEG852008:DEG852009 DOC852008:DOC852009 DXY852008:DXY852009 EHU852008:EHU852009 ERQ852008:ERQ852009 FBM852008:FBM852009 FLI852008:FLI852009 FVE852008:FVE852009 GFA852008:GFA852009 GOW852008:GOW852009 GYS852008:GYS852009 HIO852008:HIO852009 HSK852008:HSK852009 ICG852008:ICG852009 IMC852008:IMC852009 IVY852008:IVY852009 JFU852008:JFU852009 JPQ852008:JPQ852009 JZM852008:JZM852009 KJI852008:KJI852009 KTE852008:KTE852009 LDA852008:LDA852009 LMW852008:LMW852009 LWS852008:LWS852009 MGO852008:MGO852009 MQK852008:MQK852009 NAG852008:NAG852009 NKC852008:NKC852009 NTY852008:NTY852009 ODU852008:ODU852009 ONQ852008:ONQ852009 OXM852008:OXM852009 PHI852008:PHI852009 PRE852008:PRE852009 QBA852008:QBA852009 QKW852008:QKW852009 QUS852008:QUS852009 REO852008:REO852009 ROK852008:ROK852009 RYG852008:RYG852009 SIC852008:SIC852009 SRY852008:SRY852009 TBU852008:TBU852009 TLQ852008:TLQ852009 TVM852008:TVM852009 UFI852008:UFI852009 UPE852008:UPE852009 UZA852008:UZA852009 VIW852008:VIW852009 VSS852008:VSS852009 WCO852008:WCO852009 WMK852008:WMK852009 WWG852008:WWG852009 Y917544:Y917545 JU917544:JU917545 TQ917544:TQ917545 ADM917544:ADM917545 ANI917544:ANI917545 AXE917544:AXE917545 BHA917544:BHA917545 BQW917544:BQW917545 CAS917544:CAS917545 CKO917544:CKO917545 CUK917544:CUK917545 DEG917544:DEG917545 DOC917544:DOC917545 DXY917544:DXY917545 EHU917544:EHU917545 ERQ917544:ERQ917545 FBM917544:FBM917545 FLI917544:FLI917545 FVE917544:FVE917545 GFA917544:GFA917545 GOW917544:GOW917545 GYS917544:GYS917545 HIO917544:HIO917545 HSK917544:HSK917545 ICG917544:ICG917545 IMC917544:IMC917545 IVY917544:IVY917545 JFU917544:JFU917545 JPQ917544:JPQ917545 JZM917544:JZM917545 KJI917544:KJI917545 KTE917544:KTE917545 LDA917544:LDA917545 LMW917544:LMW917545 LWS917544:LWS917545 MGO917544:MGO917545 MQK917544:MQK917545 NAG917544:NAG917545 NKC917544:NKC917545 NTY917544:NTY917545 ODU917544:ODU917545 ONQ917544:ONQ917545 OXM917544:OXM917545 PHI917544:PHI917545 PRE917544:PRE917545 QBA917544:QBA917545 QKW917544:QKW917545 QUS917544:QUS917545 REO917544:REO917545 ROK917544:ROK917545 RYG917544:RYG917545 SIC917544:SIC917545 SRY917544:SRY917545 TBU917544:TBU917545 TLQ917544:TLQ917545 TVM917544:TVM917545 UFI917544:UFI917545 UPE917544:UPE917545 UZA917544:UZA917545 VIW917544:VIW917545 VSS917544:VSS917545 WCO917544:WCO917545 WMK917544:WMK917545 WWG917544:WWG917545 Y983080:Y983081 JU983080:JU983081 TQ983080:TQ983081 ADM983080:ADM983081 ANI983080:ANI983081 AXE983080:AXE983081 BHA983080:BHA983081 BQW983080:BQW983081 CAS983080:CAS983081 CKO983080:CKO983081 CUK983080:CUK983081 DEG983080:DEG983081 DOC983080:DOC983081 DXY983080:DXY983081 EHU983080:EHU983081 ERQ983080:ERQ983081 FBM983080:FBM983081 FLI983080:FLI983081 FVE983080:FVE983081 GFA983080:GFA983081 GOW983080:GOW983081 GYS983080:GYS983081 HIO983080:HIO983081 HSK983080:HSK983081 ICG983080:ICG983081 IMC983080:IMC983081 IVY983080:IVY983081 JFU983080:JFU983081 JPQ983080:JPQ983081 JZM983080:JZM983081 KJI983080:KJI983081 KTE983080:KTE983081 LDA983080:LDA983081 LMW983080:LMW983081 LWS983080:LWS983081 MGO983080:MGO983081 MQK983080:MQK983081 NAG983080:NAG983081 NKC983080:NKC983081 NTY983080:NTY983081 ODU983080:ODU983081 ONQ983080:ONQ983081 OXM983080:OXM983081 PHI983080:PHI983081 PRE983080:PRE983081 QBA983080:QBA983081 QKW983080:QKW983081 QUS983080:QUS983081 REO983080:REO983081 ROK983080:ROK983081 RYG983080:RYG983081 SIC983080:SIC983081 SRY983080:SRY983081 TBU983080:TBU983081 TLQ983080:TLQ983081 TVM983080:TVM983081 UFI983080:UFI983081 UPE983080:UPE983081 UZA983080:UZA983081 VIW983080:VIW983081 VSS983080:VSS983081 WCO983080:WCO983081 WMK983080:WMK983081 WWG983080:WWG983081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E2D22-0000-443D-938A-3FB580983C69}">
  <sheetPr>
    <tabColor rgb="FFFFFF00"/>
    <pageSetUpPr fitToPage="1"/>
  </sheetPr>
  <dimension ref="A2:Y122"/>
  <sheetViews>
    <sheetView view="pageBreakPreview" zoomScaleNormal="100" zoomScaleSheetLayoutView="100" workbookViewId="0"/>
  </sheetViews>
  <sheetFormatPr defaultColWidth="3.44140625" defaultRowHeight="13.2"/>
  <cols>
    <col min="1" max="1" width="2.33203125" style="3" customWidth="1"/>
    <col min="2" max="2" width="3" style="616" customWidth="1"/>
    <col min="3" max="7" width="3.44140625" style="3"/>
    <col min="8" max="24" width="4.44140625" style="3" customWidth="1"/>
    <col min="25" max="25" width="5.109375" style="3" customWidth="1"/>
    <col min="26" max="256" width="3.44140625" style="3"/>
    <col min="257" max="257" width="2.33203125" style="3" customWidth="1"/>
    <col min="258" max="258" width="3" style="3" customWidth="1"/>
    <col min="259" max="263" width="3.44140625" style="3"/>
    <col min="264" max="280" width="4.44140625" style="3" customWidth="1"/>
    <col min="281" max="281" width="5.109375" style="3" customWidth="1"/>
    <col min="282" max="512" width="3.44140625" style="3"/>
    <col min="513" max="513" width="2.33203125" style="3" customWidth="1"/>
    <col min="514" max="514" width="3" style="3" customWidth="1"/>
    <col min="515" max="519" width="3.44140625" style="3"/>
    <col min="520" max="536" width="4.44140625" style="3" customWidth="1"/>
    <col min="537" max="537" width="5.109375" style="3" customWidth="1"/>
    <col min="538" max="768" width="3.44140625" style="3"/>
    <col min="769" max="769" width="2.33203125" style="3" customWidth="1"/>
    <col min="770" max="770" width="3" style="3" customWidth="1"/>
    <col min="771" max="775" width="3.44140625" style="3"/>
    <col min="776" max="792" width="4.44140625" style="3" customWidth="1"/>
    <col min="793" max="793" width="5.109375" style="3" customWidth="1"/>
    <col min="794" max="1024" width="3.44140625" style="3"/>
    <col min="1025" max="1025" width="2.33203125" style="3" customWidth="1"/>
    <col min="1026" max="1026" width="3" style="3" customWidth="1"/>
    <col min="1027" max="1031" width="3.44140625" style="3"/>
    <col min="1032" max="1048" width="4.44140625" style="3" customWidth="1"/>
    <col min="1049" max="1049" width="5.109375" style="3" customWidth="1"/>
    <col min="1050" max="1280" width="3.44140625" style="3"/>
    <col min="1281" max="1281" width="2.33203125" style="3" customWidth="1"/>
    <col min="1282" max="1282" width="3" style="3" customWidth="1"/>
    <col min="1283" max="1287" width="3.44140625" style="3"/>
    <col min="1288" max="1304" width="4.44140625" style="3" customWidth="1"/>
    <col min="1305" max="1305" width="5.109375" style="3" customWidth="1"/>
    <col min="1306" max="1536" width="3.44140625" style="3"/>
    <col min="1537" max="1537" width="2.33203125" style="3" customWidth="1"/>
    <col min="1538" max="1538" width="3" style="3" customWidth="1"/>
    <col min="1539" max="1543" width="3.44140625" style="3"/>
    <col min="1544" max="1560" width="4.44140625" style="3" customWidth="1"/>
    <col min="1561" max="1561" width="5.109375" style="3" customWidth="1"/>
    <col min="1562" max="1792" width="3.44140625" style="3"/>
    <col min="1793" max="1793" width="2.33203125" style="3" customWidth="1"/>
    <col min="1794" max="1794" width="3" style="3" customWidth="1"/>
    <col min="1795" max="1799" width="3.44140625" style="3"/>
    <col min="1800" max="1816" width="4.44140625" style="3" customWidth="1"/>
    <col min="1817" max="1817" width="5.109375" style="3" customWidth="1"/>
    <col min="1818" max="2048" width="3.44140625" style="3"/>
    <col min="2049" max="2049" width="2.33203125" style="3" customWidth="1"/>
    <col min="2050" max="2050" width="3" style="3" customWidth="1"/>
    <col min="2051" max="2055" width="3.44140625" style="3"/>
    <col min="2056" max="2072" width="4.44140625" style="3" customWidth="1"/>
    <col min="2073" max="2073" width="5.109375" style="3" customWidth="1"/>
    <col min="2074" max="2304" width="3.44140625" style="3"/>
    <col min="2305" max="2305" width="2.33203125" style="3" customWidth="1"/>
    <col min="2306" max="2306" width="3" style="3" customWidth="1"/>
    <col min="2307" max="2311" width="3.44140625" style="3"/>
    <col min="2312" max="2328" width="4.44140625" style="3" customWidth="1"/>
    <col min="2329" max="2329" width="5.109375" style="3" customWidth="1"/>
    <col min="2330" max="2560" width="3.44140625" style="3"/>
    <col min="2561" max="2561" width="2.33203125" style="3" customWidth="1"/>
    <col min="2562" max="2562" width="3" style="3" customWidth="1"/>
    <col min="2563" max="2567" width="3.44140625" style="3"/>
    <col min="2568" max="2584" width="4.44140625" style="3" customWidth="1"/>
    <col min="2585" max="2585" width="5.109375" style="3" customWidth="1"/>
    <col min="2586" max="2816" width="3.44140625" style="3"/>
    <col min="2817" max="2817" width="2.33203125" style="3" customWidth="1"/>
    <col min="2818" max="2818" width="3" style="3" customWidth="1"/>
    <col min="2819" max="2823" width="3.44140625" style="3"/>
    <col min="2824" max="2840" width="4.44140625" style="3" customWidth="1"/>
    <col min="2841" max="2841" width="5.109375" style="3" customWidth="1"/>
    <col min="2842" max="3072" width="3.44140625" style="3"/>
    <col min="3073" max="3073" width="2.33203125" style="3" customWidth="1"/>
    <col min="3074" max="3074" width="3" style="3" customWidth="1"/>
    <col min="3075" max="3079" width="3.44140625" style="3"/>
    <col min="3080" max="3096" width="4.44140625" style="3" customWidth="1"/>
    <col min="3097" max="3097" width="5.109375" style="3" customWidth="1"/>
    <col min="3098" max="3328" width="3.44140625" style="3"/>
    <col min="3329" max="3329" width="2.33203125" style="3" customWidth="1"/>
    <col min="3330" max="3330" width="3" style="3" customWidth="1"/>
    <col min="3331" max="3335" width="3.44140625" style="3"/>
    <col min="3336" max="3352" width="4.44140625" style="3" customWidth="1"/>
    <col min="3353" max="3353" width="5.109375" style="3" customWidth="1"/>
    <col min="3354" max="3584" width="3.44140625" style="3"/>
    <col min="3585" max="3585" width="2.33203125" style="3" customWidth="1"/>
    <col min="3586" max="3586" width="3" style="3" customWidth="1"/>
    <col min="3587" max="3591" width="3.44140625" style="3"/>
    <col min="3592" max="3608" width="4.44140625" style="3" customWidth="1"/>
    <col min="3609" max="3609" width="5.109375" style="3" customWidth="1"/>
    <col min="3610" max="3840" width="3.44140625" style="3"/>
    <col min="3841" max="3841" width="2.33203125" style="3" customWidth="1"/>
    <col min="3842" max="3842" width="3" style="3" customWidth="1"/>
    <col min="3843" max="3847" width="3.44140625" style="3"/>
    <col min="3848" max="3864" width="4.44140625" style="3" customWidth="1"/>
    <col min="3865" max="3865" width="5.109375" style="3" customWidth="1"/>
    <col min="3866" max="4096" width="3.44140625" style="3"/>
    <col min="4097" max="4097" width="2.33203125" style="3" customWidth="1"/>
    <col min="4098" max="4098" width="3" style="3" customWidth="1"/>
    <col min="4099" max="4103" width="3.44140625" style="3"/>
    <col min="4104" max="4120" width="4.44140625" style="3" customWidth="1"/>
    <col min="4121" max="4121" width="5.109375" style="3" customWidth="1"/>
    <col min="4122" max="4352" width="3.44140625" style="3"/>
    <col min="4353" max="4353" width="2.33203125" style="3" customWidth="1"/>
    <col min="4354" max="4354" width="3" style="3" customWidth="1"/>
    <col min="4355" max="4359" width="3.44140625" style="3"/>
    <col min="4360" max="4376" width="4.44140625" style="3" customWidth="1"/>
    <col min="4377" max="4377" width="5.109375" style="3" customWidth="1"/>
    <col min="4378" max="4608" width="3.44140625" style="3"/>
    <col min="4609" max="4609" width="2.33203125" style="3" customWidth="1"/>
    <col min="4610" max="4610" width="3" style="3" customWidth="1"/>
    <col min="4611" max="4615" width="3.44140625" style="3"/>
    <col min="4616" max="4632" width="4.44140625" style="3" customWidth="1"/>
    <col min="4633" max="4633" width="5.109375" style="3" customWidth="1"/>
    <col min="4634" max="4864" width="3.44140625" style="3"/>
    <col min="4865" max="4865" width="2.33203125" style="3" customWidth="1"/>
    <col min="4866" max="4866" width="3" style="3" customWidth="1"/>
    <col min="4867" max="4871" width="3.44140625" style="3"/>
    <col min="4872" max="4888" width="4.44140625" style="3" customWidth="1"/>
    <col min="4889" max="4889" width="5.109375" style="3" customWidth="1"/>
    <col min="4890" max="5120" width="3.44140625" style="3"/>
    <col min="5121" max="5121" width="2.33203125" style="3" customWidth="1"/>
    <col min="5122" max="5122" width="3" style="3" customWidth="1"/>
    <col min="5123" max="5127" width="3.44140625" style="3"/>
    <col min="5128" max="5144" width="4.44140625" style="3" customWidth="1"/>
    <col min="5145" max="5145" width="5.109375" style="3" customWidth="1"/>
    <col min="5146" max="5376" width="3.44140625" style="3"/>
    <col min="5377" max="5377" width="2.33203125" style="3" customWidth="1"/>
    <col min="5378" max="5378" width="3" style="3" customWidth="1"/>
    <col min="5379" max="5383" width="3.44140625" style="3"/>
    <col min="5384" max="5400" width="4.44140625" style="3" customWidth="1"/>
    <col min="5401" max="5401" width="5.109375" style="3" customWidth="1"/>
    <col min="5402" max="5632" width="3.44140625" style="3"/>
    <col min="5633" max="5633" width="2.33203125" style="3" customWidth="1"/>
    <col min="5634" max="5634" width="3" style="3" customWidth="1"/>
    <col min="5635" max="5639" width="3.44140625" style="3"/>
    <col min="5640" max="5656" width="4.44140625" style="3" customWidth="1"/>
    <col min="5657" max="5657" width="5.109375" style="3" customWidth="1"/>
    <col min="5658" max="5888" width="3.44140625" style="3"/>
    <col min="5889" max="5889" width="2.33203125" style="3" customWidth="1"/>
    <col min="5890" max="5890" width="3" style="3" customWidth="1"/>
    <col min="5891" max="5895" width="3.44140625" style="3"/>
    <col min="5896" max="5912" width="4.44140625" style="3" customWidth="1"/>
    <col min="5913" max="5913" width="5.109375" style="3" customWidth="1"/>
    <col min="5914" max="6144" width="3.44140625" style="3"/>
    <col min="6145" max="6145" width="2.33203125" style="3" customWidth="1"/>
    <col min="6146" max="6146" width="3" style="3" customWidth="1"/>
    <col min="6147" max="6151" width="3.44140625" style="3"/>
    <col min="6152" max="6168" width="4.44140625" style="3" customWidth="1"/>
    <col min="6169" max="6169" width="5.109375" style="3" customWidth="1"/>
    <col min="6170" max="6400" width="3.44140625" style="3"/>
    <col min="6401" max="6401" width="2.33203125" style="3" customWidth="1"/>
    <col min="6402" max="6402" width="3" style="3" customWidth="1"/>
    <col min="6403" max="6407" width="3.44140625" style="3"/>
    <col min="6408" max="6424" width="4.44140625" style="3" customWidth="1"/>
    <col min="6425" max="6425" width="5.109375" style="3" customWidth="1"/>
    <col min="6426" max="6656" width="3.44140625" style="3"/>
    <col min="6657" max="6657" width="2.33203125" style="3" customWidth="1"/>
    <col min="6658" max="6658" width="3" style="3" customWidth="1"/>
    <col min="6659" max="6663" width="3.44140625" style="3"/>
    <col min="6664" max="6680" width="4.44140625" style="3" customWidth="1"/>
    <col min="6681" max="6681" width="5.109375" style="3" customWidth="1"/>
    <col min="6682" max="6912" width="3.44140625" style="3"/>
    <col min="6913" max="6913" width="2.33203125" style="3" customWidth="1"/>
    <col min="6914" max="6914" width="3" style="3" customWidth="1"/>
    <col min="6915" max="6919" width="3.44140625" style="3"/>
    <col min="6920" max="6936" width="4.44140625" style="3" customWidth="1"/>
    <col min="6937" max="6937" width="5.109375" style="3" customWidth="1"/>
    <col min="6938" max="7168" width="3.44140625" style="3"/>
    <col min="7169" max="7169" width="2.33203125" style="3" customWidth="1"/>
    <col min="7170" max="7170" width="3" style="3" customWidth="1"/>
    <col min="7171" max="7175" width="3.44140625" style="3"/>
    <col min="7176" max="7192" width="4.44140625" style="3" customWidth="1"/>
    <col min="7193" max="7193" width="5.109375" style="3" customWidth="1"/>
    <col min="7194" max="7424" width="3.44140625" style="3"/>
    <col min="7425" max="7425" width="2.33203125" style="3" customWidth="1"/>
    <col min="7426" max="7426" width="3" style="3" customWidth="1"/>
    <col min="7427" max="7431" width="3.44140625" style="3"/>
    <col min="7432" max="7448" width="4.44140625" style="3" customWidth="1"/>
    <col min="7449" max="7449" width="5.109375" style="3" customWidth="1"/>
    <col min="7450" max="7680" width="3.44140625" style="3"/>
    <col min="7681" max="7681" width="2.33203125" style="3" customWidth="1"/>
    <col min="7682" max="7682" width="3" style="3" customWidth="1"/>
    <col min="7683" max="7687" width="3.44140625" style="3"/>
    <col min="7688" max="7704" width="4.44140625" style="3" customWidth="1"/>
    <col min="7705" max="7705" width="5.109375" style="3" customWidth="1"/>
    <col min="7706" max="7936" width="3.44140625" style="3"/>
    <col min="7937" max="7937" width="2.33203125" style="3" customWidth="1"/>
    <col min="7938" max="7938" width="3" style="3" customWidth="1"/>
    <col min="7939" max="7943" width="3.44140625" style="3"/>
    <col min="7944" max="7960" width="4.44140625" style="3" customWidth="1"/>
    <col min="7961" max="7961" width="5.109375" style="3" customWidth="1"/>
    <col min="7962" max="8192" width="3.44140625" style="3"/>
    <col min="8193" max="8193" width="2.33203125" style="3" customWidth="1"/>
    <col min="8194" max="8194" width="3" style="3" customWidth="1"/>
    <col min="8195" max="8199" width="3.44140625" style="3"/>
    <col min="8200" max="8216" width="4.44140625" style="3" customWidth="1"/>
    <col min="8217" max="8217" width="5.109375" style="3" customWidth="1"/>
    <col min="8218" max="8448" width="3.44140625" style="3"/>
    <col min="8449" max="8449" width="2.33203125" style="3" customWidth="1"/>
    <col min="8450" max="8450" width="3" style="3" customWidth="1"/>
    <col min="8451" max="8455" width="3.44140625" style="3"/>
    <col min="8456" max="8472" width="4.44140625" style="3" customWidth="1"/>
    <col min="8473" max="8473" width="5.109375" style="3" customWidth="1"/>
    <col min="8474" max="8704" width="3.44140625" style="3"/>
    <col min="8705" max="8705" width="2.33203125" style="3" customWidth="1"/>
    <col min="8706" max="8706" width="3" style="3" customWidth="1"/>
    <col min="8707" max="8711" width="3.44140625" style="3"/>
    <col min="8712" max="8728" width="4.44140625" style="3" customWidth="1"/>
    <col min="8729" max="8729" width="5.109375" style="3" customWidth="1"/>
    <col min="8730" max="8960" width="3.44140625" style="3"/>
    <col min="8961" max="8961" width="2.33203125" style="3" customWidth="1"/>
    <col min="8962" max="8962" width="3" style="3" customWidth="1"/>
    <col min="8963" max="8967" width="3.44140625" style="3"/>
    <col min="8968" max="8984" width="4.44140625" style="3" customWidth="1"/>
    <col min="8985" max="8985" width="5.109375" style="3" customWidth="1"/>
    <col min="8986" max="9216" width="3.44140625" style="3"/>
    <col min="9217" max="9217" width="2.33203125" style="3" customWidth="1"/>
    <col min="9218" max="9218" width="3" style="3" customWidth="1"/>
    <col min="9219" max="9223" width="3.44140625" style="3"/>
    <col min="9224" max="9240" width="4.44140625" style="3" customWidth="1"/>
    <col min="9241" max="9241" width="5.109375" style="3" customWidth="1"/>
    <col min="9242" max="9472" width="3.44140625" style="3"/>
    <col min="9473" max="9473" width="2.33203125" style="3" customWidth="1"/>
    <col min="9474" max="9474" width="3" style="3" customWidth="1"/>
    <col min="9475" max="9479" width="3.44140625" style="3"/>
    <col min="9480" max="9496" width="4.44140625" style="3" customWidth="1"/>
    <col min="9497" max="9497" width="5.109375" style="3" customWidth="1"/>
    <col min="9498" max="9728" width="3.44140625" style="3"/>
    <col min="9729" max="9729" width="2.33203125" style="3" customWidth="1"/>
    <col min="9730" max="9730" width="3" style="3" customWidth="1"/>
    <col min="9731" max="9735" width="3.44140625" style="3"/>
    <col min="9736" max="9752" width="4.44140625" style="3" customWidth="1"/>
    <col min="9753" max="9753" width="5.109375" style="3" customWidth="1"/>
    <col min="9754" max="9984" width="3.44140625" style="3"/>
    <col min="9985" max="9985" width="2.33203125" style="3" customWidth="1"/>
    <col min="9986" max="9986" width="3" style="3" customWidth="1"/>
    <col min="9987" max="9991" width="3.44140625" style="3"/>
    <col min="9992" max="10008" width="4.44140625" style="3" customWidth="1"/>
    <col min="10009" max="10009" width="5.109375" style="3" customWidth="1"/>
    <col min="10010" max="10240" width="3.44140625" style="3"/>
    <col min="10241" max="10241" width="2.33203125" style="3" customWidth="1"/>
    <col min="10242" max="10242" width="3" style="3" customWidth="1"/>
    <col min="10243" max="10247" width="3.44140625" style="3"/>
    <col min="10248" max="10264" width="4.44140625" style="3" customWidth="1"/>
    <col min="10265" max="10265" width="5.109375" style="3" customWidth="1"/>
    <col min="10266" max="10496" width="3.44140625" style="3"/>
    <col min="10497" max="10497" width="2.33203125" style="3" customWidth="1"/>
    <col min="10498" max="10498" width="3" style="3" customWidth="1"/>
    <col min="10499" max="10503" width="3.44140625" style="3"/>
    <col min="10504" max="10520" width="4.44140625" style="3" customWidth="1"/>
    <col min="10521" max="10521" width="5.109375" style="3" customWidth="1"/>
    <col min="10522" max="10752" width="3.44140625" style="3"/>
    <col min="10753" max="10753" width="2.33203125" style="3" customWidth="1"/>
    <col min="10754" max="10754" width="3" style="3" customWidth="1"/>
    <col min="10755" max="10759" width="3.44140625" style="3"/>
    <col min="10760" max="10776" width="4.44140625" style="3" customWidth="1"/>
    <col min="10777" max="10777" width="5.109375" style="3" customWidth="1"/>
    <col min="10778" max="11008" width="3.44140625" style="3"/>
    <col min="11009" max="11009" width="2.33203125" style="3" customWidth="1"/>
    <col min="11010" max="11010" width="3" style="3" customWidth="1"/>
    <col min="11011" max="11015" width="3.44140625" style="3"/>
    <col min="11016" max="11032" width="4.44140625" style="3" customWidth="1"/>
    <col min="11033" max="11033" width="5.109375" style="3" customWidth="1"/>
    <col min="11034" max="11264" width="3.44140625" style="3"/>
    <col min="11265" max="11265" width="2.33203125" style="3" customWidth="1"/>
    <col min="11266" max="11266" width="3" style="3" customWidth="1"/>
    <col min="11267" max="11271" width="3.44140625" style="3"/>
    <col min="11272" max="11288" width="4.44140625" style="3" customWidth="1"/>
    <col min="11289" max="11289" width="5.109375" style="3" customWidth="1"/>
    <col min="11290" max="11520" width="3.44140625" style="3"/>
    <col min="11521" max="11521" width="2.33203125" style="3" customWidth="1"/>
    <col min="11522" max="11522" width="3" style="3" customWidth="1"/>
    <col min="11523" max="11527" width="3.44140625" style="3"/>
    <col min="11528" max="11544" width="4.44140625" style="3" customWidth="1"/>
    <col min="11545" max="11545" width="5.109375" style="3" customWidth="1"/>
    <col min="11546" max="11776" width="3.44140625" style="3"/>
    <col min="11777" max="11777" width="2.33203125" style="3" customWidth="1"/>
    <col min="11778" max="11778" width="3" style="3" customWidth="1"/>
    <col min="11779" max="11783" width="3.44140625" style="3"/>
    <col min="11784" max="11800" width="4.44140625" style="3" customWidth="1"/>
    <col min="11801" max="11801" width="5.109375" style="3" customWidth="1"/>
    <col min="11802" max="12032" width="3.44140625" style="3"/>
    <col min="12033" max="12033" width="2.33203125" style="3" customWidth="1"/>
    <col min="12034" max="12034" width="3" style="3" customWidth="1"/>
    <col min="12035" max="12039" width="3.44140625" style="3"/>
    <col min="12040" max="12056" width="4.44140625" style="3" customWidth="1"/>
    <col min="12057" max="12057" width="5.109375" style="3" customWidth="1"/>
    <col min="12058" max="12288" width="3.44140625" style="3"/>
    <col min="12289" max="12289" width="2.33203125" style="3" customWidth="1"/>
    <col min="12290" max="12290" width="3" style="3" customWidth="1"/>
    <col min="12291" max="12295" width="3.44140625" style="3"/>
    <col min="12296" max="12312" width="4.44140625" style="3" customWidth="1"/>
    <col min="12313" max="12313" width="5.109375" style="3" customWidth="1"/>
    <col min="12314" max="12544" width="3.44140625" style="3"/>
    <col min="12545" max="12545" width="2.33203125" style="3" customWidth="1"/>
    <col min="12546" max="12546" width="3" style="3" customWidth="1"/>
    <col min="12547" max="12551" width="3.44140625" style="3"/>
    <col min="12552" max="12568" width="4.44140625" style="3" customWidth="1"/>
    <col min="12569" max="12569" width="5.109375" style="3" customWidth="1"/>
    <col min="12570" max="12800" width="3.44140625" style="3"/>
    <col min="12801" max="12801" width="2.33203125" style="3" customWidth="1"/>
    <col min="12802" max="12802" width="3" style="3" customWidth="1"/>
    <col min="12803" max="12807" width="3.44140625" style="3"/>
    <col min="12808" max="12824" width="4.44140625" style="3" customWidth="1"/>
    <col min="12825" max="12825" width="5.109375" style="3" customWidth="1"/>
    <col min="12826" max="13056" width="3.44140625" style="3"/>
    <col min="13057" max="13057" width="2.33203125" style="3" customWidth="1"/>
    <col min="13058" max="13058" width="3" style="3" customWidth="1"/>
    <col min="13059" max="13063" width="3.44140625" style="3"/>
    <col min="13064" max="13080" width="4.44140625" style="3" customWidth="1"/>
    <col min="13081" max="13081" width="5.109375" style="3" customWidth="1"/>
    <col min="13082" max="13312" width="3.44140625" style="3"/>
    <col min="13313" max="13313" width="2.33203125" style="3" customWidth="1"/>
    <col min="13314" max="13314" width="3" style="3" customWidth="1"/>
    <col min="13315" max="13319" width="3.44140625" style="3"/>
    <col min="13320" max="13336" width="4.44140625" style="3" customWidth="1"/>
    <col min="13337" max="13337" width="5.109375" style="3" customWidth="1"/>
    <col min="13338" max="13568" width="3.44140625" style="3"/>
    <col min="13569" max="13569" width="2.33203125" style="3" customWidth="1"/>
    <col min="13570" max="13570" width="3" style="3" customWidth="1"/>
    <col min="13571" max="13575" width="3.44140625" style="3"/>
    <col min="13576" max="13592" width="4.44140625" style="3" customWidth="1"/>
    <col min="13593" max="13593" width="5.109375" style="3" customWidth="1"/>
    <col min="13594" max="13824" width="3.44140625" style="3"/>
    <col min="13825" max="13825" width="2.33203125" style="3" customWidth="1"/>
    <col min="13826" max="13826" width="3" style="3" customWidth="1"/>
    <col min="13827" max="13831" width="3.44140625" style="3"/>
    <col min="13832" max="13848" width="4.44140625" style="3" customWidth="1"/>
    <col min="13849" max="13849" width="5.109375" style="3" customWidth="1"/>
    <col min="13850" max="14080" width="3.44140625" style="3"/>
    <col min="14081" max="14081" width="2.33203125" style="3" customWidth="1"/>
    <col min="14082" max="14082" width="3" style="3" customWidth="1"/>
    <col min="14083" max="14087" width="3.44140625" style="3"/>
    <col min="14088" max="14104" width="4.44140625" style="3" customWidth="1"/>
    <col min="14105" max="14105" width="5.109375" style="3" customWidth="1"/>
    <col min="14106" max="14336" width="3.44140625" style="3"/>
    <col min="14337" max="14337" width="2.33203125" style="3" customWidth="1"/>
    <col min="14338" max="14338" width="3" style="3" customWidth="1"/>
    <col min="14339" max="14343" width="3.44140625" style="3"/>
    <col min="14344" max="14360" width="4.44140625" style="3" customWidth="1"/>
    <col min="14361" max="14361" width="5.109375" style="3" customWidth="1"/>
    <col min="14362" max="14592" width="3.44140625" style="3"/>
    <col min="14593" max="14593" width="2.33203125" style="3" customWidth="1"/>
    <col min="14594" max="14594" width="3" style="3" customWidth="1"/>
    <col min="14595" max="14599" width="3.44140625" style="3"/>
    <col min="14600" max="14616" width="4.44140625" style="3" customWidth="1"/>
    <col min="14617" max="14617" width="5.109375" style="3" customWidth="1"/>
    <col min="14618" max="14848" width="3.44140625" style="3"/>
    <col min="14849" max="14849" width="2.33203125" style="3" customWidth="1"/>
    <col min="14850" max="14850" width="3" style="3" customWidth="1"/>
    <col min="14851" max="14855" width="3.44140625" style="3"/>
    <col min="14856" max="14872" width="4.44140625" style="3" customWidth="1"/>
    <col min="14873" max="14873" width="5.109375" style="3" customWidth="1"/>
    <col min="14874" max="15104" width="3.44140625" style="3"/>
    <col min="15105" max="15105" width="2.33203125" style="3" customWidth="1"/>
    <col min="15106" max="15106" width="3" style="3" customWidth="1"/>
    <col min="15107" max="15111" width="3.44140625" style="3"/>
    <col min="15112" max="15128" width="4.44140625" style="3" customWidth="1"/>
    <col min="15129" max="15129" width="5.109375" style="3" customWidth="1"/>
    <col min="15130" max="15360" width="3.44140625" style="3"/>
    <col min="15361" max="15361" width="2.33203125" style="3" customWidth="1"/>
    <col min="15362" max="15362" width="3" style="3" customWidth="1"/>
    <col min="15363" max="15367" width="3.44140625" style="3"/>
    <col min="15368" max="15384" width="4.44140625" style="3" customWidth="1"/>
    <col min="15385" max="15385" width="5.109375" style="3" customWidth="1"/>
    <col min="15386" max="15616" width="3.44140625" style="3"/>
    <col min="15617" max="15617" width="2.33203125" style="3" customWidth="1"/>
    <col min="15618" max="15618" width="3" style="3" customWidth="1"/>
    <col min="15619" max="15623" width="3.44140625" style="3"/>
    <col min="15624" max="15640" width="4.44140625" style="3" customWidth="1"/>
    <col min="15641" max="15641" width="5.109375" style="3" customWidth="1"/>
    <col min="15642" max="15872" width="3.44140625" style="3"/>
    <col min="15873" max="15873" width="2.33203125" style="3" customWidth="1"/>
    <col min="15874" max="15874" width="3" style="3" customWidth="1"/>
    <col min="15875" max="15879" width="3.44140625" style="3"/>
    <col min="15880" max="15896" width="4.44140625" style="3" customWidth="1"/>
    <col min="15897" max="15897" width="5.109375" style="3" customWidth="1"/>
    <col min="15898" max="16128" width="3.44140625" style="3"/>
    <col min="16129" max="16129" width="2.33203125" style="3" customWidth="1"/>
    <col min="16130" max="16130" width="3" style="3" customWidth="1"/>
    <col min="16131" max="16135" width="3.44140625" style="3"/>
    <col min="16136" max="16152" width="4.44140625" style="3" customWidth="1"/>
    <col min="16153" max="16153" width="5.109375" style="3" customWidth="1"/>
    <col min="16154" max="16384" width="3.44140625" style="3"/>
  </cols>
  <sheetData>
    <row r="2" spans="2:25">
      <c r="B2" s="3" t="s">
        <v>1462</v>
      </c>
    </row>
    <row r="4" spans="2:25">
      <c r="B4" s="1788" t="s">
        <v>796</v>
      </c>
      <c r="C4" s="1788"/>
      <c r="D4" s="1788"/>
      <c r="E4" s="1788"/>
      <c r="F4" s="1788"/>
      <c r="G4" s="1788"/>
      <c r="H4" s="1788"/>
      <c r="I4" s="1788"/>
      <c r="J4" s="1788"/>
      <c r="K4" s="1788"/>
      <c r="L4" s="1788"/>
      <c r="M4" s="1788"/>
      <c r="N4" s="1788"/>
      <c r="O4" s="1788"/>
      <c r="P4" s="1788"/>
      <c r="Q4" s="1788"/>
      <c r="R4" s="1788"/>
      <c r="S4" s="1788"/>
      <c r="T4" s="1788"/>
      <c r="U4" s="1788"/>
      <c r="V4" s="1788"/>
      <c r="W4" s="1788"/>
      <c r="X4" s="1788"/>
      <c r="Y4" s="1788"/>
    </row>
    <row r="6" spans="2:25" ht="30" customHeight="1">
      <c r="B6" s="663">
        <v>1</v>
      </c>
      <c r="C6" s="639" t="s">
        <v>92</v>
      </c>
      <c r="D6" s="16"/>
      <c r="E6" s="16"/>
      <c r="F6" s="16"/>
      <c r="G6" s="17"/>
      <c r="H6" s="1789"/>
      <c r="I6" s="1790"/>
      <c r="J6" s="1790"/>
      <c r="K6" s="1790"/>
      <c r="L6" s="1790"/>
      <c r="M6" s="1790"/>
      <c r="N6" s="1790"/>
      <c r="O6" s="1790"/>
      <c r="P6" s="1790"/>
      <c r="Q6" s="1790"/>
      <c r="R6" s="1790"/>
      <c r="S6" s="1790"/>
      <c r="T6" s="1790"/>
      <c r="U6" s="1790"/>
      <c r="V6" s="1790"/>
      <c r="W6" s="1790"/>
      <c r="X6" s="1790"/>
      <c r="Y6" s="1791"/>
    </row>
    <row r="7" spans="2:25" ht="30" customHeight="1">
      <c r="B7" s="663">
        <v>2</v>
      </c>
      <c r="C7" s="639" t="s">
        <v>62</v>
      </c>
      <c r="D7" s="639"/>
      <c r="E7" s="639"/>
      <c r="F7" s="639"/>
      <c r="G7" s="643"/>
      <c r="H7" s="719" t="s">
        <v>121</v>
      </c>
      <c r="I7" s="639" t="s">
        <v>1173</v>
      </c>
      <c r="J7" s="639"/>
      <c r="K7" s="639"/>
      <c r="L7" s="639"/>
      <c r="M7" s="640" t="s">
        <v>121</v>
      </c>
      <c r="N7" s="639" t="s">
        <v>1174</v>
      </c>
      <c r="O7" s="639"/>
      <c r="P7" s="639"/>
      <c r="Q7" s="639"/>
      <c r="R7" s="640" t="s">
        <v>121</v>
      </c>
      <c r="S7" s="639" t="s">
        <v>1175</v>
      </c>
      <c r="T7" s="639"/>
      <c r="U7" s="639"/>
      <c r="V7" s="639"/>
      <c r="W7" s="639"/>
      <c r="X7" s="639"/>
      <c r="Y7" s="643"/>
    </row>
    <row r="8" spans="2:25" ht="30" customHeight="1">
      <c r="B8" s="602">
        <v>3</v>
      </c>
      <c r="C8" s="2" t="s">
        <v>63</v>
      </c>
      <c r="D8" s="2"/>
      <c r="E8" s="2"/>
      <c r="F8" s="2"/>
      <c r="G8" s="617"/>
      <c r="H8" s="641" t="s">
        <v>121</v>
      </c>
      <c r="I8" s="1" t="s">
        <v>1463</v>
      </c>
      <c r="J8" s="2"/>
      <c r="K8" s="2"/>
      <c r="L8" s="2"/>
      <c r="M8" s="2"/>
      <c r="N8" s="2"/>
      <c r="O8" s="2"/>
      <c r="P8" s="641" t="s">
        <v>121</v>
      </c>
      <c r="Q8" s="1" t="s">
        <v>1464</v>
      </c>
      <c r="R8" s="2"/>
      <c r="S8" s="2"/>
      <c r="T8" s="2"/>
      <c r="U8" s="2"/>
      <c r="V8" s="2"/>
      <c r="W8" s="2"/>
      <c r="X8" s="2"/>
      <c r="Y8" s="617"/>
    </row>
    <row r="9" spans="2:25" ht="30" customHeight="1">
      <c r="B9" s="602"/>
      <c r="C9" s="2"/>
      <c r="D9" s="2"/>
      <c r="E9" s="2"/>
      <c r="F9" s="2"/>
      <c r="G9" s="617"/>
      <c r="H9" s="641" t="s">
        <v>121</v>
      </c>
      <c r="I9" s="1" t="s">
        <v>1465</v>
      </c>
      <c r="J9" s="720"/>
      <c r="K9" s="720"/>
      <c r="L9" s="720"/>
      <c r="M9" s="720"/>
      <c r="N9" s="2"/>
      <c r="O9" s="2"/>
      <c r="P9" s="641" t="s">
        <v>121</v>
      </c>
      <c r="Q9" s="1" t="s">
        <v>1466</v>
      </c>
      <c r="R9" s="2"/>
      <c r="S9" s="2"/>
      <c r="T9" s="2"/>
      <c r="U9" s="2"/>
      <c r="V9" s="2"/>
      <c r="W9" s="2"/>
      <c r="X9" s="2"/>
      <c r="Y9" s="617"/>
    </row>
    <row r="10" spans="2:25">
      <c r="B10" s="680"/>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c r="B11" s="721">
        <v>4</v>
      </c>
      <c r="C11" s="1792" t="s">
        <v>797</v>
      </c>
      <c r="D11" s="1792"/>
      <c r="E11" s="1792"/>
      <c r="F11" s="1792"/>
      <c r="G11" s="1793"/>
      <c r="H11" s="625" t="s">
        <v>798</v>
      </c>
      <c r="I11" s="2"/>
      <c r="Y11" s="430"/>
    </row>
    <row r="12" spans="2:25" ht="19.5" customHeight="1">
      <c r="B12" s="429"/>
      <c r="G12" s="430"/>
      <c r="H12" s="433"/>
      <c r="I12" s="2" t="s">
        <v>799</v>
      </c>
      <c r="J12" s="2"/>
      <c r="K12" s="2"/>
      <c r="L12" s="2"/>
      <c r="M12" s="2"/>
      <c r="N12" s="2"/>
      <c r="O12" s="2"/>
      <c r="P12" s="2"/>
      <c r="Q12" s="2"/>
      <c r="R12" s="2"/>
      <c r="S12" s="2"/>
      <c r="T12" s="2"/>
      <c r="U12" s="2"/>
      <c r="Y12" s="430"/>
    </row>
    <row r="13" spans="2:25" ht="12" customHeight="1">
      <c r="B13" s="429"/>
      <c r="G13" s="430"/>
      <c r="H13" s="433"/>
      <c r="I13" s="1794" t="s">
        <v>64</v>
      </c>
      <c r="J13" s="1794"/>
      <c r="K13" s="1794"/>
      <c r="L13" s="1794"/>
      <c r="M13" s="1794"/>
      <c r="N13" s="1794"/>
      <c r="O13" s="1794"/>
      <c r="P13" s="1794"/>
      <c r="Q13" s="1795" t="s">
        <v>65</v>
      </c>
      <c r="R13" s="1796"/>
      <c r="S13" s="1796"/>
      <c r="T13" s="1796"/>
      <c r="U13" s="1796"/>
      <c r="V13" s="1796"/>
      <c r="W13" s="1797"/>
      <c r="Y13" s="430"/>
    </row>
    <row r="14" spans="2:25" ht="12" customHeight="1">
      <c r="B14" s="429"/>
      <c r="G14" s="430"/>
      <c r="H14" s="433"/>
      <c r="I14" s="1794"/>
      <c r="J14" s="1794"/>
      <c r="K14" s="1794"/>
      <c r="L14" s="1794"/>
      <c r="M14" s="1794"/>
      <c r="N14" s="1794"/>
      <c r="O14" s="1794"/>
      <c r="P14" s="1794"/>
      <c r="Q14" s="1798"/>
      <c r="R14" s="1799"/>
      <c r="S14" s="1799"/>
      <c r="T14" s="1799"/>
      <c r="U14" s="1799"/>
      <c r="V14" s="1799"/>
      <c r="W14" s="1800"/>
      <c r="Y14" s="430"/>
    </row>
    <row r="15" spans="2:25" ht="12" customHeight="1">
      <c r="B15" s="429"/>
      <c r="G15" s="430"/>
      <c r="H15" s="433"/>
      <c r="I15" s="1794" t="s">
        <v>69</v>
      </c>
      <c r="J15" s="1794"/>
      <c r="K15" s="1794"/>
      <c r="L15" s="1794"/>
      <c r="M15" s="1794"/>
      <c r="N15" s="1794"/>
      <c r="O15" s="1794"/>
      <c r="P15" s="1794"/>
      <c r="Q15" s="1803"/>
      <c r="R15" s="1804"/>
      <c r="S15" s="1804"/>
      <c r="T15" s="1804"/>
      <c r="U15" s="1804"/>
      <c r="V15" s="1804"/>
      <c r="W15" s="1805"/>
      <c r="Y15" s="430"/>
    </row>
    <row r="16" spans="2:25" ht="12" customHeight="1">
      <c r="B16" s="429"/>
      <c r="G16" s="430"/>
      <c r="H16" s="433"/>
      <c r="I16" s="1794"/>
      <c r="J16" s="1794"/>
      <c r="K16" s="1794"/>
      <c r="L16" s="1794"/>
      <c r="M16" s="1794"/>
      <c r="N16" s="1794"/>
      <c r="O16" s="1794"/>
      <c r="P16" s="1794"/>
      <c r="Q16" s="1806"/>
      <c r="R16" s="1807"/>
      <c r="S16" s="1807"/>
      <c r="T16" s="1807"/>
      <c r="U16" s="1807"/>
      <c r="V16" s="1807"/>
      <c r="W16" s="1808"/>
      <c r="Y16" s="430"/>
    </row>
    <row r="17" spans="2:25" ht="12" customHeight="1">
      <c r="B17" s="429"/>
      <c r="G17" s="430"/>
      <c r="H17" s="433"/>
      <c r="I17" s="1794" t="s">
        <v>102</v>
      </c>
      <c r="J17" s="1794"/>
      <c r="K17" s="1794"/>
      <c r="L17" s="1794"/>
      <c r="M17" s="1794"/>
      <c r="N17" s="1794"/>
      <c r="O17" s="1794"/>
      <c r="P17" s="1794"/>
      <c r="Q17" s="1803"/>
      <c r="R17" s="1804"/>
      <c r="S17" s="1804"/>
      <c r="T17" s="1804"/>
      <c r="U17" s="1804"/>
      <c r="V17" s="1804"/>
      <c r="W17" s="1805"/>
      <c r="Y17" s="430"/>
    </row>
    <row r="18" spans="2:25" ht="12" customHeight="1">
      <c r="B18" s="429"/>
      <c r="G18" s="430"/>
      <c r="H18" s="433"/>
      <c r="I18" s="1794"/>
      <c r="J18" s="1794"/>
      <c r="K18" s="1794"/>
      <c r="L18" s="1794"/>
      <c r="M18" s="1794"/>
      <c r="N18" s="1794"/>
      <c r="O18" s="1794"/>
      <c r="P18" s="1794"/>
      <c r="Q18" s="1806"/>
      <c r="R18" s="1807"/>
      <c r="S18" s="1807"/>
      <c r="T18" s="1807"/>
      <c r="U18" s="1807"/>
      <c r="V18" s="1807"/>
      <c r="W18" s="1808"/>
      <c r="Y18" s="430"/>
    </row>
    <row r="19" spans="2:25" ht="12" customHeight="1">
      <c r="B19" s="429"/>
      <c r="G19" s="430"/>
      <c r="H19" s="433"/>
      <c r="I19" s="1794" t="s">
        <v>66</v>
      </c>
      <c r="J19" s="1794"/>
      <c r="K19" s="1794"/>
      <c r="L19" s="1794"/>
      <c r="M19" s="1794"/>
      <c r="N19" s="1794"/>
      <c r="O19" s="1794"/>
      <c r="P19" s="1794"/>
      <c r="Q19" s="1803"/>
      <c r="R19" s="1804"/>
      <c r="S19" s="1804"/>
      <c r="T19" s="1804"/>
      <c r="U19" s="1804"/>
      <c r="V19" s="1804"/>
      <c r="W19" s="1805"/>
      <c r="Y19" s="430"/>
    </row>
    <row r="20" spans="2:25" ht="12" customHeight="1">
      <c r="B20" s="429"/>
      <c r="G20" s="430"/>
      <c r="H20" s="433"/>
      <c r="I20" s="1794"/>
      <c r="J20" s="1794"/>
      <c r="K20" s="1794"/>
      <c r="L20" s="1794"/>
      <c r="M20" s="1794"/>
      <c r="N20" s="1794"/>
      <c r="O20" s="1794"/>
      <c r="P20" s="1794"/>
      <c r="Q20" s="1806"/>
      <c r="R20" s="1807"/>
      <c r="S20" s="1807"/>
      <c r="T20" s="1807"/>
      <c r="U20" s="1807"/>
      <c r="V20" s="1807"/>
      <c r="W20" s="1808"/>
      <c r="Y20" s="430"/>
    </row>
    <row r="21" spans="2:25" ht="12" customHeight="1">
      <c r="B21" s="429"/>
      <c r="G21" s="430"/>
      <c r="H21" s="433"/>
      <c r="I21" s="1794" t="s">
        <v>68</v>
      </c>
      <c r="J21" s="1794"/>
      <c r="K21" s="1794"/>
      <c r="L21" s="1794"/>
      <c r="M21" s="1794"/>
      <c r="N21" s="1794"/>
      <c r="O21" s="1794"/>
      <c r="P21" s="1794"/>
      <c r="Q21" s="1803"/>
      <c r="R21" s="1804"/>
      <c r="S21" s="1804"/>
      <c r="T21" s="1804"/>
      <c r="U21" s="1804"/>
      <c r="V21" s="1804"/>
      <c r="W21" s="1805"/>
      <c r="Y21" s="430"/>
    </row>
    <row r="22" spans="2:25" ht="12" customHeight="1">
      <c r="B22" s="429"/>
      <c r="G22" s="430"/>
      <c r="H22" s="433"/>
      <c r="I22" s="1794"/>
      <c r="J22" s="1794"/>
      <c r="K22" s="1794"/>
      <c r="L22" s="1794"/>
      <c r="M22" s="1794"/>
      <c r="N22" s="1794"/>
      <c r="O22" s="1794"/>
      <c r="P22" s="1794"/>
      <c r="Q22" s="1806"/>
      <c r="R22" s="1807"/>
      <c r="S22" s="1807"/>
      <c r="T22" s="1807"/>
      <c r="U22" s="1807"/>
      <c r="V22" s="1807"/>
      <c r="W22" s="1808"/>
      <c r="Y22" s="430"/>
    </row>
    <row r="23" spans="2:25" ht="12" customHeight="1">
      <c r="B23" s="429"/>
      <c r="G23" s="430"/>
      <c r="H23" s="433"/>
      <c r="I23" s="1795" t="s">
        <v>67</v>
      </c>
      <c r="J23" s="1796"/>
      <c r="K23" s="1796"/>
      <c r="L23" s="1796"/>
      <c r="M23" s="1796"/>
      <c r="N23" s="1796"/>
      <c r="O23" s="1796"/>
      <c r="P23" s="1797"/>
      <c r="Q23" s="1803"/>
      <c r="R23" s="1804"/>
      <c r="S23" s="1804"/>
      <c r="T23" s="1804"/>
      <c r="U23" s="1804"/>
      <c r="V23" s="1804"/>
      <c r="W23" s="1805"/>
      <c r="Y23" s="430"/>
    </row>
    <row r="24" spans="2:25" ht="12" customHeight="1">
      <c r="B24" s="429"/>
      <c r="G24" s="430"/>
      <c r="H24" s="433"/>
      <c r="I24" s="1798"/>
      <c r="J24" s="1799"/>
      <c r="K24" s="1799"/>
      <c r="L24" s="1799"/>
      <c r="M24" s="1799"/>
      <c r="N24" s="1799"/>
      <c r="O24" s="1799"/>
      <c r="P24" s="1800"/>
      <c r="Q24" s="1806"/>
      <c r="R24" s="1807"/>
      <c r="S24" s="1807"/>
      <c r="T24" s="1807"/>
      <c r="U24" s="1807"/>
      <c r="V24" s="1807"/>
      <c r="W24" s="1808"/>
      <c r="Y24" s="430"/>
    </row>
    <row r="25" spans="2:25" ht="12" customHeight="1">
      <c r="B25" s="429"/>
      <c r="G25" s="430"/>
      <c r="H25" s="433"/>
      <c r="I25" s="1795"/>
      <c r="J25" s="1796"/>
      <c r="K25" s="1796"/>
      <c r="L25" s="1796"/>
      <c r="M25" s="1796"/>
      <c r="N25" s="1796"/>
      <c r="O25" s="1796"/>
      <c r="P25" s="1797"/>
      <c r="Q25" s="1803"/>
      <c r="R25" s="1804"/>
      <c r="S25" s="1804"/>
      <c r="T25" s="1804"/>
      <c r="U25" s="1804"/>
      <c r="V25" s="1804"/>
      <c r="W25" s="1805"/>
      <c r="Y25" s="430"/>
    </row>
    <row r="26" spans="2:25" ht="12" customHeight="1">
      <c r="B26" s="429"/>
      <c r="G26" s="430"/>
      <c r="H26" s="433"/>
      <c r="I26" s="1798"/>
      <c r="J26" s="1799"/>
      <c r="K26" s="1799"/>
      <c r="L26" s="1799"/>
      <c r="M26" s="1799"/>
      <c r="N26" s="1799"/>
      <c r="O26" s="1799"/>
      <c r="P26" s="1800"/>
      <c r="Q26" s="1806"/>
      <c r="R26" s="1807"/>
      <c r="S26" s="1807"/>
      <c r="T26" s="1807"/>
      <c r="U26" s="1807"/>
      <c r="V26" s="1807"/>
      <c r="W26" s="1808"/>
      <c r="Y26" s="430"/>
    </row>
    <row r="27" spans="2:25" ht="12" customHeight="1">
      <c r="B27" s="429"/>
      <c r="G27" s="430"/>
      <c r="H27" s="433"/>
      <c r="I27" s="1794"/>
      <c r="J27" s="1794"/>
      <c r="K27" s="1794"/>
      <c r="L27" s="1794"/>
      <c r="M27" s="1794"/>
      <c r="N27" s="1794"/>
      <c r="O27" s="1794"/>
      <c r="P27" s="1794"/>
      <c r="Q27" s="1803"/>
      <c r="R27" s="1804"/>
      <c r="S27" s="1804"/>
      <c r="T27" s="1804"/>
      <c r="U27" s="1804"/>
      <c r="V27" s="1804"/>
      <c r="W27" s="1805"/>
      <c r="Y27" s="430"/>
    </row>
    <row r="28" spans="2:25" s="626" customFormat="1" ht="12" customHeight="1">
      <c r="B28" s="429"/>
      <c r="C28" s="3"/>
      <c r="D28" s="3"/>
      <c r="E28" s="3"/>
      <c r="F28" s="3"/>
      <c r="G28" s="430"/>
      <c r="H28" s="628"/>
      <c r="I28" s="1794"/>
      <c r="J28" s="1794"/>
      <c r="K28" s="1794"/>
      <c r="L28" s="1794"/>
      <c r="M28" s="1794"/>
      <c r="N28" s="1794"/>
      <c r="O28" s="1794"/>
      <c r="P28" s="1794"/>
      <c r="Q28" s="1806"/>
      <c r="R28" s="1807"/>
      <c r="S28" s="1807"/>
      <c r="T28" s="1807"/>
      <c r="U28" s="1807"/>
      <c r="V28" s="1807"/>
      <c r="W28" s="1808"/>
      <c r="Y28" s="627"/>
    </row>
    <row r="29" spans="2:25" ht="15" customHeight="1">
      <c r="B29" s="429"/>
      <c r="G29" s="430"/>
      <c r="H29" s="433"/>
      <c r="I29" s="2"/>
      <c r="J29" s="2"/>
      <c r="K29" s="2"/>
      <c r="L29" s="2"/>
      <c r="M29" s="2"/>
      <c r="N29" s="2"/>
      <c r="O29" s="2"/>
      <c r="P29" s="2"/>
      <c r="Q29" s="2"/>
      <c r="R29" s="2"/>
      <c r="S29" s="2"/>
      <c r="T29" s="2"/>
      <c r="U29" s="2"/>
      <c r="Y29" s="407"/>
    </row>
    <row r="30" spans="2:25" ht="20.25" customHeight="1">
      <c r="B30" s="429"/>
      <c r="G30" s="430"/>
      <c r="H30" s="625" t="s">
        <v>800</v>
      </c>
      <c r="I30" s="2"/>
      <c r="J30" s="2"/>
      <c r="K30" s="2"/>
      <c r="L30" s="2"/>
      <c r="M30" s="2"/>
      <c r="N30" s="2"/>
      <c r="O30" s="2"/>
      <c r="P30" s="2"/>
      <c r="Q30" s="2"/>
      <c r="R30" s="2"/>
      <c r="S30" s="2"/>
      <c r="T30" s="2"/>
      <c r="U30" s="2"/>
      <c r="Y30" s="407"/>
    </row>
    <row r="31" spans="2:25" ht="9.75" customHeight="1">
      <c r="B31" s="429"/>
      <c r="G31" s="430"/>
      <c r="H31" s="625"/>
      <c r="I31" s="2"/>
      <c r="J31" s="2"/>
      <c r="K31" s="2"/>
      <c r="L31" s="2"/>
      <c r="M31" s="2"/>
      <c r="N31" s="2"/>
      <c r="O31" s="2"/>
      <c r="P31" s="2"/>
      <c r="Q31" s="2"/>
      <c r="R31" s="2"/>
      <c r="S31" s="2"/>
      <c r="T31" s="2"/>
      <c r="U31" s="2"/>
      <c r="Y31" s="407"/>
    </row>
    <row r="32" spans="2:25" ht="22.5" customHeight="1">
      <c r="B32" s="429"/>
      <c r="G32" s="430"/>
      <c r="H32" s="433"/>
      <c r="I32" s="1590" t="s">
        <v>801</v>
      </c>
      <c r="J32" s="1591"/>
      <c r="K32" s="1591"/>
      <c r="L32" s="1591"/>
      <c r="M32" s="1591"/>
      <c r="N32" s="1591"/>
      <c r="O32" s="1591"/>
      <c r="P32" s="1591"/>
      <c r="Q32" s="1591"/>
      <c r="R32" s="1601"/>
      <c r="S32" s="1795"/>
      <c r="T32" s="1796"/>
      <c r="U32" s="1797" t="s">
        <v>89</v>
      </c>
      <c r="Y32" s="430"/>
    </row>
    <row r="33" spans="1:25" ht="22.5" customHeight="1">
      <c r="B33" s="429"/>
      <c r="G33" s="430"/>
      <c r="H33" s="433"/>
      <c r="I33" s="1603"/>
      <c r="J33" s="1604"/>
      <c r="K33" s="1604"/>
      <c r="L33" s="1604"/>
      <c r="M33" s="1604"/>
      <c r="N33" s="1604"/>
      <c r="O33" s="1604"/>
      <c r="P33" s="1604"/>
      <c r="Q33" s="1604"/>
      <c r="R33" s="1605"/>
      <c r="S33" s="1798"/>
      <c r="T33" s="1799"/>
      <c r="U33" s="1800"/>
      <c r="Y33" s="430"/>
    </row>
    <row r="34" spans="1:25" ht="11.25" customHeight="1">
      <c r="B34" s="429"/>
      <c r="G34" s="430"/>
      <c r="H34" s="625"/>
      <c r="I34" s="2"/>
      <c r="J34" s="2"/>
      <c r="K34" s="2"/>
      <c r="L34" s="2"/>
      <c r="M34" s="2"/>
      <c r="N34" s="2"/>
      <c r="O34" s="2"/>
      <c r="P34" s="2"/>
      <c r="Q34" s="2"/>
      <c r="R34" s="2"/>
      <c r="S34" s="2"/>
      <c r="T34" s="2"/>
      <c r="U34" s="2"/>
      <c r="Y34" s="407"/>
    </row>
    <row r="35" spans="1:25" ht="27.75" customHeight="1">
      <c r="B35" s="429"/>
      <c r="G35" s="430"/>
      <c r="H35" s="433"/>
      <c r="I35" s="1590" t="s">
        <v>802</v>
      </c>
      <c r="J35" s="1591"/>
      <c r="K35" s="1591"/>
      <c r="L35" s="1591"/>
      <c r="M35" s="1591"/>
      <c r="N35" s="1591"/>
      <c r="O35" s="1591"/>
      <c r="P35" s="1591"/>
      <c r="Q35" s="1591"/>
      <c r="R35" s="1601"/>
      <c r="S35" s="1795"/>
      <c r="T35" s="1796"/>
      <c r="U35" s="1797" t="s">
        <v>89</v>
      </c>
      <c r="V35" s="1801" t="s">
        <v>198</v>
      </c>
      <c r="W35" s="1820" t="s">
        <v>803</v>
      </c>
      <c r="X35" s="1820"/>
      <c r="Y35" s="1892"/>
    </row>
    <row r="36" spans="1:25" ht="21.75" customHeight="1">
      <c r="B36" s="429"/>
      <c r="G36" s="430"/>
      <c r="H36" s="433"/>
      <c r="I36" s="1603"/>
      <c r="J36" s="1604"/>
      <c r="K36" s="1604"/>
      <c r="L36" s="1604"/>
      <c r="M36" s="1604"/>
      <c r="N36" s="1604"/>
      <c r="O36" s="1604"/>
      <c r="P36" s="1604"/>
      <c r="Q36" s="1604"/>
      <c r="R36" s="1605"/>
      <c r="S36" s="1798"/>
      <c r="T36" s="1799"/>
      <c r="U36" s="1800"/>
      <c r="V36" s="1801"/>
      <c r="W36" s="1820"/>
      <c r="X36" s="1820"/>
      <c r="Y36" s="1892"/>
    </row>
    <row r="37" spans="1:25" ht="21.75" customHeight="1">
      <c r="B37" s="429"/>
      <c r="G37" s="430"/>
      <c r="I37" s="621"/>
      <c r="J37" s="621"/>
      <c r="K37" s="621"/>
      <c r="L37" s="621"/>
      <c r="M37" s="621"/>
      <c r="N37" s="621"/>
      <c r="O37" s="621"/>
      <c r="P37" s="621"/>
      <c r="Q37" s="621"/>
      <c r="R37" s="621"/>
      <c r="S37" s="722"/>
      <c r="T37" s="722"/>
      <c r="U37" s="722"/>
      <c r="V37" s="12"/>
      <c r="W37" s="1604" t="s">
        <v>804</v>
      </c>
      <c r="X37" s="1604"/>
      <c r="Y37" s="1605"/>
    </row>
    <row r="38" spans="1:25" ht="21.75" customHeight="1">
      <c r="A38" s="430"/>
      <c r="H38" s="723"/>
      <c r="I38" s="1597" t="s">
        <v>805</v>
      </c>
      <c r="J38" s="1597"/>
      <c r="K38" s="1597"/>
      <c r="L38" s="1597"/>
      <c r="M38" s="1597"/>
      <c r="N38" s="1597"/>
      <c r="O38" s="1597"/>
      <c r="P38" s="1597"/>
      <c r="Q38" s="1597"/>
      <c r="R38" s="1602"/>
      <c r="S38" s="1801"/>
      <c r="T38" s="1575"/>
      <c r="U38" s="1802" t="s">
        <v>89</v>
      </c>
      <c r="V38" s="12"/>
      <c r="W38" s="1597"/>
      <c r="X38" s="1597"/>
      <c r="Y38" s="1602"/>
    </row>
    <row r="39" spans="1:25" ht="21.75" customHeight="1">
      <c r="B39" s="429"/>
      <c r="G39" s="430"/>
      <c r="H39" s="433"/>
      <c r="I39" s="1603"/>
      <c r="J39" s="1604"/>
      <c r="K39" s="1604"/>
      <c r="L39" s="1604"/>
      <c r="M39" s="1604"/>
      <c r="N39" s="1604"/>
      <c r="O39" s="1604"/>
      <c r="P39" s="1604"/>
      <c r="Q39" s="1604"/>
      <c r="R39" s="1605"/>
      <c r="S39" s="1798"/>
      <c r="T39" s="1799"/>
      <c r="U39" s="1800"/>
      <c r="V39" s="12"/>
      <c r="W39" s="1597"/>
      <c r="X39" s="1597"/>
      <c r="Y39" s="1602"/>
    </row>
    <row r="40" spans="1:25" ht="15" customHeight="1">
      <c r="B40" s="429"/>
      <c r="G40" s="430"/>
      <c r="H40" s="433"/>
      <c r="I40" s="2"/>
      <c r="J40" s="2"/>
      <c r="K40" s="2"/>
      <c r="L40" s="2"/>
      <c r="M40" s="2"/>
      <c r="N40" s="2"/>
      <c r="O40" s="2"/>
      <c r="P40" s="2"/>
      <c r="Q40" s="2"/>
      <c r="R40" s="2"/>
      <c r="S40" s="2"/>
      <c r="T40" s="2"/>
      <c r="U40" s="2"/>
      <c r="W40" s="1597"/>
      <c r="X40" s="1597"/>
      <c r="Y40" s="1602"/>
    </row>
    <row r="41" spans="1:25" ht="15" customHeight="1">
      <c r="B41" s="679"/>
      <c r="C41" s="59"/>
      <c r="D41" s="59"/>
      <c r="E41" s="59"/>
      <c r="F41" s="59"/>
      <c r="G41" s="60"/>
      <c r="H41" s="432"/>
      <c r="I41" s="59"/>
      <c r="J41" s="59"/>
      <c r="K41" s="59"/>
      <c r="L41" s="59"/>
      <c r="M41" s="59"/>
      <c r="N41" s="59"/>
      <c r="O41" s="59"/>
      <c r="P41" s="59"/>
      <c r="Q41" s="59"/>
      <c r="R41" s="59"/>
      <c r="S41" s="59"/>
      <c r="T41" s="59"/>
      <c r="U41" s="59"/>
      <c r="V41" s="59"/>
      <c r="W41" s="1604"/>
      <c r="X41" s="1604"/>
      <c r="Y41" s="1605"/>
    </row>
    <row r="42" spans="1:25" ht="15" customHeight="1">
      <c r="Y42" s="406"/>
    </row>
    <row r="43" spans="1:25">
      <c r="B43" s="428" t="s">
        <v>806</v>
      </c>
      <c r="D43" s="724"/>
      <c r="E43" s="724"/>
      <c r="F43" s="724"/>
      <c r="G43" s="724"/>
      <c r="H43" s="724"/>
      <c r="I43" s="724"/>
      <c r="J43" s="724"/>
      <c r="K43" s="724"/>
      <c r="L43" s="724"/>
      <c r="M43" s="724"/>
      <c r="N43" s="724"/>
      <c r="O43" s="724"/>
      <c r="P43" s="724"/>
      <c r="Q43" s="724"/>
      <c r="R43" s="724"/>
      <c r="S43" s="724"/>
      <c r="T43" s="724"/>
      <c r="U43" s="724"/>
      <c r="V43" s="724"/>
      <c r="W43" s="724"/>
      <c r="X43" s="724"/>
      <c r="Y43" s="724"/>
    </row>
    <row r="44" spans="1:25">
      <c r="B44" s="428" t="s">
        <v>807</v>
      </c>
      <c r="D44" s="724"/>
      <c r="E44" s="724"/>
      <c r="F44" s="724"/>
      <c r="G44" s="724"/>
      <c r="H44" s="724"/>
      <c r="I44" s="724"/>
      <c r="J44" s="724"/>
      <c r="K44" s="724"/>
      <c r="L44" s="724"/>
      <c r="M44" s="724"/>
      <c r="N44" s="724"/>
      <c r="O44" s="724"/>
      <c r="P44" s="724"/>
      <c r="Q44" s="724"/>
      <c r="R44" s="724"/>
      <c r="S44" s="724"/>
      <c r="T44" s="724"/>
      <c r="U44" s="724"/>
      <c r="V44" s="724"/>
      <c r="W44" s="724"/>
      <c r="X44" s="724"/>
      <c r="Y44" s="724"/>
    </row>
    <row r="45" spans="1:25">
      <c r="B45" s="428"/>
      <c r="D45" s="668"/>
      <c r="E45" s="668"/>
      <c r="F45" s="668"/>
      <c r="G45" s="668"/>
      <c r="H45" s="668"/>
      <c r="I45" s="668"/>
      <c r="J45" s="668"/>
      <c r="K45" s="668"/>
      <c r="L45" s="668"/>
      <c r="M45" s="668"/>
      <c r="N45" s="668"/>
      <c r="O45" s="668"/>
      <c r="P45" s="668"/>
      <c r="Q45" s="668"/>
      <c r="R45" s="668"/>
      <c r="S45" s="668"/>
      <c r="T45" s="668"/>
      <c r="U45" s="668"/>
      <c r="V45" s="668"/>
      <c r="W45" s="668"/>
      <c r="X45" s="668"/>
      <c r="Y45" s="668"/>
    </row>
    <row r="121" spans="3:7">
      <c r="C121" s="59"/>
      <c r="D121" s="59"/>
      <c r="E121" s="59"/>
      <c r="F121" s="59"/>
      <c r="G121" s="59"/>
    </row>
    <row r="122" spans="3:7">
      <c r="C122" s="57"/>
    </row>
  </sheetData>
  <mergeCells count="31">
    <mergeCell ref="V35:V36"/>
    <mergeCell ref="W35:Y36"/>
    <mergeCell ref="W37:Y41"/>
    <mergeCell ref="I38:R39"/>
    <mergeCell ref="S38:T39"/>
    <mergeCell ref="U38:U39"/>
    <mergeCell ref="I32:R33"/>
    <mergeCell ref="S32:T33"/>
    <mergeCell ref="U32:U33"/>
    <mergeCell ref="I35:R36"/>
    <mergeCell ref="S35:T36"/>
    <mergeCell ref="U35:U36"/>
    <mergeCell ref="I23:P24"/>
    <mergeCell ref="Q23:W24"/>
    <mergeCell ref="I25:P26"/>
    <mergeCell ref="Q25:W26"/>
    <mergeCell ref="I27:P28"/>
    <mergeCell ref="Q27:W28"/>
    <mergeCell ref="I17:P18"/>
    <mergeCell ref="Q17:W18"/>
    <mergeCell ref="I19:P20"/>
    <mergeCell ref="Q19:W20"/>
    <mergeCell ref="I21:P22"/>
    <mergeCell ref="Q21:W22"/>
    <mergeCell ref="I15:P16"/>
    <mergeCell ref="Q15:W16"/>
    <mergeCell ref="B4:Y4"/>
    <mergeCell ref="H6:Y6"/>
    <mergeCell ref="C11:G11"/>
    <mergeCell ref="I13:P14"/>
    <mergeCell ref="Q13:W14"/>
  </mergeCells>
  <phoneticPr fontId="3"/>
  <dataValidations count="1">
    <dataValidation type="list" allowBlank="1" showInputMessage="1" showErrorMessage="1" sqref="M7 JI7 TE7 ADA7 AMW7 AWS7 BGO7 BQK7 CAG7 CKC7 CTY7 DDU7 DNQ7 DXM7 EHI7 ERE7 FBA7 FKW7 FUS7 GEO7 GOK7 GYG7 HIC7 HRY7 IBU7 ILQ7 IVM7 JFI7 JPE7 JZA7 KIW7 KSS7 LCO7 LMK7 LWG7 MGC7 MPY7 MZU7 NJQ7 NTM7 ODI7 ONE7 OXA7 PGW7 PQS7 QAO7 QKK7 QUG7 REC7 RNY7 RXU7 SHQ7 SRM7 TBI7 TLE7 TVA7 UEW7 UOS7 UYO7 VIK7 VSG7 WCC7 WLY7 WVU7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R7 JN7 TJ7 ADF7 ANB7 AWX7 BGT7 BQP7 CAL7 CKH7 CUD7 DDZ7 DNV7 DXR7 EHN7 ERJ7 FBF7 FLB7 FUX7 GET7 GOP7 GYL7 HIH7 HSD7 IBZ7 ILV7 IVR7 JFN7 JPJ7 JZF7 KJB7 KSX7 LCT7 LMP7 LWL7 MGH7 MQD7 MZZ7 NJV7 NTR7 ODN7 ONJ7 OXF7 PHB7 PQX7 QAT7 QKP7 QUL7 REH7 ROD7 RXZ7 SHV7 SRR7 TBN7 TLJ7 TVF7 UFB7 UOX7 UYT7 VIP7 VSL7 WCH7 WMD7 WVZ7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H7:H9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H65543:H65545 JD65543:JD65545 SZ65543:SZ65545 ACV65543:ACV65545 AMR65543:AMR65545 AWN65543:AWN65545 BGJ65543:BGJ65545 BQF65543:BQF65545 CAB65543:CAB65545 CJX65543:CJX65545 CTT65543:CTT65545 DDP65543:DDP65545 DNL65543:DNL65545 DXH65543:DXH65545 EHD65543:EHD65545 EQZ65543:EQZ65545 FAV65543:FAV65545 FKR65543:FKR65545 FUN65543:FUN65545 GEJ65543:GEJ65545 GOF65543:GOF65545 GYB65543:GYB65545 HHX65543:HHX65545 HRT65543:HRT65545 IBP65543:IBP65545 ILL65543:ILL65545 IVH65543:IVH65545 JFD65543:JFD65545 JOZ65543:JOZ65545 JYV65543:JYV65545 KIR65543:KIR65545 KSN65543:KSN65545 LCJ65543:LCJ65545 LMF65543:LMF65545 LWB65543:LWB65545 MFX65543:MFX65545 MPT65543:MPT65545 MZP65543:MZP65545 NJL65543:NJL65545 NTH65543:NTH65545 ODD65543:ODD65545 OMZ65543:OMZ65545 OWV65543:OWV65545 PGR65543:PGR65545 PQN65543:PQN65545 QAJ65543:QAJ65545 QKF65543:QKF65545 QUB65543:QUB65545 RDX65543:RDX65545 RNT65543:RNT65545 RXP65543:RXP65545 SHL65543:SHL65545 SRH65543:SRH65545 TBD65543:TBD65545 TKZ65543:TKZ65545 TUV65543:TUV65545 UER65543:UER65545 UON65543:UON65545 UYJ65543:UYJ65545 VIF65543:VIF65545 VSB65543:VSB65545 WBX65543:WBX65545 WLT65543:WLT65545 WVP65543:WVP65545 H131079:H131081 JD131079:JD131081 SZ131079:SZ131081 ACV131079:ACV131081 AMR131079:AMR131081 AWN131079:AWN131081 BGJ131079:BGJ131081 BQF131079:BQF131081 CAB131079:CAB131081 CJX131079:CJX131081 CTT131079:CTT131081 DDP131079:DDP131081 DNL131079:DNL131081 DXH131079:DXH131081 EHD131079:EHD131081 EQZ131079:EQZ131081 FAV131079:FAV131081 FKR131079:FKR131081 FUN131079:FUN131081 GEJ131079:GEJ131081 GOF131079:GOF131081 GYB131079:GYB131081 HHX131079:HHX131081 HRT131079:HRT131081 IBP131079:IBP131081 ILL131079:ILL131081 IVH131079:IVH131081 JFD131079:JFD131081 JOZ131079:JOZ131081 JYV131079:JYV131081 KIR131079:KIR131081 KSN131079:KSN131081 LCJ131079:LCJ131081 LMF131079:LMF131081 LWB131079:LWB131081 MFX131079:MFX131081 MPT131079:MPT131081 MZP131079:MZP131081 NJL131079:NJL131081 NTH131079:NTH131081 ODD131079:ODD131081 OMZ131079:OMZ131081 OWV131079:OWV131081 PGR131079:PGR131081 PQN131079:PQN131081 QAJ131079:QAJ131081 QKF131079:QKF131081 QUB131079:QUB131081 RDX131079:RDX131081 RNT131079:RNT131081 RXP131079:RXP131081 SHL131079:SHL131081 SRH131079:SRH131081 TBD131079:TBD131081 TKZ131079:TKZ131081 TUV131079:TUV131081 UER131079:UER131081 UON131079:UON131081 UYJ131079:UYJ131081 VIF131079:VIF131081 VSB131079:VSB131081 WBX131079:WBX131081 WLT131079:WLT131081 WVP131079:WVP131081 H196615:H196617 JD196615:JD196617 SZ196615:SZ196617 ACV196615:ACV196617 AMR196615:AMR196617 AWN196615:AWN196617 BGJ196615:BGJ196617 BQF196615:BQF196617 CAB196615:CAB196617 CJX196615:CJX196617 CTT196615:CTT196617 DDP196615:DDP196617 DNL196615:DNL196617 DXH196615:DXH196617 EHD196615:EHD196617 EQZ196615:EQZ196617 FAV196615:FAV196617 FKR196615:FKR196617 FUN196615:FUN196617 GEJ196615:GEJ196617 GOF196615:GOF196617 GYB196615:GYB196617 HHX196615:HHX196617 HRT196615:HRT196617 IBP196615:IBP196617 ILL196615:ILL196617 IVH196615:IVH196617 JFD196615:JFD196617 JOZ196615:JOZ196617 JYV196615:JYV196617 KIR196615:KIR196617 KSN196615:KSN196617 LCJ196615:LCJ196617 LMF196615:LMF196617 LWB196615:LWB196617 MFX196615:MFX196617 MPT196615:MPT196617 MZP196615:MZP196617 NJL196615:NJL196617 NTH196615:NTH196617 ODD196615:ODD196617 OMZ196615:OMZ196617 OWV196615:OWV196617 PGR196615:PGR196617 PQN196615:PQN196617 QAJ196615:QAJ196617 QKF196615:QKF196617 QUB196615:QUB196617 RDX196615:RDX196617 RNT196615:RNT196617 RXP196615:RXP196617 SHL196615:SHL196617 SRH196615:SRH196617 TBD196615:TBD196617 TKZ196615:TKZ196617 TUV196615:TUV196617 UER196615:UER196617 UON196615:UON196617 UYJ196615:UYJ196617 VIF196615:VIF196617 VSB196615:VSB196617 WBX196615:WBX196617 WLT196615:WLT196617 WVP196615:WVP196617 H262151:H262153 JD262151:JD262153 SZ262151:SZ262153 ACV262151:ACV262153 AMR262151:AMR262153 AWN262151:AWN262153 BGJ262151:BGJ262153 BQF262151:BQF262153 CAB262151:CAB262153 CJX262151:CJX262153 CTT262151:CTT262153 DDP262151:DDP262153 DNL262151:DNL262153 DXH262151:DXH262153 EHD262151:EHD262153 EQZ262151:EQZ262153 FAV262151:FAV262153 FKR262151:FKR262153 FUN262151:FUN262153 GEJ262151:GEJ262153 GOF262151:GOF262153 GYB262151:GYB262153 HHX262151:HHX262153 HRT262151:HRT262153 IBP262151:IBP262153 ILL262151:ILL262153 IVH262151:IVH262153 JFD262151:JFD262153 JOZ262151:JOZ262153 JYV262151:JYV262153 KIR262151:KIR262153 KSN262151:KSN262153 LCJ262151:LCJ262153 LMF262151:LMF262153 LWB262151:LWB262153 MFX262151:MFX262153 MPT262151:MPT262153 MZP262151:MZP262153 NJL262151:NJL262153 NTH262151:NTH262153 ODD262151:ODD262153 OMZ262151:OMZ262153 OWV262151:OWV262153 PGR262151:PGR262153 PQN262151:PQN262153 QAJ262151:QAJ262153 QKF262151:QKF262153 QUB262151:QUB262153 RDX262151:RDX262153 RNT262151:RNT262153 RXP262151:RXP262153 SHL262151:SHL262153 SRH262151:SRH262153 TBD262151:TBD262153 TKZ262151:TKZ262153 TUV262151:TUV262153 UER262151:UER262153 UON262151:UON262153 UYJ262151:UYJ262153 VIF262151:VIF262153 VSB262151:VSB262153 WBX262151:WBX262153 WLT262151:WLT262153 WVP262151:WVP262153 H327687:H327689 JD327687:JD327689 SZ327687:SZ327689 ACV327687:ACV327689 AMR327687:AMR327689 AWN327687:AWN327689 BGJ327687:BGJ327689 BQF327687:BQF327689 CAB327687:CAB327689 CJX327687:CJX327689 CTT327687:CTT327689 DDP327687:DDP327689 DNL327687:DNL327689 DXH327687:DXH327689 EHD327687:EHD327689 EQZ327687:EQZ327689 FAV327687:FAV327689 FKR327687:FKR327689 FUN327687:FUN327689 GEJ327687:GEJ327689 GOF327687:GOF327689 GYB327687:GYB327689 HHX327687:HHX327689 HRT327687:HRT327689 IBP327687:IBP327689 ILL327687:ILL327689 IVH327687:IVH327689 JFD327687:JFD327689 JOZ327687:JOZ327689 JYV327687:JYV327689 KIR327687:KIR327689 KSN327687:KSN327689 LCJ327687:LCJ327689 LMF327687:LMF327689 LWB327687:LWB327689 MFX327687:MFX327689 MPT327687:MPT327689 MZP327687:MZP327689 NJL327687:NJL327689 NTH327687:NTH327689 ODD327687:ODD327689 OMZ327687:OMZ327689 OWV327687:OWV327689 PGR327687:PGR327689 PQN327687:PQN327689 QAJ327687:QAJ327689 QKF327687:QKF327689 QUB327687:QUB327689 RDX327687:RDX327689 RNT327687:RNT327689 RXP327687:RXP327689 SHL327687:SHL327689 SRH327687:SRH327689 TBD327687:TBD327689 TKZ327687:TKZ327689 TUV327687:TUV327689 UER327687:UER327689 UON327687:UON327689 UYJ327687:UYJ327689 VIF327687:VIF327689 VSB327687:VSB327689 WBX327687:WBX327689 WLT327687:WLT327689 WVP327687:WVP327689 H393223:H393225 JD393223:JD393225 SZ393223:SZ393225 ACV393223:ACV393225 AMR393223:AMR393225 AWN393223:AWN393225 BGJ393223:BGJ393225 BQF393223:BQF393225 CAB393223:CAB393225 CJX393223:CJX393225 CTT393223:CTT393225 DDP393223:DDP393225 DNL393223:DNL393225 DXH393223:DXH393225 EHD393223:EHD393225 EQZ393223:EQZ393225 FAV393223:FAV393225 FKR393223:FKR393225 FUN393223:FUN393225 GEJ393223:GEJ393225 GOF393223:GOF393225 GYB393223:GYB393225 HHX393223:HHX393225 HRT393223:HRT393225 IBP393223:IBP393225 ILL393223:ILL393225 IVH393223:IVH393225 JFD393223:JFD393225 JOZ393223:JOZ393225 JYV393223:JYV393225 KIR393223:KIR393225 KSN393223:KSN393225 LCJ393223:LCJ393225 LMF393223:LMF393225 LWB393223:LWB393225 MFX393223:MFX393225 MPT393223:MPT393225 MZP393223:MZP393225 NJL393223:NJL393225 NTH393223:NTH393225 ODD393223:ODD393225 OMZ393223:OMZ393225 OWV393223:OWV393225 PGR393223:PGR393225 PQN393223:PQN393225 QAJ393223:QAJ393225 QKF393223:QKF393225 QUB393223:QUB393225 RDX393223:RDX393225 RNT393223:RNT393225 RXP393223:RXP393225 SHL393223:SHL393225 SRH393223:SRH393225 TBD393223:TBD393225 TKZ393223:TKZ393225 TUV393223:TUV393225 UER393223:UER393225 UON393223:UON393225 UYJ393223:UYJ393225 VIF393223:VIF393225 VSB393223:VSB393225 WBX393223:WBX393225 WLT393223:WLT393225 WVP393223:WVP393225 H458759:H458761 JD458759:JD458761 SZ458759:SZ458761 ACV458759:ACV458761 AMR458759:AMR458761 AWN458759:AWN458761 BGJ458759:BGJ458761 BQF458759:BQF458761 CAB458759:CAB458761 CJX458759:CJX458761 CTT458759:CTT458761 DDP458759:DDP458761 DNL458759:DNL458761 DXH458759:DXH458761 EHD458759:EHD458761 EQZ458759:EQZ458761 FAV458759:FAV458761 FKR458759:FKR458761 FUN458759:FUN458761 GEJ458759:GEJ458761 GOF458759:GOF458761 GYB458759:GYB458761 HHX458759:HHX458761 HRT458759:HRT458761 IBP458759:IBP458761 ILL458759:ILL458761 IVH458759:IVH458761 JFD458759:JFD458761 JOZ458759:JOZ458761 JYV458759:JYV458761 KIR458759:KIR458761 KSN458759:KSN458761 LCJ458759:LCJ458761 LMF458759:LMF458761 LWB458759:LWB458761 MFX458759:MFX458761 MPT458759:MPT458761 MZP458759:MZP458761 NJL458759:NJL458761 NTH458759:NTH458761 ODD458759:ODD458761 OMZ458759:OMZ458761 OWV458759:OWV458761 PGR458759:PGR458761 PQN458759:PQN458761 QAJ458759:QAJ458761 QKF458759:QKF458761 QUB458759:QUB458761 RDX458759:RDX458761 RNT458759:RNT458761 RXP458759:RXP458761 SHL458759:SHL458761 SRH458759:SRH458761 TBD458759:TBD458761 TKZ458759:TKZ458761 TUV458759:TUV458761 UER458759:UER458761 UON458759:UON458761 UYJ458759:UYJ458761 VIF458759:VIF458761 VSB458759:VSB458761 WBX458759:WBX458761 WLT458759:WLT458761 WVP458759:WVP458761 H524295:H524297 JD524295:JD524297 SZ524295:SZ524297 ACV524295:ACV524297 AMR524295:AMR524297 AWN524295:AWN524297 BGJ524295:BGJ524297 BQF524295:BQF524297 CAB524295:CAB524297 CJX524295:CJX524297 CTT524295:CTT524297 DDP524295:DDP524297 DNL524295:DNL524297 DXH524295:DXH524297 EHD524295:EHD524297 EQZ524295:EQZ524297 FAV524295:FAV524297 FKR524295:FKR524297 FUN524295:FUN524297 GEJ524295:GEJ524297 GOF524295:GOF524297 GYB524295:GYB524297 HHX524295:HHX524297 HRT524295:HRT524297 IBP524295:IBP524297 ILL524295:ILL524297 IVH524295:IVH524297 JFD524295:JFD524297 JOZ524295:JOZ524297 JYV524295:JYV524297 KIR524295:KIR524297 KSN524295:KSN524297 LCJ524295:LCJ524297 LMF524295:LMF524297 LWB524295:LWB524297 MFX524295:MFX524297 MPT524295:MPT524297 MZP524295:MZP524297 NJL524295:NJL524297 NTH524295:NTH524297 ODD524295:ODD524297 OMZ524295:OMZ524297 OWV524295:OWV524297 PGR524295:PGR524297 PQN524295:PQN524297 QAJ524295:QAJ524297 QKF524295:QKF524297 QUB524295:QUB524297 RDX524295:RDX524297 RNT524295:RNT524297 RXP524295:RXP524297 SHL524295:SHL524297 SRH524295:SRH524297 TBD524295:TBD524297 TKZ524295:TKZ524297 TUV524295:TUV524297 UER524295:UER524297 UON524295:UON524297 UYJ524295:UYJ524297 VIF524295:VIF524297 VSB524295:VSB524297 WBX524295:WBX524297 WLT524295:WLT524297 WVP524295:WVP524297 H589831:H589833 JD589831:JD589833 SZ589831:SZ589833 ACV589831:ACV589833 AMR589831:AMR589833 AWN589831:AWN589833 BGJ589831:BGJ589833 BQF589831:BQF589833 CAB589831:CAB589833 CJX589831:CJX589833 CTT589831:CTT589833 DDP589831:DDP589833 DNL589831:DNL589833 DXH589831:DXH589833 EHD589831:EHD589833 EQZ589831:EQZ589833 FAV589831:FAV589833 FKR589831:FKR589833 FUN589831:FUN589833 GEJ589831:GEJ589833 GOF589831:GOF589833 GYB589831:GYB589833 HHX589831:HHX589833 HRT589831:HRT589833 IBP589831:IBP589833 ILL589831:ILL589833 IVH589831:IVH589833 JFD589831:JFD589833 JOZ589831:JOZ589833 JYV589831:JYV589833 KIR589831:KIR589833 KSN589831:KSN589833 LCJ589831:LCJ589833 LMF589831:LMF589833 LWB589831:LWB589833 MFX589831:MFX589833 MPT589831:MPT589833 MZP589831:MZP589833 NJL589831:NJL589833 NTH589831:NTH589833 ODD589831:ODD589833 OMZ589831:OMZ589833 OWV589831:OWV589833 PGR589831:PGR589833 PQN589831:PQN589833 QAJ589831:QAJ589833 QKF589831:QKF589833 QUB589831:QUB589833 RDX589831:RDX589833 RNT589831:RNT589833 RXP589831:RXP589833 SHL589831:SHL589833 SRH589831:SRH589833 TBD589831:TBD589833 TKZ589831:TKZ589833 TUV589831:TUV589833 UER589831:UER589833 UON589831:UON589833 UYJ589831:UYJ589833 VIF589831:VIF589833 VSB589831:VSB589833 WBX589831:WBX589833 WLT589831:WLT589833 WVP589831:WVP589833 H655367:H655369 JD655367:JD655369 SZ655367:SZ655369 ACV655367:ACV655369 AMR655367:AMR655369 AWN655367:AWN655369 BGJ655367:BGJ655369 BQF655367:BQF655369 CAB655367:CAB655369 CJX655367:CJX655369 CTT655367:CTT655369 DDP655367:DDP655369 DNL655367:DNL655369 DXH655367:DXH655369 EHD655367:EHD655369 EQZ655367:EQZ655369 FAV655367:FAV655369 FKR655367:FKR655369 FUN655367:FUN655369 GEJ655367:GEJ655369 GOF655367:GOF655369 GYB655367:GYB655369 HHX655367:HHX655369 HRT655367:HRT655369 IBP655367:IBP655369 ILL655367:ILL655369 IVH655367:IVH655369 JFD655367:JFD655369 JOZ655367:JOZ655369 JYV655367:JYV655369 KIR655367:KIR655369 KSN655367:KSN655369 LCJ655367:LCJ655369 LMF655367:LMF655369 LWB655367:LWB655369 MFX655367:MFX655369 MPT655367:MPT655369 MZP655367:MZP655369 NJL655367:NJL655369 NTH655367:NTH655369 ODD655367:ODD655369 OMZ655367:OMZ655369 OWV655367:OWV655369 PGR655367:PGR655369 PQN655367:PQN655369 QAJ655367:QAJ655369 QKF655367:QKF655369 QUB655367:QUB655369 RDX655367:RDX655369 RNT655367:RNT655369 RXP655367:RXP655369 SHL655367:SHL655369 SRH655367:SRH655369 TBD655367:TBD655369 TKZ655367:TKZ655369 TUV655367:TUV655369 UER655367:UER655369 UON655367:UON655369 UYJ655367:UYJ655369 VIF655367:VIF655369 VSB655367:VSB655369 WBX655367:WBX655369 WLT655367:WLT655369 WVP655367:WVP655369 H720903:H720905 JD720903:JD720905 SZ720903:SZ720905 ACV720903:ACV720905 AMR720903:AMR720905 AWN720903:AWN720905 BGJ720903:BGJ720905 BQF720903:BQF720905 CAB720903:CAB720905 CJX720903:CJX720905 CTT720903:CTT720905 DDP720903:DDP720905 DNL720903:DNL720905 DXH720903:DXH720905 EHD720903:EHD720905 EQZ720903:EQZ720905 FAV720903:FAV720905 FKR720903:FKR720905 FUN720903:FUN720905 GEJ720903:GEJ720905 GOF720903:GOF720905 GYB720903:GYB720905 HHX720903:HHX720905 HRT720903:HRT720905 IBP720903:IBP720905 ILL720903:ILL720905 IVH720903:IVH720905 JFD720903:JFD720905 JOZ720903:JOZ720905 JYV720903:JYV720905 KIR720903:KIR720905 KSN720903:KSN720905 LCJ720903:LCJ720905 LMF720903:LMF720905 LWB720903:LWB720905 MFX720903:MFX720905 MPT720903:MPT720905 MZP720903:MZP720905 NJL720903:NJL720905 NTH720903:NTH720905 ODD720903:ODD720905 OMZ720903:OMZ720905 OWV720903:OWV720905 PGR720903:PGR720905 PQN720903:PQN720905 QAJ720903:QAJ720905 QKF720903:QKF720905 QUB720903:QUB720905 RDX720903:RDX720905 RNT720903:RNT720905 RXP720903:RXP720905 SHL720903:SHL720905 SRH720903:SRH720905 TBD720903:TBD720905 TKZ720903:TKZ720905 TUV720903:TUV720905 UER720903:UER720905 UON720903:UON720905 UYJ720903:UYJ720905 VIF720903:VIF720905 VSB720903:VSB720905 WBX720903:WBX720905 WLT720903:WLT720905 WVP720903:WVP720905 H786439:H786441 JD786439:JD786441 SZ786439:SZ786441 ACV786439:ACV786441 AMR786439:AMR786441 AWN786439:AWN786441 BGJ786439:BGJ786441 BQF786439:BQF786441 CAB786439:CAB786441 CJX786439:CJX786441 CTT786439:CTT786441 DDP786439:DDP786441 DNL786439:DNL786441 DXH786439:DXH786441 EHD786439:EHD786441 EQZ786439:EQZ786441 FAV786439:FAV786441 FKR786439:FKR786441 FUN786439:FUN786441 GEJ786439:GEJ786441 GOF786439:GOF786441 GYB786439:GYB786441 HHX786439:HHX786441 HRT786439:HRT786441 IBP786439:IBP786441 ILL786439:ILL786441 IVH786439:IVH786441 JFD786439:JFD786441 JOZ786439:JOZ786441 JYV786439:JYV786441 KIR786439:KIR786441 KSN786439:KSN786441 LCJ786439:LCJ786441 LMF786439:LMF786441 LWB786439:LWB786441 MFX786439:MFX786441 MPT786439:MPT786441 MZP786439:MZP786441 NJL786439:NJL786441 NTH786439:NTH786441 ODD786439:ODD786441 OMZ786439:OMZ786441 OWV786439:OWV786441 PGR786439:PGR786441 PQN786439:PQN786441 QAJ786439:QAJ786441 QKF786439:QKF786441 QUB786439:QUB786441 RDX786439:RDX786441 RNT786439:RNT786441 RXP786439:RXP786441 SHL786439:SHL786441 SRH786439:SRH786441 TBD786439:TBD786441 TKZ786439:TKZ786441 TUV786439:TUV786441 UER786439:UER786441 UON786439:UON786441 UYJ786439:UYJ786441 VIF786439:VIF786441 VSB786439:VSB786441 WBX786439:WBX786441 WLT786439:WLT786441 WVP786439:WVP786441 H851975:H851977 JD851975:JD851977 SZ851975:SZ851977 ACV851975:ACV851977 AMR851975:AMR851977 AWN851975:AWN851977 BGJ851975:BGJ851977 BQF851975:BQF851977 CAB851975:CAB851977 CJX851975:CJX851977 CTT851975:CTT851977 DDP851975:DDP851977 DNL851975:DNL851977 DXH851975:DXH851977 EHD851975:EHD851977 EQZ851975:EQZ851977 FAV851975:FAV851977 FKR851975:FKR851977 FUN851975:FUN851977 GEJ851975:GEJ851977 GOF851975:GOF851977 GYB851975:GYB851977 HHX851975:HHX851977 HRT851975:HRT851977 IBP851975:IBP851977 ILL851975:ILL851977 IVH851975:IVH851977 JFD851975:JFD851977 JOZ851975:JOZ851977 JYV851975:JYV851977 KIR851975:KIR851977 KSN851975:KSN851977 LCJ851975:LCJ851977 LMF851975:LMF851977 LWB851975:LWB851977 MFX851975:MFX851977 MPT851975:MPT851977 MZP851975:MZP851977 NJL851975:NJL851977 NTH851975:NTH851977 ODD851975:ODD851977 OMZ851975:OMZ851977 OWV851975:OWV851977 PGR851975:PGR851977 PQN851975:PQN851977 QAJ851975:QAJ851977 QKF851975:QKF851977 QUB851975:QUB851977 RDX851975:RDX851977 RNT851975:RNT851977 RXP851975:RXP851977 SHL851975:SHL851977 SRH851975:SRH851977 TBD851975:TBD851977 TKZ851975:TKZ851977 TUV851975:TUV851977 UER851975:UER851977 UON851975:UON851977 UYJ851975:UYJ851977 VIF851975:VIF851977 VSB851975:VSB851977 WBX851975:WBX851977 WLT851975:WLT851977 WVP851975:WVP851977 H917511:H917513 JD917511:JD917513 SZ917511:SZ917513 ACV917511:ACV917513 AMR917511:AMR917513 AWN917511:AWN917513 BGJ917511:BGJ917513 BQF917511:BQF917513 CAB917511:CAB917513 CJX917511:CJX917513 CTT917511:CTT917513 DDP917511:DDP917513 DNL917511:DNL917513 DXH917511:DXH917513 EHD917511:EHD917513 EQZ917511:EQZ917513 FAV917511:FAV917513 FKR917511:FKR917513 FUN917511:FUN917513 GEJ917511:GEJ917513 GOF917511:GOF917513 GYB917511:GYB917513 HHX917511:HHX917513 HRT917511:HRT917513 IBP917511:IBP917513 ILL917511:ILL917513 IVH917511:IVH917513 JFD917511:JFD917513 JOZ917511:JOZ917513 JYV917511:JYV917513 KIR917511:KIR917513 KSN917511:KSN917513 LCJ917511:LCJ917513 LMF917511:LMF917513 LWB917511:LWB917513 MFX917511:MFX917513 MPT917511:MPT917513 MZP917511:MZP917513 NJL917511:NJL917513 NTH917511:NTH917513 ODD917511:ODD917513 OMZ917511:OMZ917513 OWV917511:OWV917513 PGR917511:PGR917513 PQN917511:PQN917513 QAJ917511:QAJ917513 QKF917511:QKF917513 QUB917511:QUB917513 RDX917511:RDX917513 RNT917511:RNT917513 RXP917511:RXP917513 SHL917511:SHL917513 SRH917511:SRH917513 TBD917511:TBD917513 TKZ917511:TKZ917513 TUV917511:TUV917513 UER917511:UER917513 UON917511:UON917513 UYJ917511:UYJ917513 VIF917511:VIF917513 VSB917511:VSB917513 WBX917511:WBX917513 WLT917511:WLT917513 WVP917511:WVP917513 H983047:H983049 JD983047:JD983049 SZ983047:SZ983049 ACV983047:ACV983049 AMR983047:AMR983049 AWN983047:AWN983049 BGJ983047:BGJ983049 BQF983047:BQF983049 CAB983047:CAB983049 CJX983047:CJX983049 CTT983047:CTT983049 DDP983047:DDP983049 DNL983047:DNL983049 DXH983047:DXH983049 EHD983047:EHD983049 EQZ983047:EQZ983049 FAV983047:FAV983049 FKR983047:FKR983049 FUN983047:FUN983049 GEJ983047:GEJ983049 GOF983047:GOF983049 GYB983047:GYB983049 HHX983047:HHX983049 HRT983047:HRT983049 IBP983047:IBP983049 ILL983047:ILL983049 IVH983047:IVH983049 JFD983047:JFD983049 JOZ983047:JOZ983049 JYV983047:JYV983049 KIR983047:KIR983049 KSN983047:KSN983049 LCJ983047:LCJ983049 LMF983047:LMF983049 LWB983047:LWB983049 MFX983047:MFX983049 MPT983047:MPT983049 MZP983047:MZP983049 NJL983047:NJL983049 NTH983047:NTH983049 ODD983047:ODD983049 OMZ983047:OMZ983049 OWV983047:OWV983049 PGR983047:PGR983049 PQN983047:PQN983049 QAJ983047:QAJ983049 QKF983047:QKF983049 QUB983047:QUB983049 RDX983047:RDX983049 RNT983047:RNT983049 RXP983047:RXP983049 SHL983047:SHL983049 SRH983047:SRH983049 TBD983047:TBD983049 TKZ983047:TKZ983049 TUV983047:TUV983049 UER983047:UER983049 UON983047:UON983049 UYJ983047:UYJ983049 VIF983047:VIF983049 VSB983047:VSB983049 WBX983047:WBX983049 WLT983047:WLT983049 WVP983047:WVP983049 P8:P9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xr:uid="{F64DC153-9F65-42BE-8656-48F89BCEA51F}">
      <formula1>"□,■"</formula1>
    </dataValidation>
  </dataValidations>
  <printOptions horizontalCentered="1"/>
  <pageMargins left="0.70866141732283472" right="0.39370078740157483" top="0.51181102362204722" bottom="0.35433070866141736" header="0.31496062992125984" footer="0.31496062992125984"/>
  <pageSetup paperSize="9" scale="8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DA4D3-0254-4F59-9E6F-451348ED23F5}">
  <sheetPr>
    <tabColor rgb="FFFFFF00"/>
    <pageSetUpPr fitToPage="1"/>
  </sheetPr>
  <dimension ref="B2:AI69"/>
  <sheetViews>
    <sheetView view="pageBreakPreview" zoomScaleNormal="100" zoomScaleSheetLayoutView="100" workbookViewId="0"/>
  </sheetViews>
  <sheetFormatPr defaultColWidth="4" defaultRowHeight="13.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256" width="4" style="1"/>
    <col min="257" max="257" width="2.88671875" style="1" customWidth="1"/>
    <col min="258" max="258" width="2.33203125" style="1" customWidth="1"/>
    <col min="259" max="259" width="3.44140625" style="1" customWidth="1"/>
    <col min="260" max="271" width="3.6640625" style="1" customWidth="1"/>
    <col min="272" max="272" width="1.44140625" style="1" customWidth="1"/>
    <col min="273" max="274" width="3.6640625" style="1" customWidth="1"/>
    <col min="275" max="275" width="2.77734375" style="1" customWidth="1"/>
    <col min="276" max="281" width="3.6640625" style="1" customWidth="1"/>
    <col min="282" max="282" width="9.44140625" style="1" customWidth="1"/>
    <col min="283" max="286" width="3.6640625" style="1" customWidth="1"/>
    <col min="287" max="287" width="6.6640625" style="1" customWidth="1"/>
    <col min="288" max="512" width="4" style="1"/>
    <col min="513" max="513" width="2.88671875" style="1" customWidth="1"/>
    <col min="514" max="514" width="2.33203125" style="1" customWidth="1"/>
    <col min="515" max="515" width="3.44140625" style="1" customWidth="1"/>
    <col min="516" max="527" width="3.6640625" style="1" customWidth="1"/>
    <col min="528" max="528" width="1.44140625" style="1" customWidth="1"/>
    <col min="529" max="530" width="3.6640625" style="1" customWidth="1"/>
    <col min="531" max="531" width="2.77734375" style="1" customWidth="1"/>
    <col min="532" max="537" width="3.6640625" style="1" customWidth="1"/>
    <col min="538" max="538" width="9.44140625" style="1" customWidth="1"/>
    <col min="539" max="542" width="3.6640625" style="1" customWidth="1"/>
    <col min="543" max="543" width="6.6640625" style="1" customWidth="1"/>
    <col min="544" max="768" width="4" style="1"/>
    <col min="769" max="769" width="2.88671875" style="1" customWidth="1"/>
    <col min="770" max="770" width="2.33203125" style="1" customWidth="1"/>
    <col min="771" max="771" width="3.44140625" style="1" customWidth="1"/>
    <col min="772" max="783" width="3.6640625" style="1" customWidth="1"/>
    <col min="784" max="784" width="1.44140625" style="1" customWidth="1"/>
    <col min="785" max="786" width="3.6640625" style="1" customWidth="1"/>
    <col min="787" max="787" width="2.77734375" style="1" customWidth="1"/>
    <col min="788" max="793" width="3.6640625" style="1" customWidth="1"/>
    <col min="794" max="794" width="9.44140625" style="1" customWidth="1"/>
    <col min="795" max="798" width="3.6640625" style="1" customWidth="1"/>
    <col min="799" max="799" width="6.6640625" style="1" customWidth="1"/>
    <col min="800" max="1024" width="4" style="1"/>
    <col min="1025" max="1025" width="2.88671875" style="1" customWidth="1"/>
    <col min="1026" max="1026" width="2.33203125" style="1" customWidth="1"/>
    <col min="1027" max="1027" width="3.44140625" style="1" customWidth="1"/>
    <col min="1028" max="1039" width="3.6640625" style="1" customWidth="1"/>
    <col min="1040" max="1040" width="1.44140625" style="1" customWidth="1"/>
    <col min="1041" max="1042" width="3.6640625" style="1" customWidth="1"/>
    <col min="1043" max="1043" width="2.77734375" style="1" customWidth="1"/>
    <col min="1044" max="1049" width="3.6640625" style="1" customWidth="1"/>
    <col min="1050" max="1050" width="9.44140625" style="1" customWidth="1"/>
    <col min="1051" max="1054" width="3.6640625" style="1" customWidth="1"/>
    <col min="1055" max="1055" width="6.6640625" style="1" customWidth="1"/>
    <col min="1056" max="1280" width="4" style="1"/>
    <col min="1281" max="1281" width="2.88671875" style="1" customWidth="1"/>
    <col min="1282" max="1282" width="2.33203125" style="1" customWidth="1"/>
    <col min="1283" max="1283" width="3.44140625" style="1" customWidth="1"/>
    <col min="1284" max="1295" width="3.6640625" style="1" customWidth="1"/>
    <col min="1296" max="1296" width="1.44140625" style="1" customWidth="1"/>
    <col min="1297" max="1298" width="3.6640625" style="1" customWidth="1"/>
    <col min="1299" max="1299" width="2.77734375" style="1" customWidth="1"/>
    <col min="1300" max="1305" width="3.6640625" style="1" customWidth="1"/>
    <col min="1306" max="1306" width="9.44140625" style="1" customWidth="1"/>
    <col min="1307" max="1310" width="3.6640625" style="1" customWidth="1"/>
    <col min="1311" max="1311" width="6.6640625" style="1" customWidth="1"/>
    <col min="1312" max="1536" width="4" style="1"/>
    <col min="1537" max="1537" width="2.88671875" style="1" customWidth="1"/>
    <col min="1538" max="1538" width="2.33203125" style="1" customWidth="1"/>
    <col min="1539" max="1539" width="3.44140625" style="1" customWidth="1"/>
    <col min="1540" max="1551" width="3.6640625" style="1" customWidth="1"/>
    <col min="1552" max="1552" width="1.44140625" style="1" customWidth="1"/>
    <col min="1553" max="1554" width="3.6640625" style="1" customWidth="1"/>
    <col min="1555" max="1555" width="2.77734375" style="1" customWidth="1"/>
    <col min="1556" max="1561" width="3.6640625" style="1" customWidth="1"/>
    <col min="1562" max="1562" width="9.44140625" style="1" customWidth="1"/>
    <col min="1563" max="1566" width="3.6640625" style="1" customWidth="1"/>
    <col min="1567" max="1567" width="6.6640625" style="1" customWidth="1"/>
    <col min="1568" max="1792" width="4" style="1"/>
    <col min="1793" max="1793" width="2.88671875" style="1" customWidth="1"/>
    <col min="1794" max="1794" width="2.33203125" style="1" customWidth="1"/>
    <col min="1795" max="1795" width="3.44140625" style="1" customWidth="1"/>
    <col min="1796" max="1807" width="3.6640625" style="1" customWidth="1"/>
    <col min="1808" max="1808" width="1.44140625" style="1" customWidth="1"/>
    <col min="1809" max="1810" width="3.6640625" style="1" customWidth="1"/>
    <col min="1811" max="1811" width="2.77734375" style="1" customWidth="1"/>
    <col min="1812" max="1817" width="3.6640625" style="1" customWidth="1"/>
    <col min="1818" max="1818" width="9.44140625" style="1" customWidth="1"/>
    <col min="1819" max="1822" width="3.6640625" style="1" customWidth="1"/>
    <col min="1823" max="1823" width="6.6640625" style="1" customWidth="1"/>
    <col min="1824" max="2048" width="4" style="1"/>
    <col min="2049" max="2049" width="2.88671875" style="1" customWidth="1"/>
    <col min="2050" max="2050" width="2.33203125" style="1" customWidth="1"/>
    <col min="2051" max="2051" width="3.44140625" style="1" customWidth="1"/>
    <col min="2052" max="2063" width="3.6640625" style="1" customWidth="1"/>
    <col min="2064" max="2064" width="1.44140625" style="1" customWidth="1"/>
    <col min="2065" max="2066" width="3.6640625" style="1" customWidth="1"/>
    <col min="2067" max="2067" width="2.77734375" style="1" customWidth="1"/>
    <col min="2068" max="2073" width="3.6640625" style="1" customWidth="1"/>
    <col min="2074" max="2074" width="9.44140625" style="1" customWidth="1"/>
    <col min="2075" max="2078" width="3.6640625" style="1" customWidth="1"/>
    <col min="2079" max="2079" width="6.6640625" style="1" customWidth="1"/>
    <col min="2080" max="2304" width="4" style="1"/>
    <col min="2305" max="2305" width="2.88671875" style="1" customWidth="1"/>
    <col min="2306" max="2306" width="2.33203125" style="1" customWidth="1"/>
    <col min="2307" max="2307" width="3.44140625" style="1" customWidth="1"/>
    <col min="2308" max="2319" width="3.6640625" style="1" customWidth="1"/>
    <col min="2320" max="2320" width="1.44140625" style="1" customWidth="1"/>
    <col min="2321" max="2322" width="3.6640625" style="1" customWidth="1"/>
    <col min="2323" max="2323" width="2.77734375" style="1" customWidth="1"/>
    <col min="2324" max="2329" width="3.6640625" style="1" customWidth="1"/>
    <col min="2330" max="2330" width="9.44140625" style="1" customWidth="1"/>
    <col min="2331" max="2334" width="3.6640625" style="1" customWidth="1"/>
    <col min="2335" max="2335" width="6.6640625" style="1" customWidth="1"/>
    <col min="2336" max="2560" width="4" style="1"/>
    <col min="2561" max="2561" width="2.88671875" style="1" customWidth="1"/>
    <col min="2562" max="2562" width="2.33203125" style="1" customWidth="1"/>
    <col min="2563" max="2563" width="3.44140625" style="1" customWidth="1"/>
    <col min="2564" max="2575" width="3.6640625" style="1" customWidth="1"/>
    <col min="2576" max="2576" width="1.44140625" style="1" customWidth="1"/>
    <col min="2577" max="2578" width="3.6640625" style="1" customWidth="1"/>
    <col min="2579" max="2579" width="2.77734375" style="1" customWidth="1"/>
    <col min="2580" max="2585" width="3.6640625" style="1" customWidth="1"/>
    <col min="2586" max="2586" width="9.44140625" style="1" customWidth="1"/>
    <col min="2587" max="2590" width="3.6640625" style="1" customWidth="1"/>
    <col min="2591" max="2591" width="6.6640625" style="1" customWidth="1"/>
    <col min="2592" max="2816" width="4" style="1"/>
    <col min="2817" max="2817" width="2.88671875" style="1" customWidth="1"/>
    <col min="2818" max="2818" width="2.33203125" style="1" customWidth="1"/>
    <col min="2819" max="2819" width="3.44140625" style="1" customWidth="1"/>
    <col min="2820" max="2831" width="3.6640625" style="1" customWidth="1"/>
    <col min="2832" max="2832" width="1.44140625" style="1" customWidth="1"/>
    <col min="2833" max="2834" width="3.6640625" style="1" customWidth="1"/>
    <col min="2835" max="2835" width="2.77734375" style="1" customWidth="1"/>
    <col min="2836" max="2841" width="3.6640625" style="1" customWidth="1"/>
    <col min="2842" max="2842" width="9.44140625" style="1" customWidth="1"/>
    <col min="2843" max="2846" width="3.6640625" style="1" customWidth="1"/>
    <col min="2847" max="2847" width="6.6640625" style="1" customWidth="1"/>
    <col min="2848" max="3072" width="4" style="1"/>
    <col min="3073" max="3073" width="2.88671875" style="1" customWidth="1"/>
    <col min="3074" max="3074" width="2.33203125" style="1" customWidth="1"/>
    <col min="3075" max="3075" width="3.44140625" style="1" customWidth="1"/>
    <col min="3076" max="3087" width="3.6640625" style="1" customWidth="1"/>
    <col min="3088" max="3088" width="1.44140625" style="1" customWidth="1"/>
    <col min="3089" max="3090" width="3.6640625" style="1" customWidth="1"/>
    <col min="3091" max="3091" width="2.77734375" style="1" customWidth="1"/>
    <col min="3092" max="3097" width="3.6640625" style="1" customWidth="1"/>
    <col min="3098" max="3098" width="9.44140625" style="1" customWidth="1"/>
    <col min="3099" max="3102" width="3.6640625" style="1" customWidth="1"/>
    <col min="3103" max="3103" width="6.6640625" style="1" customWidth="1"/>
    <col min="3104" max="3328" width="4" style="1"/>
    <col min="3329" max="3329" width="2.88671875" style="1" customWidth="1"/>
    <col min="3330" max="3330" width="2.33203125" style="1" customWidth="1"/>
    <col min="3331" max="3331" width="3.44140625" style="1" customWidth="1"/>
    <col min="3332" max="3343" width="3.6640625" style="1" customWidth="1"/>
    <col min="3344" max="3344" width="1.44140625" style="1" customWidth="1"/>
    <col min="3345" max="3346" width="3.6640625" style="1" customWidth="1"/>
    <col min="3347" max="3347" width="2.77734375" style="1" customWidth="1"/>
    <col min="3348" max="3353" width="3.6640625" style="1" customWidth="1"/>
    <col min="3354" max="3354" width="9.44140625" style="1" customWidth="1"/>
    <col min="3355" max="3358" width="3.6640625" style="1" customWidth="1"/>
    <col min="3359" max="3359" width="6.6640625" style="1" customWidth="1"/>
    <col min="3360" max="3584" width="4" style="1"/>
    <col min="3585" max="3585" width="2.88671875" style="1" customWidth="1"/>
    <col min="3586" max="3586" width="2.33203125" style="1" customWidth="1"/>
    <col min="3587" max="3587" width="3.44140625" style="1" customWidth="1"/>
    <col min="3588" max="3599" width="3.6640625" style="1" customWidth="1"/>
    <col min="3600" max="3600" width="1.44140625" style="1" customWidth="1"/>
    <col min="3601" max="3602" width="3.6640625" style="1" customWidth="1"/>
    <col min="3603" max="3603" width="2.77734375" style="1" customWidth="1"/>
    <col min="3604" max="3609" width="3.6640625" style="1" customWidth="1"/>
    <col min="3610" max="3610" width="9.44140625" style="1" customWidth="1"/>
    <col min="3611" max="3614" width="3.6640625" style="1" customWidth="1"/>
    <col min="3615" max="3615" width="6.6640625" style="1" customWidth="1"/>
    <col min="3616" max="3840" width="4" style="1"/>
    <col min="3841" max="3841" width="2.88671875" style="1" customWidth="1"/>
    <col min="3842" max="3842" width="2.33203125" style="1" customWidth="1"/>
    <col min="3843" max="3843" width="3.44140625" style="1" customWidth="1"/>
    <col min="3844" max="3855" width="3.6640625" style="1" customWidth="1"/>
    <col min="3856" max="3856" width="1.44140625" style="1" customWidth="1"/>
    <col min="3857" max="3858" width="3.6640625" style="1" customWidth="1"/>
    <col min="3859" max="3859" width="2.77734375" style="1" customWidth="1"/>
    <col min="3860" max="3865" width="3.6640625" style="1" customWidth="1"/>
    <col min="3866" max="3866" width="9.44140625" style="1" customWidth="1"/>
    <col min="3867" max="3870" width="3.6640625" style="1" customWidth="1"/>
    <col min="3871" max="3871" width="6.6640625" style="1" customWidth="1"/>
    <col min="3872" max="4096" width="4" style="1"/>
    <col min="4097" max="4097" width="2.88671875" style="1" customWidth="1"/>
    <col min="4098" max="4098" width="2.33203125" style="1" customWidth="1"/>
    <col min="4099" max="4099" width="3.44140625" style="1" customWidth="1"/>
    <col min="4100" max="4111" width="3.6640625" style="1" customWidth="1"/>
    <col min="4112" max="4112" width="1.44140625" style="1" customWidth="1"/>
    <col min="4113" max="4114" width="3.6640625" style="1" customWidth="1"/>
    <col min="4115" max="4115" width="2.77734375" style="1" customWidth="1"/>
    <col min="4116" max="4121" width="3.6640625" style="1" customWidth="1"/>
    <col min="4122" max="4122" width="9.44140625" style="1" customWidth="1"/>
    <col min="4123" max="4126" width="3.6640625" style="1" customWidth="1"/>
    <col min="4127" max="4127" width="6.6640625" style="1" customWidth="1"/>
    <col min="4128" max="4352" width="4" style="1"/>
    <col min="4353" max="4353" width="2.88671875" style="1" customWidth="1"/>
    <col min="4354" max="4354" width="2.33203125" style="1" customWidth="1"/>
    <col min="4355" max="4355" width="3.44140625" style="1" customWidth="1"/>
    <col min="4356" max="4367" width="3.6640625" style="1" customWidth="1"/>
    <col min="4368" max="4368" width="1.44140625" style="1" customWidth="1"/>
    <col min="4369" max="4370" width="3.6640625" style="1" customWidth="1"/>
    <col min="4371" max="4371" width="2.77734375" style="1" customWidth="1"/>
    <col min="4372" max="4377" width="3.6640625" style="1" customWidth="1"/>
    <col min="4378" max="4378" width="9.44140625" style="1" customWidth="1"/>
    <col min="4379" max="4382" width="3.6640625" style="1" customWidth="1"/>
    <col min="4383" max="4383" width="6.6640625" style="1" customWidth="1"/>
    <col min="4384" max="4608" width="4" style="1"/>
    <col min="4609" max="4609" width="2.88671875" style="1" customWidth="1"/>
    <col min="4610" max="4610" width="2.33203125" style="1" customWidth="1"/>
    <col min="4611" max="4611" width="3.44140625" style="1" customWidth="1"/>
    <col min="4612" max="4623" width="3.6640625" style="1" customWidth="1"/>
    <col min="4624" max="4624" width="1.44140625" style="1" customWidth="1"/>
    <col min="4625" max="4626" width="3.6640625" style="1" customWidth="1"/>
    <col min="4627" max="4627" width="2.77734375" style="1" customWidth="1"/>
    <col min="4628" max="4633" width="3.6640625" style="1" customWidth="1"/>
    <col min="4634" max="4634" width="9.44140625" style="1" customWidth="1"/>
    <col min="4635" max="4638" width="3.6640625" style="1" customWidth="1"/>
    <col min="4639" max="4639" width="6.6640625" style="1" customWidth="1"/>
    <col min="4640" max="4864" width="4" style="1"/>
    <col min="4865" max="4865" width="2.88671875" style="1" customWidth="1"/>
    <col min="4866" max="4866" width="2.33203125" style="1" customWidth="1"/>
    <col min="4867" max="4867" width="3.44140625" style="1" customWidth="1"/>
    <col min="4868" max="4879" width="3.6640625" style="1" customWidth="1"/>
    <col min="4880" max="4880" width="1.44140625" style="1" customWidth="1"/>
    <col min="4881" max="4882" width="3.6640625" style="1" customWidth="1"/>
    <col min="4883" max="4883" width="2.77734375" style="1" customWidth="1"/>
    <col min="4884" max="4889" width="3.6640625" style="1" customWidth="1"/>
    <col min="4890" max="4890" width="9.44140625" style="1" customWidth="1"/>
    <col min="4891" max="4894" width="3.6640625" style="1" customWidth="1"/>
    <col min="4895" max="4895" width="6.6640625" style="1" customWidth="1"/>
    <col min="4896" max="5120" width="4" style="1"/>
    <col min="5121" max="5121" width="2.88671875" style="1" customWidth="1"/>
    <col min="5122" max="5122" width="2.33203125" style="1" customWidth="1"/>
    <col min="5123" max="5123" width="3.44140625" style="1" customWidth="1"/>
    <col min="5124" max="5135" width="3.6640625" style="1" customWidth="1"/>
    <col min="5136" max="5136" width="1.44140625" style="1" customWidth="1"/>
    <col min="5137" max="5138" width="3.6640625" style="1" customWidth="1"/>
    <col min="5139" max="5139" width="2.77734375" style="1" customWidth="1"/>
    <col min="5140" max="5145" width="3.6640625" style="1" customWidth="1"/>
    <col min="5146" max="5146" width="9.44140625" style="1" customWidth="1"/>
    <col min="5147" max="5150" width="3.6640625" style="1" customWidth="1"/>
    <col min="5151" max="5151" width="6.6640625" style="1" customWidth="1"/>
    <col min="5152" max="5376" width="4" style="1"/>
    <col min="5377" max="5377" width="2.88671875" style="1" customWidth="1"/>
    <col min="5378" max="5378" width="2.33203125" style="1" customWidth="1"/>
    <col min="5379" max="5379" width="3.44140625" style="1" customWidth="1"/>
    <col min="5380" max="5391" width="3.6640625" style="1" customWidth="1"/>
    <col min="5392" max="5392" width="1.44140625" style="1" customWidth="1"/>
    <col min="5393" max="5394" width="3.6640625" style="1" customWidth="1"/>
    <col min="5395" max="5395" width="2.77734375" style="1" customWidth="1"/>
    <col min="5396" max="5401" width="3.6640625" style="1" customWidth="1"/>
    <col min="5402" max="5402" width="9.44140625" style="1" customWidth="1"/>
    <col min="5403" max="5406" width="3.6640625" style="1" customWidth="1"/>
    <col min="5407" max="5407" width="6.6640625" style="1" customWidth="1"/>
    <col min="5408" max="5632" width="4" style="1"/>
    <col min="5633" max="5633" width="2.88671875" style="1" customWidth="1"/>
    <col min="5634" max="5634" width="2.33203125" style="1" customWidth="1"/>
    <col min="5635" max="5635" width="3.44140625" style="1" customWidth="1"/>
    <col min="5636" max="5647" width="3.6640625" style="1" customWidth="1"/>
    <col min="5648" max="5648" width="1.44140625" style="1" customWidth="1"/>
    <col min="5649" max="5650" width="3.6640625" style="1" customWidth="1"/>
    <col min="5651" max="5651" width="2.77734375" style="1" customWidth="1"/>
    <col min="5652" max="5657" width="3.6640625" style="1" customWidth="1"/>
    <col min="5658" max="5658" width="9.44140625" style="1" customWidth="1"/>
    <col min="5659" max="5662" width="3.6640625" style="1" customWidth="1"/>
    <col min="5663" max="5663" width="6.6640625" style="1" customWidth="1"/>
    <col min="5664" max="5888" width="4" style="1"/>
    <col min="5889" max="5889" width="2.88671875" style="1" customWidth="1"/>
    <col min="5890" max="5890" width="2.33203125" style="1" customWidth="1"/>
    <col min="5891" max="5891" width="3.44140625" style="1" customWidth="1"/>
    <col min="5892" max="5903" width="3.6640625" style="1" customWidth="1"/>
    <col min="5904" max="5904" width="1.44140625" style="1" customWidth="1"/>
    <col min="5905" max="5906" width="3.6640625" style="1" customWidth="1"/>
    <col min="5907" max="5907" width="2.77734375" style="1" customWidth="1"/>
    <col min="5908" max="5913" width="3.6640625" style="1" customWidth="1"/>
    <col min="5914" max="5914" width="9.44140625" style="1" customWidth="1"/>
    <col min="5915" max="5918" width="3.6640625" style="1" customWidth="1"/>
    <col min="5919" max="5919" width="6.6640625" style="1" customWidth="1"/>
    <col min="5920" max="6144" width="4" style="1"/>
    <col min="6145" max="6145" width="2.88671875" style="1" customWidth="1"/>
    <col min="6146" max="6146" width="2.33203125" style="1" customWidth="1"/>
    <col min="6147" max="6147" width="3.44140625" style="1" customWidth="1"/>
    <col min="6148" max="6159" width="3.6640625" style="1" customWidth="1"/>
    <col min="6160" max="6160" width="1.44140625" style="1" customWidth="1"/>
    <col min="6161" max="6162" width="3.6640625" style="1" customWidth="1"/>
    <col min="6163" max="6163" width="2.77734375" style="1" customWidth="1"/>
    <col min="6164" max="6169" width="3.6640625" style="1" customWidth="1"/>
    <col min="6170" max="6170" width="9.44140625" style="1" customWidth="1"/>
    <col min="6171" max="6174" width="3.6640625" style="1" customWidth="1"/>
    <col min="6175" max="6175" width="6.6640625" style="1" customWidth="1"/>
    <col min="6176" max="6400" width="4" style="1"/>
    <col min="6401" max="6401" width="2.88671875" style="1" customWidth="1"/>
    <col min="6402" max="6402" width="2.33203125" style="1" customWidth="1"/>
    <col min="6403" max="6403" width="3.44140625" style="1" customWidth="1"/>
    <col min="6404" max="6415" width="3.6640625" style="1" customWidth="1"/>
    <col min="6416" max="6416" width="1.44140625" style="1" customWidth="1"/>
    <col min="6417" max="6418" width="3.6640625" style="1" customWidth="1"/>
    <col min="6419" max="6419" width="2.77734375" style="1" customWidth="1"/>
    <col min="6420" max="6425" width="3.6640625" style="1" customWidth="1"/>
    <col min="6426" max="6426" width="9.44140625" style="1" customWidth="1"/>
    <col min="6427" max="6430" width="3.6640625" style="1" customWidth="1"/>
    <col min="6431" max="6431" width="6.6640625" style="1" customWidth="1"/>
    <col min="6432" max="6656" width="4" style="1"/>
    <col min="6657" max="6657" width="2.88671875" style="1" customWidth="1"/>
    <col min="6658" max="6658" width="2.33203125" style="1" customWidth="1"/>
    <col min="6659" max="6659" width="3.44140625" style="1" customWidth="1"/>
    <col min="6660" max="6671" width="3.6640625" style="1" customWidth="1"/>
    <col min="6672" max="6672" width="1.44140625" style="1" customWidth="1"/>
    <col min="6673" max="6674" width="3.6640625" style="1" customWidth="1"/>
    <col min="6675" max="6675" width="2.77734375" style="1" customWidth="1"/>
    <col min="6676" max="6681" width="3.6640625" style="1" customWidth="1"/>
    <col min="6682" max="6682" width="9.44140625" style="1" customWidth="1"/>
    <col min="6683" max="6686" width="3.6640625" style="1" customWidth="1"/>
    <col min="6687" max="6687" width="6.6640625" style="1" customWidth="1"/>
    <col min="6688" max="6912" width="4" style="1"/>
    <col min="6913" max="6913" width="2.88671875" style="1" customWidth="1"/>
    <col min="6914" max="6914" width="2.33203125" style="1" customWidth="1"/>
    <col min="6915" max="6915" width="3.44140625" style="1" customWidth="1"/>
    <col min="6916" max="6927" width="3.6640625" style="1" customWidth="1"/>
    <col min="6928" max="6928" width="1.44140625" style="1" customWidth="1"/>
    <col min="6929" max="6930" width="3.6640625" style="1" customWidth="1"/>
    <col min="6931" max="6931" width="2.77734375" style="1" customWidth="1"/>
    <col min="6932" max="6937" width="3.6640625" style="1" customWidth="1"/>
    <col min="6938" max="6938" width="9.44140625" style="1" customWidth="1"/>
    <col min="6939" max="6942" width="3.6640625" style="1" customWidth="1"/>
    <col min="6943" max="6943" width="6.6640625" style="1" customWidth="1"/>
    <col min="6944" max="7168" width="4" style="1"/>
    <col min="7169" max="7169" width="2.88671875" style="1" customWidth="1"/>
    <col min="7170" max="7170" width="2.33203125" style="1" customWidth="1"/>
    <col min="7171" max="7171" width="3.44140625" style="1" customWidth="1"/>
    <col min="7172" max="7183" width="3.6640625" style="1" customWidth="1"/>
    <col min="7184" max="7184" width="1.44140625" style="1" customWidth="1"/>
    <col min="7185" max="7186" width="3.6640625" style="1" customWidth="1"/>
    <col min="7187" max="7187" width="2.77734375" style="1" customWidth="1"/>
    <col min="7188" max="7193" width="3.6640625" style="1" customWidth="1"/>
    <col min="7194" max="7194" width="9.44140625" style="1" customWidth="1"/>
    <col min="7195" max="7198" width="3.6640625" style="1" customWidth="1"/>
    <col min="7199" max="7199" width="6.6640625" style="1" customWidth="1"/>
    <col min="7200" max="7424" width="4" style="1"/>
    <col min="7425" max="7425" width="2.88671875" style="1" customWidth="1"/>
    <col min="7426" max="7426" width="2.33203125" style="1" customWidth="1"/>
    <col min="7427" max="7427" width="3.44140625" style="1" customWidth="1"/>
    <col min="7428" max="7439" width="3.6640625" style="1" customWidth="1"/>
    <col min="7440" max="7440" width="1.44140625" style="1" customWidth="1"/>
    <col min="7441" max="7442" width="3.6640625" style="1" customWidth="1"/>
    <col min="7443" max="7443" width="2.77734375" style="1" customWidth="1"/>
    <col min="7444" max="7449" width="3.6640625" style="1" customWidth="1"/>
    <col min="7450" max="7450" width="9.44140625" style="1" customWidth="1"/>
    <col min="7451" max="7454" width="3.6640625" style="1" customWidth="1"/>
    <col min="7455" max="7455" width="6.6640625" style="1" customWidth="1"/>
    <col min="7456" max="7680" width="4" style="1"/>
    <col min="7681" max="7681" width="2.88671875" style="1" customWidth="1"/>
    <col min="7682" max="7682" width="2.33203125" style="1" customWidth="1"/>
    <col min="7683" max="7683" width="3.44140625" style="1" customWidth="1"/>
    <col min="7684" max="7695" width="3.6640625" style="1" customWidth="1"/>
    <col min="7696" max="7696" width="1.44140625" style="1" customWidth="1"/>
    <col min="7697" max="7698" width="3.6640625" style="1" customWidth="1"/>
    <col min="7699" max="7699" width="2.77734375" style="1" customWidth="1"/>
    <col min="7700" max="7705" width="3.6640625" style="1" customWidth="1"/>
    <col min="7706" max="7706" width="9.44140625" style="1" customWidth="1"/>
    <col min="7707" max="7710" width="3.6640625" style="1" customWidth="1"/>
    <col min="7711" max="7711" width="6.6640625" style="1" customWidth="1"/>
    <col min="7712" max="7936" width="4" style="1"/>
    <col min="7937" max="7937" width="2.88671875" style="1" customWidth="1"/>
    <col min="7938" max="7938" width="2.33203125" style="1" customWidth="1"/>
    <col min="7939" max="7939" width="3.44140625" style="1" customWidth="1"/>
    <col min="7940" max="7951" width="3.6640625" style="1" customWidth="1"/>
    <col min="7952" max="7952" width="1.44140625" style="1" customWidth="1"/>
    <col min="7953" max="7954" width="3.6640625" style="1" customWidth="1"/>
    <col min="7955" max="7955" width="2.77734375" style="1" customWidth="1"/>
    <col min="7956" max="7961" width="3.6640625" style="1" customWidth="1"/>
    <col min="7962" max="7962" width="9.44140625" style="1" customWidth="1"/>
    <col min="7963" max="7966" width="3.6640625" style="1" customWidth="1"/>
    <col min="7967" max="7967" width="6.6640625" style="1" customWidth="1"/>
    <col min="7968" max="8192" width="4" style="1"/>
    <col min="8193" max="8193" width="2.88671875" style="1" customWidth="1"/>
    <col min="8194" max="8194" width="2.33203125" style="1" customWidth="1"/>
    <col min="8195" max="8195" width="3.44140625" style="1" customWidth="1"/>
    <col min="8196" max="8207" width="3.6640625" style="1" customWidth="1"/>
    <col min="8208" max="8208" width="1.44140625" style="1" customWidth="1"/>
    <col min="8209" max="8210" width="3.6640625" style="1" customWidth="1"/>
    <col min="8211" max="8211" width="2.77734375" style="1" customWidth="1"/>
    <col min="8212" max="8217" width="3.6640625" style="1" customWidth="1"/>
    <col min="8218" max="8218" width="9.44140625" style="1" customWidth="1"/>
    <col min="8219" max="8222" width="3.6640625" style="1" customWidth="1"/>
    <col min="8223" max="8223" width="6.6640625" style="1" customWidth="1"/>
    <col min="8224" max="8448" width="4" style="1"/>
    <col min="8449" max="8449" width="2.88671875" style="1" customWidth="1"/>
    <col min="8450" max="8450" width="2.33203125" style="1" customWidth="1"/>
    <col min="8451" max="8451" width="3.44140625" style="1" customWidth="1"/>
    <col min="8452" max="8463" width="3.6640625" style="1" customWidth="1"/>
    <col min="8464" max="8464" width="1.44140625" style="1" customWidth="1"/>
    <col min="8465" max="8466" width="3.6640625" style="1" customWidth="1"/>
    <col min="8467" max="8467" width="2.77734375" style="1" customWidth="1"/>
    <col min="8468" max="8473" width="3.6640625" style="1" customWidth="1"/>
    <col min="8474" max="8474" width="9.44140625" style="1" customWidth="1"/>
    <col min="8475" max="8478" width="3.6640625" style="1" customWidth="1"/>
    <col min="8479" max="8479" width="6.6640625" style="1" customWidth="1"/>
    <col min="8480" max="8704" width="4" style="1"/>
    <col min="8705" max="8705" width="2.88671875" style="1" customWidth="1"/>
    <col min="8706" max="8706" width="2.33203125" style="1" customWidth="1"/>
    <col min="8707" max="8707" width="3.44140625" style="1" customWidth="1"/>
    <col min="8708" max="8719" width="3.6640625" style="1" customWidth="1"/>
    <col min="8720" max="8720" width="1.44140625" style="1" customWidth="1"/>
    <col min="8721" max="8722" width="3.6640625" style="1" customWidth="1"/>
    <col min="8723" max="8723" width="2.77734375" style="1" customWidth="1"/>
    <col min="8724" max="8729" width="3.6640625" style="1" customWidth="1"/>
    <col min="8730" max="8730" width="9.44140625" style="1" customWidth="1"/>
    <col min="8731" max="8734" width="3.6640625" style="1" customWidth="1"/>
    <col min="8735" max="8735" width="6.6640625" style="1" customWidth="1"/>
    <col min="8736" max="8960" width="4" style="1"/>
    <col min="8961" max="8961" width="2.88671875" style="1" customWidth="1"/>
    <col min="8962" max="8962" width="2.33203125" style="1" customWidth="1"/>
    <col min="8963" max="8963" width="3.44140625" style="1" customWidth="1"/>
    <col min="8964" max="8975" width="3.6640625" style="1" customWidth="1"/>
    <col min="8976" max="8976" width="1.44140625" style="1" customWidth="1"/>
    <col min="8977" max="8978" width="3.6640625" style="1" customWidth="1"/>
    <col min="8979" max="8979" width="2.77734375" style="1" customWidth="1"/>
    <col min="8980" max="8985" width="3.6640625" style="1" customWidth="1"/>
    <col min="8986" max="8986" width="9.44140625" style="1" customWidth="1"/>
    <col min="8987" max="8990" width="3.6640625" style="1" customWidth="1"/>
    <col min="8991" max="8991" width="6.6640625" style="1" customWidth="1"/>
    <col min="8992" max="9216" width="4" style="1"/>
    <col min="9217" max="9217" width="2.88671875" style="1" customWidth="1"/>
    <col min="9218" max="9218" width="2.33203125" style="1" customWidth="1"/>
    <col min="9219" max="9219" width="3.44140625" style="1" customWidth="1"/>
    <col min="9220" max="9231" width="3.6640625" style="1" customWidth="1"/>
    <col min="9232" max="9232" width="1.44140625" style="1" customWidth="1"/>
    <col min="9233" max="9234" width="3.6640625" style="1" customWidth="1"/>
    <col min="9235" max="9235" width="2.77734375" style="1" customWidth="1"/>
    <col min="9236" max="9241" width="3.6640625" style="1" customWidth="1"/>
    <col min="9242" max="9242" width="9.44140625" style="1" customWidth="1"/>
    <col min="9243" max="9246" width="3.6640625" style="1" customWidth="1"/>
    <col min="9247" max="9247" width="6.6640625" style="1" customWidth="1"/>
    <col min="9248" max="9472" width="4" style="1"/>
    <col min="9473" max="9473" width="2.88671875" style="1" customWidth="1"/>
    <col min="9474" max="9474" width="2.33203125" style="1" customWidth="1"/>
    <col min="9475" max="9475" width="3.44140625" style="1" customWidth="1"/>
    <col min="9476" max="9487" width="3.6640625" style="1" customWidth="1"/>
    <col min="9488" max="9488" width="1.44140625" style="1" customWidth="1"/>
    <col min="9489" max="9490" width="3.6640625" style="1" customWidth="1"/>
    <col min="9491" max="9491" width="2.77734375" style="1" customWidth="1"/>
    <col min="9492" max="9497" width="3.6640625" style="1" customWidth="1"/>
    <col min="9498" max="9498" width="9.44140625" style="1" customWidth="1"/>
    <col min="9499" max="9502" width="3.6640625" style="1" customWidth="1"/>
    <col min="9503" max="9503" width="6.6640625" style="1" customWidth="1"/>
    <col min="9504" max="9728" width="4" style="1"/>
    <col min="9729" max="9729" width="2.88671875" style="1" customWidth="1"/>
    <col min="9730" max="9730" width="2.33203125" style="1" customWidth="1"/>
    <col min="9731" max="9731" width="3.44140625" style="1" customWidth="1"/>
    <col min="9732" max="9743" width="3.6640625" style="1" customWidth="1"/>
    <col min="9744" max="9744" width="1.44140625" style="1" customWidth="1"/>
    <col min="9745" max="9746" width="3.6640625" style="1" customWidth="1"/>
    <col min="9747" max="9747" width="2.77734375" style="1" customWidth="1"/>
    <col min="9748" max="9753" width="3.6640625" style="1" customWidth="1"/>
    <col min="9754" max="9754" width="9.44140625" style="1" customWidth="1"/>
    <col min="9755" max="9758" width="3.6640625" style="1" customWidth="1"/>
    <col min="9759" max="9759" width="6.6640625" style="1" customWidth="1"/>
    <col min="9760" max="9984" width="4" style="1"/>
    <col min="9985" max="9985" width="2.88671875" style="1" customWidth="1"/>
    <col min="9986" max="9986" width="2.33203125" style="1" customWidth="1"/>
    <col min="9987" max="9987" width="3.44140625" style="1" customWidth="1"/>
    <col min="9988" max="9999" width="3.6640625" style="1" customWidth="1"/>
    <col min="10000" max="10000" width="1.44140625" style="1" customWidth="1"/>
    <col min="10001" max="10002" width="3.6640625" style="1" customWidth="1"/>
    <col min="10003" max="10003" width="2.77734375" style="1" customWidth="1"/>
    <col min="10004" max="10009" width="3.6640625" style="1" customWidth="1"/>
    <col min="10010" max="10010" width="9.44140625" style="1" customWidth="1"/>
    <col min="10011" max="10014" width="3.6640625" style="1" customWidth="1"/>
    <col min="10015" max="10015" width="6.6640625" style="1" customWidth="1"/>
    <col min="10016" max="10240" width="4" style="1"/>
    <col min="10241" max="10241" width="2.88671875" style="1" customWidth="1"/>
    <col min="10242" max="10242" width="2.33203125" style="1" customWidth="1"/>
    <col min="10243" max="10243" width="3.44140625" style="1" customWidth="1"/>
    <col min="10244" max="10255" width="3.6640625" style="1" customWidth="1"/>
    <col min="10256" max="10256" width="1.44140625" style="1" customWidth="1"/>
    <col min="10257" max="10258" width="3.6640625" style="1" customWidth="1"/>
    <col min="10259" max="10259" width="2.77734375" style="1" customWidth="1"/>
    <col min="10260" max="10265" width="3.6640625" style="1" customWidth="1"/>
    <col min="10266" max="10266" width="9.44140625" style="1" customWidth="1"/>
    <col min="10267" max="10270" width="3.6640625" style="1" customWidth="1"/>
    <col min="10271" max="10271" width="6.6640625" style="1" customWidth="1"/>
    <col min="10272" max="10496" width="4" style="1"/>
    <col min="10497" max="10497" width="2.88671875" style="1" customWidth="1"/>
    <col min="10498" max="10498" width="2.33203125" style="1" customWidth="1"/>
    <col min="10499" max="10499" width="3.44140625" style="1" customWidth="1"/>
    <col min="10500" max="10511" width="3.6640625" style="1" customWidth="1"/>
    <col min="10512" max="10512" width="1.44140625" style="1" customWidth="1"/>
    <col min="10513" max="10514" width="3.6640625" style="1" customWidth="1"/>
    <col min="10515" max="10515" width="2.77734375" style="1" customWidth="1"/>
    <col min="10516" max="10521" width="3.6640625" style="1" customWidth="1"/>
    <col min="10522" max="10522" width="9.44140625" style="1" customWidth="1"/>
    <col min="10523" max="10526" width="3.6640625" style="1" customWidth="1"/>
    <col min="10527" max="10527" width="6.6640625" style="1" customWidth="1"/>
    <col min="10528" max="10752" width="4" style="1"/>
    <col min="10753" max="10753" width="2.88671875" style="1" customWidth="1"/>
    <col min="10754" max="10754" width="2.33203125" style="1" customWidth="1"/>
    <col min="10755" max="10755" width="3.44140625" style="1" customWidth="1"/>
    <col min="10756" max="10767" width="3.6640625" style="1" customWidth="1"/>
    <col min="10768" max="10768" width="1.44140625" style="1" customWidth="1"/>
    <col min="10769" max="10770" width="3.6640625" style="1" customWidth="1"/>
    <col min="10771" max="10771" width="2.77734375" style="1" customWidth="1"/>
    <col min="10772" max="10777" width="3.6640625" style="1" customWidth="1"/>
    <col min="10778" max="10778" width="9.44140625" style="1" customWidth="1"/>
    <col min="10779" max="10782" width="3.6640625" style="1" customWidth="1"/>
    <col min="10783" max="10783" width="6.6640625" style="1" customWidth="1"/>
    <col min="10784" max="11008" width="4" style="1"/>
    <col min="11009" max="11009" width="2.88671875" style="1" customWidth="1"/>
    <col min="11010" max="11010" width="2.33203125" style="1" customWidth="1"/>
    <col min="11011" max="11011" width="3.44140625" style="1" customWidth="1"/>
    <col min="11012" max="11023" width="3.6640625" style="1" customWidth="1"/>
    <col min="11024" max="11024" width="1.44140625" style="1" customWidth="1"/>
    <col min="11025" max="11026" width="3.6640625" style="1" customWidth="1"/>
    <col min="11027" max="11027" width="2.77734375" style="1" customWidth="1"/>
    <col min="11028" max="11033" width="3.6640625" style="1" customWidth="1"/>
    <col min="11034" max="11034" width="9.44140625" style="1" customWidth="1"/>
    <col min="11035" max="11038" width="3.6640625" style="1" customWidth="1"/>
    <col min="11039" max="11039" width="6.6640625" style="1" customWidth="1"/>
    <col min="11040" max="11264" width="4" style="1"/>
    <col min="11265" max="11265" width="2.88671875" style="1" customWidth="1"/>
    <col min="11266" max="11266" width="2.33203125" style="1" customWidth="1"/>
    <col min="11267" max="11267" width="3.44140625" style="1" customWidth="1"/>
    <col min="11268" max="11279" width="3.6640625" style="1" customWidth="1"/>
    <col min="11280" max="11280" width="1.44140625" style="1" customWidth="1"/>
    <col min="11281" max="11282" width="3.6640625" style="1" customWidth="1"/>
    <col min="11283" max="11283" width="2.77734375" style="1" customWidth="1"/>
    <col min="11284" max="11289" width="3.6640625" style="1" customWidth="1"/>
    <col min="11290" max="11290" width="9.44140625" style="1" customWidth="1"/>
    <col min="11291" max="11294" width="3.6640625" style="1" customWidth="1"/>
    <col min="11295" max="11295" width="6.6640625" style="1" customWidth="1"/>
    <col min="11296" max="11520" width="4" style="1"/>
    <col min="11521" max="11521" width="2.88671875" style="1" customWidth="1"/>
    <col min="11522" max="11522" width="2.33203125" style="1" customWidth="1"/>
    <col min="11523" max="11523" width="3.44140625" style="1" customWidth="1"/>
    <col min="11524" max="11535" width="3.6640625" style="1" customWidth="1"/>
    <col min="11536" max="11536" width="1.44140625" style="1" customWidth="1"/>
    <col min="11537" max="11538" width="3.6640625" style="1" customWidth="1"/>
    <col min="11539" max="11539" width="2.77734375" style="1" customWidth="1"/>
    <col min="11540" max="11545" width="3.6640625" style="1" customWidth="1"/>
    <col min="11546" max="11546" width="9.44140625" style="1" customWidth="1"/>
    <col min="11547" max="11550" width="3.6640625" style="1" customWidth="1"/>
    <col min="11551" max="11551" width="6.6640625" style="1" customWidth="1"/>
    <col min="11552" max="11776" width="4" style="1"/>
    <col min="11777" max="11777" width="2.88671875" style="1" customWidth="1"/>
    <col min="11778" max="11778" width="2.33203125" style="1" customWidth="1"/>
    <col min="11779" max="11779" width="3.44140625" style="1" customWidth="1"/>
    <col min="11780" max="11791" width="3.6640625" style="1" customWidth="1"/>
    <col min="11792" max="11792" width="1.44140625" style="1" customWidth="1"/>
    <col min="11793" max="11794" width="3.6640625" style="1" customWidth="1"/>
    <col min="11795" max="11795" width="2.77734375" style="1" customWidth="1"/>
    <col min="11796" max="11801" width="3.6640625" style="1" customWidth="1"/>
    <col min="11802" max="11802" width="9.44140625" style="1" customWidth="1"/>
    <col min="11803" max="11806" width="3.6640625" style="1" customWidth="1"/>
    <col min="11807" max="11807" width="6.6640625" style="1" customWidth="1"/>
    <col min="11808" max="12032" width="4" style="1"/>
    <col min="12033" max="12033" width="2.88671875" style="1" customWidth="1"/>
    <col min="12034" max="12034" width="2.33203125" style="1" customWidth="1"/>
    <col min="12035" max="12035" width="3.44140625" style="1" customWidth="1"/>
    <col min="12036" max="12047" width="3.6640625" style="1" customWidth="1"/>
    <col min="12048" max="12048" width="1.44140625" style="1" customWidth="1"/>
    <col min="12049" max="12050" width="3.6640625" style="1" customWidth="1"/>
    <col min="12051" max="12051" width="2.77734375" style="1" customWidth="1"/>
    <col min="12052" max="12057" width="3.6640625" style="1" customWidth="1"/>
    <col min="12058" max="12058" width="9.44140625" style="1" customWidth="1"/>
    <col min="12059" max="12062" width="3.6640625" style="1" customWidth="1"/>
    <col min="12063" max="12063" width="6.6640625" style="1" customWidth="1"/>
    <col min="12064" max="12288" width="4" style="1"/>
    <col min="12289" max="12289" width="2.88671875" style="1" customWidth="1"/>
    <col min="12290" max="12290" width="2.33203125" style="1" customWidth="1"/>
    <col min="12291" max="12291" width="3.44140625" style="1" customWidth="1"/>
    <col min="12292" max="12303" width="3.6640625" style="1" customWidth="1"/>
    <col min="12304" max="12304" width="1.44140625" style="1" customWidth="1"/>
    <col min="12305" max="12306" width="3.6640625" style="1" customWidth="1"/>
    <col min="12307" max="12307" width="2.77734375" style="1" customWidth="1"/>
    <col min="12308" max="12313" width="3.6640625" style="1" customWidth="1"/>
    <col min="12314" max="12314" width="9.44140625" style="1" customWidth="1"/>
    <col min="12315" max="12318" width="3.6640625" style="1" customWidth="1"/>
    <col min="12319" max="12319" width="6.6640625" style="1" customWidth="1"/>
    <col min="12320" max="12544" width="4" style="1"/>
    <col min="12545" max="12545" width="2.88671875" style="1" customWidth="1"/>
    <col min="12546" max="12546" width="2.33203125" style="1" customWidth="1"/>
    <col min="12547" max="12547" width="3.44140625" style="1" customWidth="1"/>
    <col min="12548" max="12559" width="3.6640625" style="1" customWidth="1"/>
    <col min="12560" max="12560" width="1.44140625" style="1" customWidth="1"/>
    <col min="12561" max="12562" width="3.6640625" style="1" customWidth="1"/>
    <col min="12563" max="12563" width="2.77734375" style="1" customWidth="1"/>
    <col min="12564" max="12569" width="3.6640625" style="1" customWidth="1"/>
    <col min="12570" max="12570" width="9.44140625" style="1" customWidth="1"/>
    <col min="12571" max="12574" width="3.6640625" style="1" customWidth="1"/>
    <col min="12575" max="12575" width="6.6640625" style="1" customWidth="1"/>
    <col min="12576" max="12800" width="4" style="1"/>
    <col min="12801" max="12801" width="2.88671875" style="1" customWidth="1"/>
    <col min="12802" max="12802" width="2.33203125" style="1" customWidth="1"/>
    <col min="12803" max="12803" width="3.44140625" style="1" customWidth="1"/>
    <col min="12804" max="12815" width="3.6640625" style="1" customWidth="1"/>
    <col min="12816" max="12816" width="1.44140625" style="1" customWidth="1"/>
    <col min="12817" max="12818" width="3.6640625" style="1" customWidth="1"/>
    <col min="12819" max="12819" width="2.77734375" style="1" customWidth="1"/>
    <col min="12820" max="12825" width="3.6640625" style="1" customWidth="1"/>
    <col min="12826" max="12826" width="9.44140625" style="1" customWidth="1"/>
    <col min="12827" max="12830" width="3.6640625" style="1" customWidth="1"/>
    <col min="12831" max="12831" width="6.6640625" style="1" customWidth="1"/>
    <col min="12832" max="13056" width="4" style="1"/>
    <col min="13057" max="13057" width="2.88671875" style="1" customWidth="1"/>
    <col min="13058" max="13058" width="2.33203125" style="1" customWidth="1"/>
    <col min="13059" max="13059" width="3.44140625" style="1" customWidth="1"/>
    <col min="13060" max="13071" width="3.6640625" style="1" customWidth="1"/>
    <col min="13072" max="13072" width="1.44140625" style="1" customWidth="1"/>
    <col min="13073" max="13074" width="3.6640625" style="1" customWidth="1"/>
    <col min="13075" max="13075" width="2.77734375" style="1" customWidth="1"/>
    <col min="13076" max="13081" width="3.6640625" style="1" customWidth="1"/>
    <col min="13082" max="13082" width="9.44140625" style="1" customWidth="1"/>
    <col min="13083" max="13086" width="3.6640625" style="1" customWidth="1"/>
    <col min="13087" max="13087" width="6.6640625" style="1" customWidth="1"/>
    <col min="13088" max="13312" width="4" style="1"/>
    <col min="13313" max="13313" width="2.88671875" style="1" customWidth="1"/>
    <col min="13314" max="13314" width="2.33203125" style="1" customWidth="1"/>
    <col min="13315" max="13315" width="3.44140625" style="1" customWidth="1"/>
    <col min="13316" max="13327" width="3.6640625" style="1" customWidth="1"/>
    <col min="13328" max="13328" width="1.44140625" style="1" customWidth="1"/>
    <col min="13329" max="13330" width="3.6640625" style="1" customWidth="1"/>
    <col min="13331" max="13331" width="2.77734375" style="1" customWidth="1"/>
    <col min="13332" max="13337" width="3.6640625" style="1" customWidth="1"/>
    <col min="13338" max="13338" width="9.44140625" style="1" customWidth="1"/>
    <col min="13339" max="13342" width="3.6640625" style="1" customWidth="1"/>
    <col min="13343" max="13343" width="6.6640625" style="1" customWidth="1"/>
    <col min="13344" max="13568" width="4" style="1"/>
    <col min="13569" max="13569" width="2.88671875" style="1" customWidth="1"/>
    <col min="13570" max="13570" width="2.33203125" style="1" customWidth="1"/>
    <col min="13571" max="13571" width="3.44140625" style="1" customWidth="1"/>
    <col min="13572" max="13583" width="3.6640625" style="1" customWidth="1"/>
    <col min="13584" max="13584" width="1.44140625" style="1" customWidth="1"/>
    <col min="13585" max="13586" width="3.6640625" style="1" customWidth="1"/>
    <col min="13587" max="13587" width="2.77734375" style="1" customWidth="1"/>
    <col min="13588" max="13593" width="3.6640625" style="1" customWidth="1"/>
    <col min="13594" max="13594" width="9.44140625" style="1" customWidth="1"/>
    <col min="13595" max="13598" width="3.6640625" style="1" customWidth="1"/>
    <col min="13599" max="13599" width="6.6640625" style="1" customWidth="1"/>
    <col min="13600" max="13824" width="4" style="1"/>
    <col min="13825" max="13825" width="2.88671875" style="1" customWidth="1"/>
    <col min="13826" max="13826" width="2.33203125" style="1" customWidth="1"/>
    <col min="13827" max="13827" width="3.44140625" style="1" customWidth="1"/>
    <col min="13828" max="13839" width="3.6640625" style="1" customWidth="1"/>
    <col min="13840" max="13840" width="1.44140625" style="1" customWidth="1"/>
    <col min="13841" max="13842" width="3.6640625" style="1" customWidth="1"/>
    <col min="13843" max="13843" width="2.77734375" style="1" customWidth="1"/>
    <col min="13844" max="13849" width="3.6640625" style="1" customWidth="1"/>
    <col min="13850" max="13850" width="9.44140625" style="1" customWidth="1"/>
    <col min="13851" max="13854" width="3.6640625" style="1" customWidth="1"/>
    <col min="13855" max="13855" width="6.6640625" style="1" customWidth="1"/>
    <col min="13856" max="14080" width="4" style="1"/>
    <col min="14081" max="14081" width="2.88671875" style="1" customWidth="1"/>
    <col min="14082" max="14082" width="2.33203125" style="1" customWidth="1"/>
    <col min="14083" max="14083" width="3.44140625" style="1" customWidth="1"/>
    <col min="14084" max="14095" width="3.6640625" style="1" customWidth="1"/>
    <col min="14096" max="14096" width="1.44140625" style="1" customWidth="1"/>
    <col min="14097" max="14098" width="3.6640625" style="1" customWidth="1"/>
    <col min="14099" max="14099" width="2.77734375" style="1" customWidth="1"/>
    <col min="14100" max="14105" width="3.6640625" style="1" customWidth="1"/>
    <col min="14106" max="14106" width="9.44140625" style="1" customWidth="1"/>
    <col min="14107" max="14110" width="3.6640625" style="1" customWidth="1"/>
    <col min="14111" max="14111" width="6.6640625" style="1" customWidth="1"/>
    <col min="14112" max="14336" width="4" style="1"/>
    <col min="14337" max="14337" width="2.88671875" style="1" customWidth="1"/>
    <col min="14338" max="14338" width="2.33203125" style="1" customWidth="1"/>
    <col min="14339" max="14339" width="3.44140625" style="1" customWidth="1"/>
    <col min="14340" max="14351" width="3.6640625" style="1" customWidth="1"/>
    <col min="14352" max="14352" width="1.44140625" style="1" customWidth="1"/>
    <col min="14353" max="14354" width="3.6640625" style="1" customWidth="1"/>
    <col min="14355" max="14355" width="2.77734375" style="1" customWidth="1"/>
    <col min="14356" max="14361" width="3.6640625" style="1" customWidth="1"/>
    <col min="14362" max="14362" width="9.44140625" style="1" customWidth="1"/>
    <col min="14363" max="14366" width="3.6640625" style="1" customWidth="1"/>
    <col min="14367" max="14367" width="6.6640625" style="1" customWidth="1"/>
    <col min="14368" max="14592" width="4" style="1"/>
    <col min="14593" max="14593" width="2.88671875" style="1" customWidth="1"/>
    <col min="14594" max="14594" width="2.33203125" style="1" customWidth="1"/>
    <col min="14595" max="14595" width="3.44140625" style="1" customWidth="1"/>
    <col min="14596" max="14607" width="3.6640625" style="1" customWidth="1"/>
    <col min="14608" max="14608" width="1.44140625" style="1" customWidth="1"/>
    <col min="14609" max="14610" width="3.6640625" style="1" customWidth="1"/>
    <col min="14611" max="14611" width="2.77734375" style="1" customWidth="1"/>
    <col min="14612" max="14617" width="3.6640625" style="1" customWidth="1"/>
    <col min="14618" max="14618" width="9.44140625" style="1" customWidth="1"/>
    <col min="14619" max="14622" width="3.6640625" style="1" customWidth="1"/>
    <col min="14623" max="14623" width="6.6640625" style="1" customWidth="1"/>
    <col min="14624" max="14848" width="4" style="1"/>
    <col min="14849" max="14849" width="2.88671875" style="1" customWidth="1"/>
    <col min="14850" max="14850" width="2.33203125" style="1" customWidth="1"/>
    <col min="14851" max="14851" width="3.44140625" style="1" customWidth="1"/>
    <col min="14852" max="14863" width="3.6640625" style="1" customWidth="1"/>
    <col min="14864" max="14864" width="1.44140625" style="1" customWidth="1"/>
    <col min="14865" max="14866" width="3.6640625" style="1" customWidth="1"/>
    <col min="14867" max="14867" width="2.77734375" style="1" customWidth="1"/>
    <col min="14868" max="14873" width="3.6640625" style="1" customWidth="1"/>
    <col min="14874" max="14874" width="9.44140625" style="1" customWidth="1"/>
    <col min="14875" max="14878" width="3.6640625" style="1" customWidth="1"/>
    <col min="14879" max="14879" width="6.6640625" style="1" customWidth="1"/>
    <col min="14880" max="15104" width="4" style="1"/>
    <col min="15105" max="15105" width="2.88671875" style="1" customWidth="1"/>
    <col min="15106" max="15106" width="2.33203125" style="1" customWidth="1"/>
    <col min="15107" max="15107" width="3.44140625" style="1" customWidth="1"/>
    <col min="15108" max="15119" width="3.6640625" style="1" customWidth="1"/>
    <col min="15120" max="15120" width="1.44140625" style="1" customWidth="1"/>
    <col min="15121" max="15122" width="3.6640625" style="1" customWidth="1"/>
    <col min="15123" max="15123" width="2.77734375" style="1" customWidth="1"/>
    <col min="15124" max="15129" width="3.6640625" style="1" customWidth="1"/>
    <col min="15130" max="15130" width="9.44140625" style="1" customWidth="1"/>
    <col min="15131" max="15134" width="3.6640625" style="1" customWidth="1"/>
    <col min="15135" max="15135" width="6.6640625" style="1" customWidth="1"/>
    <col min="15136" max="15360" width="4" style="1"/>
    <col min="15361" max="15361" width="2.88671875" style="1" customWidth="1"/>
    <col min="15362" max="15362" width="2.33203125" style="1" customWidth="1"/>
    <col min="15363" max="15363" width="3.44140625" style="1" customWidth="1"/>
    <col min="15364" max="15375" width="3.6640625" style="1" customWidth="1"/>
    <col min="15376" max="15376" width="1.44140625" style="1" customWidth="1"/>
    <col min="15377" max="15378" width="3.6640625" style="1" customWidth="1"/>
    <col min="15379" max="15379" width="2.77734375" style="1" customWidth="1"/>
    <col min="15380" max="15385" width="3.6640625" style="1" customWidth="1"/>
    <col min="15386" max="15386" width="9.44140625" style="1" customWidth="1"/>
    <col min="15387" max="15390" width="3.6640625" style="1" customWidth="1"/>
    <col min="15391" max="15391" width="6.6640625" style="1" customWidth="1"/>
    <col min="15392" max="15616" width="4" style="1"/>
    <col min="15617" max="15617" width="2.88671875" style="1" customWidth="1"/>
    <col min="15618" max="15618" width="2.33203125" style="1" customWidth="1"/>
    <col min="15619" max="15619" width="3.44140625" style="1" customWidth="1"/>
    <col min="15620" max="15631" width="3.6640625" style="1" customWidth="1"/>
    <col min="15632" max="15632" width="1.44140625" style="1" customWidth="1"/>
    <col min="15633" max="15634" width="3.6640625" style="1" customWidth="1"/>
    <col min="15635" max="15635" width="2.77734375" style="1" customWidth="1"/>
    <col min="15636" max="15641" width="3.6640625" style="1" customWidth="1"/>
    <col min="15642" max="15642" width="9.44140625" style="1" customWidth="1"/>
    <col min="15643" max="15646" width="3.6640625" style="1" customWidth="1"/>
    <col min="15647" max="15647" width="6.6640625" style="1" customWidth="1"/>
    <col min="15648" max="15872" width="4" style="1"/>
    <col min="15873" max="15873" width="2.88671875" style="1" customWidth="1"/>
    <col min="15874" max="15874" width="2.33203125" style="1" customWidth="1"/>
    <col min="15875" max="15875" width="3.44140625" style="1" customWidth="1"/>
    <col min="15876" max="15887" width="3.6640625" style="1" customWidth="1"/>
    <col min="15888" max="15888" width="1.44140625" style="1" customWidth="1"/>
    <col min="15889" max="15890" width="3.6640625" style="1" customWidth="1"/>
    <col min="15891" max="15891" width="2.77734375" style="1" customWidth="1"/>
    <col min="15892" max="15897" width="3.6640625" style="1" customWidth="1"/>
    <col min="15898" max="15898" width="9.44140625" style="1" customWidth="1"/>
    <col min="15899" max="15902" width="3.6640625" style="1" customWidth="1"/>
    <col min="15903" max="15903" width="6.6640625" style="1" customWidth="1"/>
    <col min="15904" max="16128" width="4" style="1"/>
    <col min="16129" max="16129" width="2.88671875" style="1" customWidth="1"/>
    <col min="16130" max="16130" width="2.33203125" style="1" customWidth="1"/>
    <col min="16131" max="16131" width="3.44140625" style="1" customWidth="1"/>
    <col min="16132" max="16143" width="3.6640625" style="1" customWidth="1"/>
    <col min="16144" max="16144" width="1.44140625" style="1" customWidth="1"/>
    <col min="16145" max="16146" width="3.6640625" style="1" customWidth="1"/>
    <col min="16147" max="16147" width="2.77734375" style="1" customWidth="1"/>
    <col min="16148" max="16153" width="3.6640625" style="1" customWidth="1"/>
    <col min="16154" max="16154" width="9.44140625" style="1" customWidth="1"/>
    <col min="16155" max="16158" width="3.6640625" style="1" customWidth="1"/>
    <col min="16159" max="16159" width="6.6640625" style="1" customWidth="1"/>
    <col min="16160" max="16384" width="4" style="1"/>
  </cols>
  <sheetData>
    <row r="2" spans="2:31">
      <c r="B2" s="1" t="s">
        <v>1479</v>
      </c>
    </row>
    <row r="3" spans="2:31">
      <c r="U3" s="2"/>
      <c r="X3" s="45" t="s">
        <v>544</v>
      </c>
      <c r="Y3" s="1575"/>
      <c r="Z3" s="1575"/>
      <c r="AA3" s="45" t="s">
        <v>34</v>
      </c>
      <c r="AB3" s="12"/>
      <c r="AC3" s="45" t="s">
        <v>1108</v>
      </c>
      <c r="AD3" s="12"/>
      <c r="AE3" s="45" t="s">
        <v>241</v>
      </c>
    </row>
    <row r="4" spans="2:31">
      <c r="T4" s="626"/>
      <c r="U4" s="626"/>
      <c r="V4" s="626"/>
    </row>
    <row r="5" spans="2:31">
      <c r="B5" s="1575" t="s">
        <v>1480</v>
      </c>
      <c r="C5" s="1575"/>
      <c r="D5" s="1575"/>
      <c r="E5" s="1575"/>
      <c r="F5" s="1575"/>
      <c r="G5" s="1575"/>
      <c r="H5" s="1575"/>
      <c r="I5" s="1575"/>
      <c r="J5" s="1575"/>
      <c r="K5" s="1575"/>
      <c r="L5" s="1575"/>
      <c r="M5" s="1575"/>
      <c r="N5" s="1575"/>
      <c r="O5" s="1575"/>
      <c r="P5" s="1575"/>
      <c r="Q5" s="1575"/>
      <c r="R5" s="1575"/>
      <c r="S5" s="1575"/>
      <c r="T5" s="1575"/>
      <c r="U5" s="1575"/>
      <c r="V5" s="1575"/>
      <c r="W5" s="1575"/>
      <c r="X5" s="1575"/>
      <c r="Y5" s="1575"/>
      <c r="Z5" s="1575"/>
      <c r="AA5" s="1575"/>
      <c r="AB5" s="1575"/>
      <c r="AC5" s="1575"/>
      <c r="AD5" s="1575"/>
      <c r="AE5" s="1575"/>
    </row>
    <row r="7" spans="2:31" ht="23.25" customHeight="1">
      <c r="B7" s="725" t="s">
        <v>1109</v>
      </c>
      <c r="C7" s="725"/>
      <c r="D7" s="725"/>
      <c r="E7" s="725"/>
      <c r="F7" s="1580"/>
      <c r="G7" s="1581"/>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2"/>
    </row>
    <row r="8" spans="2:31" ht="23.25" customHeight="1">
      <c r="B8" s="725" t="s">
        <v>1110</v>
      </c>
      <c r="C8" s="725"/>
      <c r="D8" s="725"/>
      <c r="E8" s="725"/>
      <c r="F8" s="663" t="s">
        <v>121</v>
      </c>
      <c r="G8" s="639" t="s">
        <v>1111</v>
      </c>
      <c r="H8" s="639"/>
      <c r="I8" s="639"/>
      <c r="J8" s="639"/>
      <c r="K8" s="664" t="s">
        <v>121</v>
      </c>
      <c r="L8" s="639" t="s">
        <v>1112</v>
      </c>
      <c r="M8" s="639"/>
      <c r="N8" s="639"/>
      <c r="O8" s="639"/>
      <c r="P8" s="639"/>
      <c r="Q8" s="664" t="s">
        <v>121</v>
      </c>
      <c r="R8" s="639" t="s">
        <v>1113</v>
      </c>
      <c r="S8" s="639"/>
      <c r="T8" s="639"/>
      <c r="U8" s="639"/>
      <c r="V8" s="639"/>
      <c r="W8" s="639"/>
      <c r="X8" s="639"/>
      <c r="Y8" s="639"/>
      <c r="Z8" s="639"/>
      <c r="AA8" s="639"/>
      <c r="AB8" s="639"/>
      <c r="AC8" s="639"/>
      <c r="AD8" s="10"/>
      <c r="AE8" s="11"/>
    </row>
    <row r="9" spans="2:31" ht="25.2" customHeight="1">
      <c r="B9" s="1795" t="s">
        <v>1114</v>
      </c>
      <c r="C9" s="1796"/>
      <c r="D9" s="1796"/>
      <c r="E9" s="1797"/>
      <c r="F9" s="12" t="s">
        <v>121</v>
      </c>
      <c r="G9" s="597" t="s">
        <v>1481</v>
      </c>
      <c r="H9" s="2"/>
      <c r="I9" s="2"/>
      <c r="J9" s="2"/>
      <c r="K9" s="2"/>
      <c r="L9" s="2"/>
      <c r="M9" s="2"/>
      <c r="N9" s="2"/>
      <c r="O9" s="2"/>
      <c r="Q9" s="7"/>
      <c r="R9" s="611" t="s">
        <v>121</v>
      </c>
      <c r="S9" s="2" t="s">
        <v>1482</v>
      </c>
      <c r="T9" s="2"/>
      <c r="U9" s="2"/>
      <c r="V9" s="2"/>
      <c r="W9" s="22"/>
      <c r="X9" s="22"/>
      <c r="Y9" s="22"/>
      <c r="Z9" s="22"/>
      <c r="AA9" s="22"/>
      <c r="AB9" s="22"/>
      <c r="AC9" s="22"/>
      <c r="AD9" s="7"/>
      <c r="AE9" s="4"/>
    </row>
    <row r="10" spans="2:31" ht="25.2" customHeight="1">
      <c r="B10" s="1801"/>
      <c r="C10" s="1575"/>
      <c r="D10" s="1575"/>
      <c r="E10" s="1802"/>
      <c r="F10" s="12" t="s">
        <v>121</v>
      </c>
      <c r="G10" s="597" t="s">
        <v>1483</v>
      </c>
      <c r="H10" s="2"/>
      <c r="I10" s="2"/>
      <c r="J10" s="2"/>
      <c r="K10" s="2"/>
      <c r="L10" s="2"/>
      <c r="M10" s="2"/>
      <c r="N10" s="2"/>
      <c r="O10" s="2"/>
      <c r="R10" s="12" t="s">
        <v>121</v>
      </c>
      <c r="S10" s="2" t="s">
        <v>1484</v>
      </c>
      <c r="T10" s="2"/>
      <c r="U10" s="2"/>
      <c r="V10" s="2"/>
      <c r="W10" s="2"/>
      <c r="X10" s="2"/>
      <c r="Y10" s="2"/>
      <c r="Z10" s="2"/>
      <c r="AA10" s="2"/>
      <c r="AB10" s="2"/>
      <c r="AC10" s="2"/>
      <c r="AE10" s="402"/>
    </row>
    <row r="11" spans="2:31" ht="25.2" customHeight="1">
      <c r="B11" s="1798"/>
      <c r="C11" s="1799"/>
      <c r="D11" s="1799"/>
      <c r="E11" s="1800"/>
      <c r="F11" s="12" t="s">
        <v>121</v>
      </c>
      <c r="G11" s="2" t="s">
        <v>1485</v>
      </c>
      <c r="H11" s="2"/>
      <c r="I11" s="2"/>
      <c r="J11" s="2"/>
      <c r="K11" s="2"/>
      <c r="L11" s="2"/>
      <c r="M11" s="2"/>
      <c r="N11" s="2"/>
      <c r="O11" s="2"/>
      <c r="R11" s="12"/>
      <c r="S11" s="2"/>
      <c r="T11" s="2"/>
      <c r="U11" s="2"/>
      <c r="V11" s="2"/>
      <c r="W11" s="2"/>
      <c r="X11" s="2"/>
      <c r="Y11" s="2"/>
      <c r="Z11" s="2"/>
      <c r="AA11" s="2"/>
      <c r="AB11" s="2"/>
      <c r="AC11" s="2"/>
      <c r="AE11" s="402"/>
    </row>
    <row r="12" spans="2:31" ht="30.75" customHeight="1">
      <c r="B12" s="725" t="s">
        <v>1115</v>
      </c>
      <c r="C12" s="725"/>
      <c r="D12" s="725"/>
      <c r="E12" s="725"/>
      <c r="F12" s="663" t="s">
        <v>121</v>
      </c>
      <c r="G12" s="639" t="s">
        <v>1486</v>
      </c>
      <c r="H12" s="727"/>
      <c r="I12" s="727"/>
      <c r="J12" s="727"/>
      <c r="K12" s="727"/>
      <c r="L12" s="727"/>
      <c r="M12" s="727"/>
      <c r="N12" s="727"/>
      <c r="O12" s="727"/>
      <c r="P12" s="727"/>
      <c r="Q12" s="10"/>
      <c r="R12" s="664" t="s">
        <v>121</v>
      </c>
      <c r="S12" s="639" t="s">
        <v>1487</v>
      </c>
      <c r="T12" s="727"/>
      <c r="U12" s="727"/>
      <c r="V12" s="727"/>
      <c r="W12" s="727"/>
      <c r="X12" s="727"/>
      <c r="Y12" s="727"/>
      <c r="Z12" s="727"/>
      <c r="AA12" s="727"/>
      <c r="AB12" s="727"/>
      <c r="AC12" s="727"/>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63"/>
      <c r="AB14" s="664" t="s">
        <v>1118</v>
      </c>
      <c r="AC14" s="664" t="s">
        <v>440</v>
      </c>
      <c r="AD14" s="664" t="s">
        <v>674</v>
      </c>
      <c r="AE14" s="11"/>
    </row>
    <row r="15" spans="2:31">
      <c r="B15" s="6" t="s">
        <v>1488</v>
      </c>
      <c r="C15" s="7"/>
      <c r="D15" s="7"/>
      <c r="E15" s="7"/>
      <c r="F15" s="7"/>
      <c r="G15" s="7"/>
      <c r="H15" s="7"/>
      <c r="I15" s="7"/>
      <c r="J15" s="7"/>
      <c r="K15" s="7"/>
      <c r="L15" s="7"/>
      <c r="M15" s="7"/>
      <c r="N15" s="7"/>
      <c r="O15" s="7"/>
      <c r="P15" s="7"/>
      <c r="Q15" s="7"/>
      <c r="R15" s="7"/>
      <c r="S15" s="7"/>
      <c r="T15" s="7"/>
      <c r="U15" s="7"/>
      <c r="V15" s="7"/>
      <c r="W15" s="7"/>
      <c r="X15" s="7"/>
      <c r="Y15" s="7"/>
      <c r="Z15" s="23"/>
      <c r="AA15" s="666"/>
      <c r="AB15" s="611"/>
      <c r="AC15" s="611"/>
      <c r="AD15" s="7"/>
      <c r="AE15" s="4"/>
    </row>
    <row r="16" spans="2:31">
      <c r="B16" s="408"/>
      <c r="C16" s="728" t="s">
        <v>1120</v>
      </c>
      <c r="D16" s="1" t="s">
        <v>1489</v>
      </c>
      <c r="Z16" s="729"/>
      <c r="AA16" s="730"/>
      <c r="AB16" s="12" t="s">
        <v>121</v>
      </c>
      <c r="AC16" s="12" t="s">
        <v>440</v>
      </c>
      <c r="AD16" s="12" t="s">
        <v>121</v>
      </c>
      <c r="AE16" s="402"/>
    </row>
    <row r="17" spans="2:31">
      <c r="B17" s="408"/>
      <c r="D17" s="1" t="s">
        <v>1122</v>
      </c>
      <c r="Z17" s="617"/>
      <c r="AA17" s="602"/>
      <c r="AB17" s="12"/>
      <c r="AC17" s="12"/>
      <c r="AE17" s="402"/>
    </row>
    <row r="18" spans="2:31" ht="6" customHeight="1">
      <c r="B18" s="408"/>
      <c r="Z18" s="617"/>
      <c r="AA18" s="602"/>
      <c r="AB18" s="12"/>
      <c r="AC18" s="12"/>
      <c r="AE18" s="402"/>
    </row>
    <row r="19" spans="2:31">
      <c r="B19" s="408"/>
      <c r="D19" s="638" t="s">
        <v>1123</v>
      </c>
      <c r="E19" s="639"/>
      <c r="F19" s="639"/>
      <c r="G19" s="639"/>
      <c r="H19" s="639"/>
      <c r="I19" s="639"/>
      <c r="J19" s="639"/>
      <c r="K19" s="639"/>
      <c r="L19" s="639"/>
      <c r="M19" s="639"/>
      <c r="N19" s="639"/>
      <c r="O19" s="10"/>
      <c r="P19" s="10"/>
      <c r="Q19" s="10"/>
      <c r="R19" s="10"/>
      <c r="S19" s="639"/>
      <c r="T19" s="639"/>
      <c r="U19" s="1580"/>
      <c r="V19" s="1581"/>
      <c r="W19" s="1581"/>
      <c r="X19" s="10" t="s">
        <v>1124</v>
      </c>
      <c r="Y19" s="408"/>
      <c r="Z19" s="617"/>
      <c r="AA19" s="602"/>
      <c r="AB19" s="12"/>
      <c r="AC19" s="12"/>
      <c r="AE19" s="402"/>
    </row>
    <row r="20" spans="2:31">
      <c r="B20" s="408"/>
      <c r="D20" s="638" t="s">
        <v>1490</v>
      </c>
      <c r="E20" s="639"/>
      <c r="F20" s="639"/>
      <c r="G20" s="639"/>
      <c r="H20" s="639"/>
      <c r="I20" s="639"/>
      <c r="J20" s="639"/>
      <c r="K20" s="639"/>
      <c r="L20" s="639"/>
      <c r="M20" s="639"/>
      <c r="N20" s="639"/>
      <c r="O20" s="10"/>
      <c r="P20" s="10"/>
      <c r="Q20" s="10"/>
      <c r="R20" s="10"/>
      <c r="S20" s="639"/>
      <c r="T20" s="639"/>
      <c r="U20" s="1580"/>
      <c r="V20" s="1581"/>
      <c r="W20" s="1581"/>
      <c r="X20" s="10" t="s">
        <v>1124</v>
      </c>
      <c r="Y20" s="408"/>
      <c r="Z20" s="402"/>
      <c r="AA20" s="602"/>
      <c r="AB20" s="12"/>
      <c r="AC20" s="12"/>
      <c r="AE20" s="402"/>
    </row>
    <row r="21" spans="2:31">
      <c r="B21" s="408"/>
      <c r="D21" s="638" t="s">
        <v>1126</v>
      </c>
      <c r="E21" s="639"/>
      <c r="F21" s="639"/>
      <c r="G21" s="639"/>
      <c r="H21" s="639"/>
      <c r="I21" s="639"/>
      <c r="J21" s="639"/>
      <c r="K21" s="639"/>
      <c r="L21" s="639"/>
      <c r="M21" s="639"/>
      <c r="N21" s="639"/>
      <c r="O21" s="10"/>
      <c r="P21" s="10"/>
      <c r="Q21" s="10"/>
      <c r="R21" s="10"/>
      <c r="S21" s="639"/>
      <c r="T21" s="731" t="str">
        <f>(IFERROR(ROUNDDOWN(T20/T19*100,0),""))</f>
        <v/>
      </c>
      <c r="U21" s="2085" t="str">
        <f>(IFERROR(ROUNDDOWN(U20/U19*100,0),""))</f>
        <v/>
      </c>
      <c r="V21" s="2086"/>
      <c r="W21" s="2086"/>
      <c r="X21" s="10" t="s">
        <v>60</v>
      </c>
      <c r="Y21" s="408"/>
      <c r="Z21" s="667"/>
      <c r="AA21" s="602"/>
      <c r="AB21" s="12"/>
      <c r="AC21" s="12"/>
      <c r="AE21" s="402"/>
    </row>
    <row r="22" spans="2:31">
      <c r="B22" s="408"/>
      <c r="D22" s="1" t="s">
        <v>1491</v>
      </c>
      <c r="Z22" s="667"/>
      <c r="AA22" s="602"/>
      <c r="AB22" s="12"/>
      <c r="AC22" s="12"/>
      <c r="AE22" s="402"/>
    </row>
    <row r="23" spans="2:31">
      <c r="B23" s="408"/>
      <c r="E23" s="1" t="s">
        <v>1492</v>
      </c>
      <c r="Z23" s="667"/>
      <c r="AA23" s="602"/>
      <c r="AB23" s="12"/>
      <c r="AC23" s="12"/>
      <c r="AE23" s="402"/>
    </row>
    <row r="24" spans="2:31">
      <c r="B24" s="408"/>
      <c r="Z24" s="667"/>
      <c r="AA24" s="602"/>
      <c r="AB24" s="12"/>
      <c r="AC24" s="12"/>
      <c r="AE24" s="402"/>
    </row>
    <row r="25" spans="2:31">
      <c r="B25" s="408"/>
      <c r="C25" s="728" t="s">
        <v>1129</v>
      </c>
      <c r="D25" s="1" t="s">
        <v>1493</v>
      </c>
      <c r="Z25" s="729"/>
      <c r="AA25" s="602"/>
      <c r="AB25" s="12" t="s">
        <v>121</v>
      </c>
      <c r="AC25" s="12" t="s">
        <v>440</v>
      </c>
      <c r="AD25" s="12" t="s">
        <v>121</v>
      </c>
      <c r="AE25" s="402"/>
    </row>
    <row r="26" spans="2:31">
      <c r="B26" s="408"/>
      <c r="C26" s="728"/>
      <c r="D26" s="1" t="s">
        <v>1494</v>
      </c>
      <c r="Z26" s="729"/>
      <c r="AA26" s="602"/>
      <c r="AB26" s="12"/>
      <c r="AC26" s="12"/>
      <c r="AD26" s="12"/>
      <c r="AE26" s="402"/>
    </row>
    <row r="27" spans="2:31">
      <c r="B27" s="408"/>
      <c r="C27" s="728"/>
      <c r="D27" s="1" t="s">
        <v>1495</v>
      </c>
      <c r="Z27" s="729"/>
      <c r="AA27" s="602"/>
      <c r="AB27" s="12"/>
      <c r="AC27" s="12"/>
      <c r="AD27" s="12"/>
      <c r="AE27" s="402"/>
    </row>
    <row r="28" spans="2:31">
      <c r="B28" s="408"/>
      <c r="C28" s="728"/>
      <c r="D28" s="1" t="s">
        <v>1496</v>
      </c>
      <c r="Z28" s="729"/>
      <c r="AA28" s="602"/>
      <c r="AB28" s="12"/>
      <c r="AC28" s="12"/>
      <c r="AD28" s="12"/>
      <c r="AE28" s="402"/>
    </row>
    <row r="29" spans="2:31" ht="6" customHeight="1">
      <c r="B29" s="408"/>
      <c r="Z29" s="667"/>
      <c r="AA29" s="602"/>
      <c r="AB29" s="12"/>
      <c r="AC29" s="12"/>
      <c r="AE29" s="402"/>
    </row>
    <row r="30" spans="2:31">
      <c r="B30" s="408"/>
      <c r="C30" s="728"/>
      <c r="D30" s="41" t="s">
        <v>1497</v>
      </c>
      <c r="E30" s="22"/>
      <c r="F30" s="22"/>
      <c r="G30" s="22"/>
      <c r="H30" s="22"/>
      <c r="I30" s="22"/>
      <c r="J30" s="22"/>
      <c r="K30" s="22"/>
      <c r="L30" s="22"/>
      <c r="M30" s="22"/>
      <c r="N30" s="22"/>
      <c r="O30" s="7"/>
      <c r="P30" s="7"/>
      <c r="Q30" s="7"/>
      <c r="R30" s="7"/>
      <c r="S30" s="7"/>
      <c r="T30" s="4"/>
      <c r="U30" s="1795"/>
      <c r="V30" s="1796"/>
      <c r="W30" s="1796"/>
      <c r="X30" s="1797" t="s">
        <v>1124</v>
      </c>
      <c r="Z30" s="667"/>
      <c r="AA30" s="602"/>
      <c r="AB30" s="12"/>
      <c r="AC30" s="12"/>
      <c r="AE30" s="402"/>
    </row>
    <row r="31" spans="2:31">
      <c r="B31" s="408"/>
      <c r="C31" s="728"/>
      <c r="D31" s="735" t="s">
        <v>1498</v>
      </c>
      <c r="E31" s="2"/>
      <c r="F31" s="2"/>
      <c r="G31" s="2"/>
      <c r="H31" s="2"/>
      <c r="I31" s="2"/>
      <c r="J31" s="2"/>
      <c r="K31" s="2"/>
      <c r="L31" s="2"/>
      <c r="M31" s="2"/>
      <c r="N31" s="2"/>
      <c r="T31" s="402"/>
      <c r="U31" s="1801"/>
      <c r="V31" s="1575"/>
      <c r="W31" s="1575"/>
      <c r="X31" s="1802"/>
      <c r="Z31" s="667"/>
      <c r="AA31" s="602"/>
      <c r="AB31" s="12"/>
      <c r="AC31" s="12"/>
      <c r="AE31" s="402"/>
    </row>
    <row r="32" spans="2:31">
      <c r="B32" s="408"/>
      <c r="C32" s="728"/>
      <c r="D32" s="735" t="s">
        <v>1499</v>
      </c>
      <c r="E32" s="2"/>
      <c r="F32" s="2"/>
      <c r="G32" s="2"/>
      <c r="H32" s="2"/>
      <c r="I32" s="2"/>
      <c r="J32" s="2"/>
      <c r="K32" s="2"/>
      <c r="L32" s="2"/>
      <c r="M32" s="2"/>
      <c r="N32" s="2"/>
      <c r="T32" s="402"/>
      <c r="U32" s="1801"/>
      <c r="V32" s="1575"/>
      <c r="W32" s="1575"/>
      <c r="X32" s="1802"/>
      <c r="Z32" s="667"/>
      <c r="AA32" s="602"/>
      <c r="AB32" s="12"/>
      <c r="AC32" s="12"/>
      <c r="AE32" s="402"/>
    </row>
    <row r="33" spans="2:35">
      <c r="B33" s="408"/>
      <c r="C33" s="728"/>
      <c r="D33" s="736" t="s">
        <v>1500</v>
      </c>
      <c r="E33" s="645"/>
      <c r="F33" s="645"/>
      <c r="G33" s="645"/>
      <c r="H33" s="645"/>
      <c r="I33" s="645"/>
      <c r="J33" s="645"/>
      <c r="K33" s="645"/>
      <c r="L33" s="645"/>
      <c r="M33" s="645"/>
      <c r="N33" s="645"/>
      <c r="O33" s="8"/>
      <c r="P33" s="8"/>
      <c r="Q33" s="8"/>
      <c r="R33" s="8"/>
      <c r="S33" s="8"/>
      <c r="T33" s="424"/>
      <c r="U33" s="1798"/>
      <c r="V33" s="1799"/>
      <c r="W33" s="1799"/>
      <c r="X33" s="1800"/>
      <c r="Z33" s="667"/>
      <c r="AA33" s="602"/>
      <c r="AB33" s="12"/>
      <c r="AC33" s="12"/>
      <c r="AE33" s="402"/>
    </row>
    <row r="34" spans="2:35" ht="4.5" customHeight="1">
      <c r="B34" s="408"/>
      <c r="C34" s="728"/>
      <c r="D34" s="2"/>
      <c r="E34" s="2"/>
      <c r="F34" s="2"/>
      <c r="G34" s="2"/>
      <c r="H34" s="2"/>
      <c r="I34" s="2"/>
      <c r="J34" s="2"/>
      <c r="K34" s="2"/>
      <c r="L34" s="2"/>
      <c r="M34" s="2"/>
      <c r="N34" s="2"/>
      <c r="U34" s="12"/>
      <c r="V34" s="12"/>
      <c r="W34" s="12"/>
      <c r="Z34" s="667"/>
      <c r="AA34" s="602"/>
      <c r="AB34" s="12"/>
      <c r="AC34" s="12"/>
      <c r="AE34" s="402"/>
    </row>
    <row r="35" spans="2:35">
      <c r="B35" s="408"/>
      <c r="C35" s="728"/>
      <c r="J35" s="1575"/>
      <c r="K35" s="1575"/>
      <c r="L35" s="1575"/>
      <c r="M35" s="1575"/>
      <c r="N35" s="1575"/>
      <c r="O35" s="1575"/>
      <c r="P35" s="1575"/>
      <c r="Q35" s="1575"/>
      <c r="R35" s="1575"/>
      <c r="S35" s="1575"/>
      <c r="T35" s="1575"/>
      <c r="U35" s="1575"/>
      <c r="V35" s="1575"/>
      <c r="Z35" s="617"/>
      <c r="AA35" s="602"/>
      <c r="AB35" s="12"/>
      <c r="AC35" s="12"/>
      <c r="AE35" s="402"/>
    </row>
    <row r="36" spans="2:35">
      <c r="B36" s="408"/>
      <c r="C36" s="728" t="s">
        <v>1147</v>
      </c>
      <c r="D36" s="1" t="s">
        <v>1501</v>
      </c>
      <c r="Z36" s="729"/>
      <c r="AA36" s="730"/>
      <c r="AB36" s="12" t="s">
        <v>121</v>
      </c>
      <c r="AC36" s="12" t="s">
        <v>440</v>
      </c>
      <c r="AD36" s="12" t="s">
        <v>121</v>
      </c>
      <c r="AE36" s="402"/>
    </row>
    <row r="37" spans="2:35">
      <c r="B37" s="408"/>
      <c r="D37" s="1" t="s">
        <v>1502</v>
      </c>
      <c r="E37" s="2"/>
      <c r="F37" s="2"/>
      <c r="G37" s="2"/>
      <c r="H37" s="2"/>
      <c r="I37" s="2"/>
      <c r="J37" s="2"/>
      <c r="K37" s="2"/>
      <c r="L37" s="2"/>
      <c r="M37" s="2"/>
      <c r="N37" s="2"/>
      <c r="O37" s="406"/>
      <c r="P37" s="406"/>
      <c r="Q37" s="406"/>
      <c r="Z37" s="667"/>
      <c r="AA37" s="602"/>
      <c r="AB37" s="12"/>
      <c r="AC37" s="12"/>
      <c r="AE37" s="402"/>
    </row>
    <row r="38" spans="2:35" ht="14.25" customHeight="1">
      <c r="B38" s="408"/>
      <c r="C38" s="728"/>
      <c r="Z38" s="729"/>
      <c r="AA38" s="730"/>
      <c r="AB38" s="12"/>
      <c r="AC38" s="12"/>
      <c r="AD38" s="12"/>
      <c r="AE38" s="402"/>
    </row>
    <row r="39" spans="2:35" ht="14.25" customHeight="1">
      <c r="B39" s="408"/>
      <c r="C39" s="728" t="s">
        <v>1503</v>
      </c>
      <c r="D39" s="1" t="s">
        <v>1504</v>
      </c>
      <c r="Z39" s="729"/>
      <c r="AA39" s="730"/>
      <c r="AB39" s="12" t="s">
        <v>121</v>
      </c>
      <c r="AC39" s="12" t="s">
        <v>440</v>
      </c>
      <c r="AD39" s="12" t="s">
        <v>121</v>
      </c>
      <c r="AE39" s="402"/>
    </row>
    <row r="40" spans="2:35" ht="14.25" customHeight="1">
      <c r="B40" s="408"/>
      <c r="C40" s="728"/>
      <c r="D40" s="1" t="s">
        <v>1505</v>
      </c>
      <c r="Z40" s="729"/>
      <c r="AA40" s="730"/>
      <c r="AB40" s="12"/>
      <c r="AC40" s="12"/>
      <c r="AD40" s="12"/>
      <c r="AE40" s="402"/>
    </row>
    <row r="41" spans="2:35">
      <c r="B41" s="408"/>
      <c r="D41" s="1" t="s">
        <v>1506</v>
      </c>
      <c r="Z41" s="667"/>
      <c r="AA41" s="602"/>
      <c r="AB41" s="12"/>
      <c r="AC41" s="12"/>
      <c r="AE41" s="402"/>
    </row>
    <row r="42" spans="2:35">
      <c r="B42" s="408"/>
      <c r="Z42" s="617"/>
      <c r="AA42" s="602"/>
      <c r="AB42" s="12"/>
      <c r="AC42" s="12"/>
      <c r="AE42" s="402"/>
    </row>
    <row r="43" spans="2:35">
      <c r="B43" s="408" t="s">
        <v>1507</v>
      </c>
      <c r="Z43" s="667"/>
      <c r="AA43" s="602"/>
      <c r="AB43" s="12"/>
      <c r="AC43" s="12"/>
      <c r="AE43" s="402"/>
    </row>
    <row r="44" spans="2:35" ht="17.25" customHeight="1">
      <c r="B44" s="408"/>
      <c r="C44" s="728" t="s">
        <v>1120</v>
      </c>
      <c r="D44" s="1" t="s">
        <v>1508</v>
      </c>
      <c r="Z44" s="729"/>
      <c r="AA44" s="730"/>
      <c r="AB44" s="12" t="s">
        <v>121</v>
      </c>
      <c r="AC44" s="12" t="s">
        <v>440</v>
      </c>
      <c r="AD44" s="12" t="s">
        <v>121</v>
      </c>
      <c r="AE44" s="402"/>
    </row>
    <row r="45" spans="2:35" ht="18.75" customHeight="1">
      <c r="B45" s="408"/>
      <c r="D45" s="1" t="s">
        <v>1509</v>
      </c>
      <c r="Z45" s="667"/>
      <c r="AA45" s="602"/>
      <c r="AB45" s="12"/>
      <c r="AC45" s="12"/>
      <c r="AE45" s="402"/>
    </row>
    <row r="46" spans="2:35" ht="7.5" customHeight="1">
      <c r="B46" s="408"/>
      <c r="W46" s="21"/>
      <c r="Z46" s="402"/>
      <c r="AA46" s="602"/>
      <c r="AB46" s="12"/>
      <c r="AC46" s="12"/>
      <c r="AE46" s="402"/>
      <c r="AI46" s="406"/>
    </row>
    <row r="47" spans="2:35">
      <c r="B47" s="408"/>
      <c r="E47" s="2"/>
      <c r="F47" s="2"/>
      <c r="G47" s="2"/>
      <c r="H47" s="2"/>
      <c r="I47" s="2"/>
      <c r="J47" s="2"/>
      <c r="K47" s="2"/>
      <c r="L47" s="2"/>
      <c r="M47" s="2"/>
      <c r="N47" s="2"/>
      <c r="O47" s="406"/>
      <c r="P47" s="406"/>
      <c r="Q47" s="406"/>
      <c r="Z47" s="667"/>
      <c r="AA47" s="602"/>
      <c r="AB47" s="12"/>
      <c r="AC47" s="12"/>
      <c r="AE47" s="402"/>
    </row>
    <row r="48" spans="2:35">
      <c r="B48" s="408"/>
      <c r="C48" s="728" t="s">
        <v>1129</v>
      </c>
      <c r="D48" s="651" t="s">
        <v>1510</v>
      </c>
      <c r="Z48" s="729"/>
      <c r="AA48" s="602"/>
      <c r="AB48" s="12" t="s">
        <v>121</v>
      </c>
      <c r="AC48" s="12" t="s">
        <v>440</v>
      </c>
      <c r="AD48" s="12" t="s">
        <v>121</v>
      </c>
      <c r="AE48" s="402"/>
    </row>
    <row r="49" spans="2:31">
      <c r="B49" s="408"/>
      <c r="C49" s="728"/>
      <c r="D49" s="1" t="s">
        <v>1511</v>
      </c>
      <c r="Z49" s="729"/>
      <c r="AA49" s="602"/>
      <c r="AB49" s="12"/>
      <c r="AC49" s="12"/>
      <c r="AD49" s="12"/>
      <c r="AE49" s="402"/>
    </row>
    <row r="50" spans="2:31">
      <c r="B50" s="408"/>
      <c r="C50" s="728"/>
      <c r="D50" s="1" t="s">
        <v>1512</v>
      </c>
      <c r="Z50" s="729"/>
      <c r="AA50" s="602"/>
      <c r="AB50" s="12"/>
      <c r="AC50" s="12"/>
      <c r="AD50" s="12"/>
      <c r="AE50" s="402"/>
    </row>
    <row r="51" spans="2:31" ht="6" customHeight="1">
      <c r="B51" s="408"/>
      <c r="Z51" s="667"/>
      <c r="AA51" s="602"/>
      <c r="AB51" s="12"/>
      <c r="AC51" s="12"/>
      <c r="AE51" s="402"/>
    </row>
    <row r="52" spans="2:31">
      <c r="B52" s="408"/>
      <c r="C52" s="728"/>
      <c r="D52" s="41" t="s">
        <v>1513</v>
      </c>
      <c r="E52" s="22"/>
      <c r="F52" s="22"/>
      <c r="G52" s="22"/>
      <c r="H52" s="22"/>
      <c r="I52" s="22"/>
      <c r="J52" s="22"/>
      <c r="K52" s="22"/>
      <c r="L52" s="22"/>
      <c r="M52" s="22"/>
      <c r="N52" s="22"/>
      <c r="O52" s="7"/>
      <c r="P52" s="7"/>
      <c r="Q52" s="7"/>
      <c r="R52" s="7"/>
      <c r="S52" s="7"/>
      <c r="T52" s="7"/>
      <c r="U52" s="1795"/>
      <c r="V52" s="1796"/>
      <c r="W52" s="1796"/>
      <c r="X52" s="1797" t="s">
        <v>1124</v>
      </c>
      <c r="Z52" s="667"/>
      <c r="AA52" s="602"/>
      <c r="AB52" s="12"/>
      <c r="AC52" s="12"/>
      <c r="AE52" s="402"/>
    </row>
    <row r="53" spans="2:31">
      <c r="B53" s="408"/>
      <c r="C53" s="728"/>
      <c r="D53" s="736" t="s">
        <v>1514</v>
      </c>
      <c r="E53" s="645"/>
      <c r="F53" s="645"/>
      <c r="G53" s="645"/>
      <c r="H53" s="645"/>
      <c r="I53" s="645"/>
      <c r="J53" s="645"/>
      <c r="K53" s="645"/>
      <c r="L53" s="645"/>
      <c r="M53" s="645"/>
      <c r="N53" s="645"/>
      <c r="O53" s="8"/>
      <c r="P53" s="8"/>
      <c r="Q53" s="8"/>
      <c r="R53" s="8"/>
      <c r="S53" s="8"/>
      <c r="T53" s="8"/>
      <c r="U53" s="1798"/>
      <c r="V53" s="1799"/>
      <c r="W53" s="1799"/>
      <c r="X53" s="1800"/>
      <c r="Z53" s="667"/>
      <c r="AA53" s="602"/>
      <c r="AB53" s="12"/>
      <c r="AC53" s="12"/>
      <c r="AE53" s="402"/>
    </row>
    <row r="54" spans="2:31" ht="4.5" customHeight="1">
      <c r="B54" s="408"/>
      <c r="C54" s="728"/>
      <c r="D54" s="2"/>
      <c r="E54" s="2"/>
      <c r="F54" s="2"/>
      <c r="G54" s="2"/>
      <c r="H54" s="2"/>
      <c r="I54" s="2"/>
      <c r="J54" s="2"/>
      <c r="K54" s="2"/>
      <c r="L54" s="2"/>
      <c r="M54" s="2"/>
      <c r="N54" s="2"/>
      <c r="U54" s="12"/>
      <c r="V54" s="12"/>
      <c r="W54" s="12"/>
      <c r="Z54" s="667"/>
      <c r="AA54" s="602"/>
      <c r="AB54" s="12"/>
      <c r="AC54" s="12"/>
      <c r="AE54" s="402"/>
    </row>
    <row r="55" spans="2:31">
      <c r="B55" s="408"/>
      <c r="D55" s="12"/>
      <c r="E55" s="406"/>
      <c r="F55" s="406"/>
      <c r="G55" s="406"/>
      <c r="H55" s="406"/>
      <c r="I55" s="406"/>
      <c r="J55" s="406"/>
      <c r="K55" s="406"/>
      <c r="L55" s="406"/>
      <c r="M55" s="406"/>
      <c r="N55" s="406"/>
      <c r="Q55" s="12"/>
      <c r="S55" s="21"/>
      <c r="T55" s="21"/>
      <c r="U55" s="21"/>
      <c r="V55" s="21"/>
      <c r="Z55" s="617"/>
      <c r="AA55" s="602"/>
      <c r="AB55" s="12"/>
      <c r="AC55" s="12"/>
      <c r="AE55" s="402"/>
    </row>
    <row r="56" spans="2:31">
      <c r="B56" s="409"/>
      <c r="C56" s="733"/>
      <c r="D56" s="8"/>
      <c r="E56" s="8"/>
      <c r="F56" s="8"/>
      <c r="G56" s="8"/>
      <c r="H56" s="8"/>
      <c r="I56" s="8"/>
      <c r="J56" s="8"/>
      <c r="K56" s="8"/>
      <c r="L56" s="8"/>
      <c r="M56" s="8"/>
      <c r="N56" s="8"/>
      <c r="O56" s="8"/>
      <c r="P56" s="8"/>
      <c r="Q56" s="8"/>
      <c r="R56" s="8"/>
      <c r="S56" s="8"/>
      <c r="T56" s="8"/>
      <c r="U56" s="8"/>
      <c r="V56" s="8"/>
      <c r="W56" s="8"/>
      <c r="X56" s="8"/>
      <c r="Y56" s="8"/>
      <c r="Z56" s="424"/>
      <c r="AA56" s="675"/>
      <c r="AB56" s="612"/>
      <c r="AC56" s="612"/>
      <c r="AD56" s="8"/>
      <c r="AE56" s="424"/>
    </row>
    <row r="57" spans="2:31">
      <c r="B57" s="1" t="s">
        <v>545</v>
      </c>
      <c r="D57" s="1" t="s">
        <v>1515</v>
      </c>
    </row>
    <row r="58" spans="2:31">
      <c r="D58" s="1" t="s">
        <v>1158</v>
      </c>
    </row>
    <row r="59" spans="2:31" ht="3.75" customHeight="1"/>
    <row r="60" spans="2:31">
      <c r="C60" s="636"/>
    </row>
    <row r="61" spans="2:31">
      <c r="C61" s="636"/>
    </row>
    <row r="62" spans="2:31">
      <c r="C62" s="636"/>
    </row>
    <row r="63" spans="2:31">
      <c r="C63" s="636"/>
    </row>
    <row r="64" spans="2:31">
      <c r="C64" s="636"/>
    </row>
    <row r="66" spans="3:26">
      <c r="C66" s="636"/>
      <c r="E66" s="636"/>
      <c r="F66" s="636"/>
      <c r="G66" s="636"/>
      <c r="H66" s="636"/>
      <c r="I66" s="636"/>
      <c r="J66" s="636"/>
      <c r="K66" s="636"/>
      <c r="L66" s="636"/>
      <c r="M66" s="636"/>
      <c r="N66" s="636"/>
      <c r="O66" s="636"/>
      <c r="P66" s="636"/>
      <c r="Q66" s="636"/>
      <c r="R66" s="636"/>
      <c r="S66" s="636"/>
      <c r="T66" s="636"/>
      <c r="U66" s="636"/>
      <c r="V66" s="636"/>
      <c r="W66" s="636"/>
      <c r="X66" s="636"/>
      <c r="Y66" s="636"/>
      <c r="Z66" s="636"/>
    </row>
    <row r="67" spans="3:26">
      <c r="C67" s="636"/>
      <c r="E67" s="636"/>
      <c r="F67" s="636"/>
      <c r="G67" s="636"/>
      <c r="H67" s="636"/>
      <c r="I67" s="636"/>
      <c r="J67" s="636"/>
      <c r="K67" s="636"/>
      <c r="L67" s="636"/>
      <c r="M67" s="636"/>
      <c r="N67" s="636"/>
      <c r="O67" s="636"/>
      <c r="P67" s="636"/>
      <c r="Q67" s="636"/>
      <c r="R67" s="636"/>
      <c r="S67" s="636"/>
      <c r="T67" s="636"/>
      <c r="U67" s="636"/>
      <c r="V67" s="636"/>
      <c r="W67" s="636"/>
      <c r="X67" s="636"/>
      <c r="Y67" s="636"/>
      <c r="Z67" s="636"/>
    </row>
    <row r="68" spans="3:26">
      <c r="C68" s="636"/>
      <c r="E68" s="636"/>
      <c r="F68" s="636"/>
      <c r="G68" s="636"/>
      <c r="H68" s="636"/>
      <c r="I68" s="636"/>
      <c r="J68" s="636"/>
      <c r="K68" s="636"/>
      <c r="L68" s="636"/>
      <c r="M68" s="636"/>
      <c r="N68" s="636"/>
      <c r="O68" s="636"/>
      <c r="P68" s="636"/>
      <c r="Q68" s="636"/>
      <c r="R68" s="636"/>
      <c r="S68" s="636"/>
      <c r="T68" s="636"/>
      <c r="U68" s="636"/>
      <c r="V68" s="636"/>
      <c r="W68" s="636"/>
      <c r="X68" s="636"/>
      <c r="Y68" s="636"/>
      <c r="Z68" s="636"/>
    </row>
    <row r="69" spans="3:26">
      <c r="C69" s="636"/>
      <c r="D69" s="636"/>
      <c r="E69" s="636"/>
      <c r="F69" s="636"/>
      <c r="G69" s="636"/>
      <c r="H69" s="636"/>
      <c r="I69" s="636"/>
      <c r="J69" s="636"/>
      <c r="K69" s="636"/>
      <c r="L69" s="636"/>
      <c r="M69" s="636"/>
      <c r="N69" s="636"/>
      <c r="O69" s="636"/>
      <c r="P69" s="636"/>
      <c r="Q69" s="636"/>
      <c r="R69" s="636"/>
      <c r="S69" s="636"/>
      <c r="T69" s="636"/>
      <c r="U69" s="636"/>
      <c r="V69" s="636"/>
      <c r="W69" s="636"/>
      <c r="X69" s="636"/>
      <c r="Y69" s="636"/>
      <c r="Z69" s="636"/>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3"/>
  <pageMargins left="0.7" right="0.7" top="0.75" bottom="0.75" header="0.3" footer="0.3"/>
  <pageSetup paperSize="9" scale="72" orientation="portrait" r:id="rId1"/>
  <colBreaks count="1" manualBreakCount="1">
    <brk id="3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BB2969BA-9CE9-4F34-BD68-79073BB0A042}">
          <x14:formula1>
            <xm:f>"□,■"</xm:f>
          </x14:formula1>
          <xm:sqref>K8 JG8 TC8 ACY8 AMU8 AWQ8 BGM8 BQI8 CAE8 CKA8 CTW8 DDS8 DNO8 DXK8 EHG8 ERC8 FAY8 FKU8 FUQ8 GEM8 GOI8 GYE8 HIA8 HRW8 IBS8 ILO8 IVK8 JFG8 JPC8 JYY8 KIU8 KSQ8 LCM8 LMI8 LWE8 MGA8 MPW8 MZS8 NJO8 NTK8 ODG8 ONC8 OWY8 PGU8 PQQ8 QAM8 QKI8 QUE8 REA8 RNW8 RXS8 SHO8 SRK8 TBG8 TLC8 TUY8 UEU8 UOQ8 UYM8 VII8 VSE8 WCA8 WLW8 WVS8 K65544 JG65544 TC65544 ACY65544 AMU65544 AWQ65544 BGM65544 BQI65544 CAE65544 CKA65544 CTW65544 DDS65544 DNO65544 DXK65544 EHG65544 ERC65544 FAY65544 FKU65544 FUQ65544 GEM65544 GOI65544 GYE65544 HIA65544 HRW65544 IBS65544 ILO65544 IVK65544 JFG65544 JPC65544 JYY65544 KIU65544 KSQ65544 LCM65544 LMI65544 LWE65544 MGA65544 MPW65544 MZS65544 NJO65544 NTK65544 ODG65544 ONC65544 OWY65544 PGU65544 PQQ65544 QAM65544 QKI65544 QUE65544 REA65544 RNW65544 RXS65544 SHO65544 SRK65544 TBG65544 TLC65544 TUY65544 UEU65544 UOQ65544 UYM65544 VII65544 VSE65544 WCA65544 WLW65544 WVS65544 K131080 JG131080 TC131080 ACY131080 AMU131080 AWQ131080 BGM131080 BQI131080 CAE131080 CKA131080 CTW131080 DDS131080 DNO131080 DXK131080 EHG131080 ERC131080 FAY131080 FKU131080 FUQ131080 GEM131080 GOI131080 GYE131080 HIA131080 HRW131080 IBS131080 ILO131080 IVK131080 JFG131080 JPC131080 JYY131080 KIU131080 KSQ131080 LCM131080 LMI131080 LWE131080 MGA131080 MPW131080 MZS131080 NJO131080 NTK131080 ODG131080 ONC131080 OWY131080 PGU131080 PQQ131080 QAM131080 QKI131080 QUE131080 REA131080 RNW131080 RXS131080 SHO131080 SRK131080 TBG131080 TLC131080 TUY131080 UEU131080 UOQ131080 UYM131080 VII131080 VSE131080 WCA131080 WLW131080 WVS131080 K196616 JG196616 TC196616 ACY196616 AMU196616 AWQ196616 BGM196616 BQI196616 CAE196616 CKA196616 CTW196616 DDS196616 DNO196616 DXK196616 EHG196616 ERC196616 FAY196616 FKU196616 FUQ196616 GEM196616 GOI196616 GYE196616 HIA196616 HRW196616 IBS196616 ILO196616 IVK196616 JFG196616 JPC196616 JYY196616 KIU196616 KSQ196616 LCM196616 LMI196616 LWE196616 MGA196616 MPW196616 MZS196616 NJO196616 NTK196616 ODG196616 ONC196616 OWY196616 PGU196616 PQQ196616 QAM196616 QKI196616 QUE196616 REA196616 RNW196616 RXS196616 SHO196616 SRK196616 TBG196616 TLC196616 TUY196616 UEU196616 UOQ196616 UYM196616 VII196616 VSE196616 WCA196616 WLW196616 WVS196616 K262152 JG262152 TC262152 ACY262152 AMU262152 AWQ262152 BGM262152 BQI262152 CAE262152 CKA262152 CTW262152 DDS262152 DNO262152 DXK262152 EHG262152 ERC262152 FAY262152 FKU262152 FUQ262152 GEM262152 GOI262152 GYE262152 HIA262152 HRW262152 IBS262152 ILO262152 IVK262152 JFG262152 JPC262152 JYY262152 KIU262152 KSQ262152 LCM262152 LMI262152 LWE262152 MGA262152 MPW262152 MZS262152 NJO262152 NTK262152 ODG262152 ONC262152 OWY262152 PGU262152 PQQ262152 QAM262152 QKI262152 QUE262152 REA262152 RNW262152 RXS262152 SHO262152 SRK262152 TBG262152 TLC262152 TUY262152 UEU262152 UOQ262152 UYM262152 VII262152 VSE262152 WCA262152 WLW262152 WVS262152 K327688 JG327688 TC327688 ACY327688 AMU327688 AWQ327688 BGM327688 BQI327688 CAE327688 CKA327688 CTW327688 DDS327688 DNO327688 DXK327688 EHG327688 ERC327688 FAY327688 FKU327688 FUQ327688 GEM327688 GOI327688 GYE327688 HIA327688 HRW327688 IBS327688 ILO327688 IVK327688 JFG327688 JPC327688 JYY327688 KIU327688 KSQ327688 LCM327688 LMI327688 LWE327688 MGA327688 MPW327688 MZS327688 NJO327688 NTK327688 ODG327688 ONC327688 OWY327688 PGU327688 PQQ327688 QAM327688 QKI327688 QUE327688 REA327688 RNW327688 RXS327688 SHO327688 SRK327688 TBG327688 TLC327688 TUY327688 UEU327688 UOQ327688 UYM327688 VII327688 VSE327688 WCA327688 WLW327688 WVS327688 K393224 JG393224 TC393224 ACY393224 AMU393224 AWQ393224 BGM393224 BQI393224 CAE393224 CKA393224 CTW393224 DDS393224 DNO393224 DXK393224 EHG393224 ERC393224 FAY393224 FKU393224 FUQ393224 GEM393224 GOI393224 GYE393224 HIA393224 HRW393224 IBS393224 ILO393224 IVK393224 JFG393224 JPC393224 JYY393224 KIU393224 KSQ393224 LCM393224 LMI393224 LWE393224 MGA393224 MPW393224 MZS393224 NJO393224 NTK393224 ODG393224 ONC393224 OWY393224 PGU393224 PQQ393224 QAM393224 QKI393224 QUE393224 REA393224 RNW393224 RXS393224 SHO393224 SRK393224 TBG393224 TLC393224 TUY393224 UEU393224 UOQ393224 UYM393224 VII393224 VSE393224 WCA393224 WLW393224 WVS393224 K458760 JG458760 TC458760 ACY458760 AMU458760 AWQ458760 BGM458760 BQI458760 CAE458760 CKA458760 CTW458760 DDS458760 DNO458760 DXK458760 EHG458760 ERC458760 FAY458760 FKU458760 FUQ458760 GEM458760 GOI458760 GYE458760 HIA458760 HRW458760 IBS458760 ILO458760 IVK458760 JFG458760 JPC458760 JYY458760 KIU458760 KSQ458760 LCM458760 LMI458760 LWE458760 MGA458760 MPW458760 MZS458760 NJO458760 NTK458760 ODG458760 ONC458760 OWY458760 PGU458760 PQQ458760 QAM458760 QKI458760 QUE458760 REA458760 RNW458760 RXS458760 SHO458760 SRK458760 TBG458760 TLC458760 TUY458760 UEU458760 UOQ458760 UYM458760 VII458760 VSE458760 WCA458760 WLW458760 WVS458760 K524296 JG524296 TC524296 ACY524296 AMU524296 AWQ524296 BGM524296 BQI524296 CAE524296 CKA524296 CTW524296 DDS524296 DNO524296 DXK524296 EHG524296 ERC524296 FAY524296 FKU524296 FUQ524296 GEM524296 GOI524296 GYE524296 HIA524296 HRW524296 IBS524296 ILO524296 IVK524296 JFG524296 JPC524296 JYY524296 KIU524296 KSQ524296 LCM524296 LMI524296 LWE524296 MGA524296 MPW524296 MZS524296 NJO524296 NTK524296 ODG524296 ONC524296 OWY524296 PGU524296 PQQ524296 QAM524296 QKI524296 QUE524296 REA524296 RNW524296 RXS524296 SHO524296 SRK524296 TBG524296 TLC524296 TUY524296 UEU524296 UOQ524296 UYM524296 VII524296 VSE524296 WCA524296 WLW524296 WVS524296 K589832 JG589832 TC589832 ACY589832 AMU589832 AWQ589832 BGM589832 BQI589832 CAE589832 CKA589832 CTW589832 DDS589832 DNO589832 DXK589832 EHG589832 ERC589832 FAY589832 FKU589832 FUQ589832 GEM589832 GOI589832 GYE589832 HIA589832 HRW589832 IBS589832 ILO589832 IVK589832 JFG589832 JPC589832 JYY589832 KIU589832 KSQ589832 LCM589832 LMI589832 LWE589832 MGA589832 MPW589832 MZS589832 NJO589832 NTK589832 ODG589832 ONC589832 OWY589832 PGU589832 PQQ589832 QAM589832 QKI589832 QUE589832 REA589832 RNW589832 RXS589832 SHO589832 SRK589832 TBG589832 TLC589832 TUY589832 UEU589832 UOQ589832 UYM589832 VII589832 VSE589832 WCA589832 WLW589832 WVS589832 K655368 JG655368 TC655368 ACY655368 AMU655368 AWQ655368 BGM655368 BQI655368 CAE655368 CKA655368 CTW655368 DDS655368 DNO655368 DXK655368 EHG655368 ERC655368 FAY655368 FKU655368 FUQ655368 GEM655368 GOI655368 GYE655368 HIA655368 HRW655368 IBS655368 ILO655368 IVK655368 JFG655368 JPC655368 JYY655368 KIU655368 KSQ655368 LCM655368 LMI655368 LWE655368 MGA655368 MPW655368 MZS655368 NJO655368 NTK655368 ODG655368 ONC655368 OWY655368 PGU655368 PQQ655368 QAM655368 QKI655368 QUE655368 REA655368 RNW655368 RXS655368 SHO655368 SRK655368 TBG655368 TLC655368 TUY655368 UEU655368 UOQ655368 UYM655368 VII655368 VSE655368 WCA655368 WLW655368 WVS655368 K720904 JG720904 TC720904 ACY720904 AMU720904 AWQ720904 BGM720904 BQI720904 CAE720904 CKA720904 CTW720904 DDS720904 DNO720904 DXK720904 EHG720904 ERC720904 FAY720904 FKU720904 FUQ720904 GEM720904 GOI720904 GYE720904 HIA720904 HRW720904 IBS720904 ILO720904 IVK720904 JFG720904 JPC720904 JYY720904 KIU720904 KSQ720904 LCM720904 LMI720904 LWE720904 MGA720904 MPW720904 MZS720904 NJO720904 NTK720904 ODG720904 ONC720904 OWY720904 PGU720904 PQQ720904 QAM720904 QKI720904 QUE720904 REA720904 RNW720904 RXS720904 SHO720904 SRK720904 TBG720904 TLC720904 TUY720904 UEU720904 UOQ720904 UYM720904 VII720904 VSE720904 WCA720904 WLW720904 WVS720904 K786440 JG786440 TC786440 ACY786440 AMU786440 AWQ786440 BGM786440 BQI786440 CAE786440 CKA786440 CTW786440 DDS786440 DNO786440 DXK786440 EHG786440 ERC786440 FAY786440 FKU786440 FUQ786440 GEM786440 GOI786440 GYE786440 HIA786440 HRW786440 IBS786440 ILO786440 IVK786440 JFG786440 JPC786440 JYY786440 KIU786440 KSQ786440 LCM786440 LMI786440 LWE786440 MGA786440 MPW786440 MZS786440 NJO786440 NTK786440 ODG786440 ONC786440 OWY786440 PGU786440 PQQ786440 QAM786440 QKI786440 QUE786440 REA786440 RNW786440 RXS786440 SHO786440 SRK786440 TBG786440 TLC786440 TUY786440 UEU786440 UOQ786440 UYM786440 VII786440 VSE786440 WCA786440 WLW786440 WVS786440 K851976 JG851976 TC851976 ACY851976 AMU851976 AWQ851976 BGM851976 BQI851976 CAE851976 CKA851976 CTW851976 DDS851976 DNO851976 DXK851976 EHG851976 ERC851976 FAY851976 FKU851976 FUQ851976 GEM851976 GOI851976 GYE851976 HIA851976 HRW851976 IBS851976 ILO851976 IVK851976 JFG851976 JPC851976 JYY851976 KIU851976 KSQ851976 LCM851976 LMI851976 LWE851976 MGA851976 MPW851976 MZS851976 NJO851976 NTK851976 ODG851976 ONC851976 OWY851976 PGU851976 PQQ851976 QAM851976 QKI851976 QUE851976 REA851976 RNW851976 RXS851976 SHO851976 SRK851976 TBG851976 TLC851976 TUY851976 UEU851976 UOQ851976 UYM851976 VII851976 VSE851976 WCA851976 WLW851976 WVS851976 K917512 JG917512 TC917512 ACY917512 AMU917512 AWQ917512 BGM917512 BQI917512 CAE917512 CKA917512 CTW917512 DDS917512 DNO917512 DXK917512 EHG917512 ERC917512 FAY917512 FKU917512 FUQ917512 GEM917512 GOI917512 GYE917512 HIA917512 HRW917512 IBS917512 ILO917512 IVK917512 JFG917512 JPC917512 JYY917512 KIU917512 KSQ917512 LCM917512 LMI917512 LWE917512 MGA917512 MPW917512 MZS917512 NJO917512 NTK917512 ODG917512 ONC917512 OWY917512 PGU917512 PQQ917512 QAM917512 QKI917512 QUE917512 REA917512 RNW917512 RXS917512 SHO917512 SRK917512 TBG917512 TLC917512 TUY917512 UEU917512 UOQ917512 UYM917512 VII917512 VSE917512 WCA917512 WLW917512 WVS917512 K983048 JG983048 TC983048 ACY983048 AMU983048 AWQ983048 BGM983048 BQI983048 CAE983048 CKA983048 CTW983048 DDS983048 DNO983048 DXK983048 EHG983048 ERC983048 FAY983048 FKU983048 FUQ983048 GEM983048 GOI983048 GYE983048 HIA983048 HRW983048 IBS983048 ILO983048 IVK983048 JFG983048 JPC983048 JYY983048 KIU983048 KSQ983048 LCM983048 LMI983048 LWE983048 MGA983048 MPW983048 MZS983048 NJO983048 NTK983048 ODG983048 ONC983048 OWY983048 PGU983048 PQQ983048 QAM983048 QKI983048 QUE983048 REA983048 RNW983048 RXS983048 SHO983048 SRK983048 TBG983048 TLC983048 TUY983048 UEU983048 UOQ983048 UYM983048 VII983048 VSE983048 WCA983048 WLW983048 WVS983048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AB25:AB28 JX25:JX28 TT25:TT28 ADP25:ADP28 ANL25:ANL28 AXH25:AXH28 BHD25:BHD28 BQZ25:BQZ28 CAV25:CAV28 CKR25:CKR28 CUN25:CUN28 DEJ25:DEJ28 DOF25:DOF28 DYB25:DYB28 EHX25:EHX28 ERT25:ERT28 FBP25:FBP28 FLL25:FLL28 FVH25:FVH28 GFD25:GFD28 GOZ25:GOZ28 GYV25:GYV28 HIR25:HIR28 HSN25:HSN28 ICJ25:ICJ28 IMF25:IMF28 IWB25:IWB28 JFX25:JFX28 JPT25:JPT28 JZP25:JZP28 KJL25:KJL28 KTH25:KTH28 LDD25:LDD28 LMZ25:LMZ28 LWV25:LWV28 MGR25:MGR28 MQN25:MQN28 NAJ25:NAJ28 NKF25:NKF28 NUB25:NUB28 ODX25:ODX28 ONT25:ONT28 OXP25:OXP28 PHL25:PHL28 PRH25:PRH28 QBD25:QBD28 QKZ25:QKZ28 QUV25:QUV28 RER25:RER28 RON25:RON28 RYJ25:RYJ28 SIF25:SIF28 SSB25:SSB28 TBX25:TBX28 TLT25:TLT28 TVP25:TVP28 UFL25:UFL28 UPH25:UPH28 UZD25:UZD28 VIZ25:VIZ28 VSV25:VSV28 WCR25:WCR28 WMN25:WMN28 WWJ25:WWJ28 AB65561:AB65564 JX65561:JX65564 TT65561:TT65564 ADP65561:ADP65564 ANL65561:ANL65564 AXH65561:AXH65564 BHD65561:BHD65564 BQZ65561:BQZ65564 CAV65561:CAV65564 CKR65561:CKR65564 CUN65561:CUN65564 DEJ65561:DEJ65564 DOF65561:DOF65564 DYB65561:DYB65564 EHX65561:EHX65564 ERT65561:ERT65564 FBP65561:FBP65564 FLL65561:FLL65564 FVH65561:FVH65564 GFD65561:GFD65564 GOZ65561:GOZ65564 GYV65561:GYV65564 HIR65561:HIR65564 HSN65561:HSN65564 ICJ65561:ICJ65564 IMF65561:IMF65564 IWB65561:IWB65564 JFX65561:JFX65564 JPT65561:JPT65564 JZP65561:JZP65564 KJL65561:KJL65564 KTH65561:KTH65564 LDD65561:LDD65564 LMZ65561:LMZ65564 LWV65561:LWV65564 MGR65561:MGR65564 MQN65561:MQN65564 NAJ65561:NAJ65564 NKF65561:NKF65564 NUB65561:NUB65564 ODX65561:ODX65564 ONT65561:ONT65564 OXP65561:OXP65564 PHL65561:PHL65564 PRH65561:PRH65564 QBD65561:QBD65564 QKZ65561:QKZ65564 QUV65561:QUV65564 RER65561:RER65564 RON65561:RON65564 RYJ65561:RYJ65564 SIF65561:SIF65564 SSB65561:SSB65564 TBX65561:TBX65564 TLT65561:TLT65564 TVP65561:TVP65564 UFL65561:UFL65564 UPH65561:UPH65564 UZD65561:UZD65564 VIZ65561:VIZ65564 VSV65561:VSV65564 WCR65561:WCR65564 WMN65561:WMN65564 WWJ65561:WWJ65564 AB131097:AB131100 JX131097:JX131100 TT131097:TT131100 ADP131097:ADP131100 ANL131097:ANL131100 AXH131097:AXH131100 BHD131097:BHD131100 BQZ131097:BQZ131100 CAV131097:CAV131100 CKR131097:CKR131100 CUN131097:CUN131100 DEJ131097:DEJ131100 DOF131097:DOF131100 DYB131097:DYB131100 EHX131097:EHX131100 ERT131097:ERT131100 FBP131097:FBP131100 FLL131097:FLL131100 FVH131097:FVH131100 GFD131097:GFD131100 GOZ131097:GOZ131100 GYV131097:GYV131100 HIR131097:HIR131100 HSN131097:HSN131100 ICJ131097:ICJ131100 IMF131097:IMF131100 IWB131097:IWB131100 JFX131097:JFX131100 JPT131097:JPT131100 JZP131097:JZP131100 KJL131097:KJL131100 KTH131097:KTH131100 LDD131097:LDD131100 LMZ131097:LMZ131100 LWV131097:LWV131100 MGR131097:MGR131100 MQN131097:MQN131100 NAJ131097:NAJ131100 NKF131097:NKF131100 NUB131097:NUB131100 ODX131097:ODX131100 ONT131097:ONT131100 OXP131097:OXP131100 PHL131097:PHL131100 PRH131097:PRH131100 QBD131097:QBD131100 QKZ131097:QKZ131100 QUV131097:QUV131100 RER131097:RER131100 RON131097:RON131100 RYJ131097:RYJ131100 SIF131097:SIF131100 SSB131097:SSB131100 TBX131097:TBX131100 TLT131097:TLT131100 TVP131097:TVP131100 UFL131097:UFL131100 UPH131097:UPH131100 UZD131097:UZD131100 VIZ131097:VIZ131100 VSV131097:VSV131100 WCR131097:WCR131100 WMN131097:WMN131100 WWJ131097:WWJ131100 AB196633:AB196636 JX196633:JX196636 TT196633:TT196636 ADP196633:ADP196636 ANL196633:ANL196636 AXH196633:AXH196636 BHD196633:BHD196636 BQZ196633:BQZ196636 CAV196633:CAV196636 CKR196633:CKR196636 CUN196633:CUN196636 DEJ196633:DEJ196636 DOF196633:DOF196636 DYB196633:DYB196636 EHX196633:EHX196636 ERT196633:ERT196636 FBP196633:FBP196636 FLL196633:FLL196636 FVH196633:FVH196636 GFD196633:GFD196636 GOZ196633:GOZ196636 GYV196633:GYV196636 HIR196633:HIR196636 HSN196633:HSN196636 ICJ196633:ICJ196636 IMF196633:IMF196636 IWB196633:IWB196636 JFX196633:JFX196636 JPT196633:JPT196636 JZP196633:JZP196636 KJL196633:KJL196636 KTH196633:KTH196636 LDD196633:LDD196636 LMZ196633:LMZ196636 LWV196633:LWV196636 MGR196633:MGR196636 MQN196633:MQN196636 NAJ196633:NAJ196636 NKF196633:NKF196636 NUB196633:NUB196636 ODX196633:ODX196636 ONT196633:ONT196636 OXP196633:OXP196636 PHL196633:PHL196636 PRH196633:PRH196636 QBD196633:QBD196636 QKZ196633:QKZ196636 QUV196633:QUV196636 RER196633:RER196636 RON196633:RON196636 RYJ196633:RYJ196636 SIF196633:SIF196636 SSB196633:SSB196636 TBX196633:TBX196636 TLT196633:TLT196636 TVP196633:TVP196636 UFL196633:UFL196636 UPH196633:UPH196636 UZD196633:UZD196636 VIZ196633:VIZ196636 VSV196633:VSV196636 WCR196633:WCR196636 WMN196633:WMN196636 WWJ196633:WWJ196636 AB262169:AB262172 JX262169:JX262172 TT262169:TT262172 ADP262169:ADP262172 ANL262169:ANL262172 AXH262169:AXH262172 BHD262169:BHD262172 BQZ262169:BQZ262172 CAV262169:CAV262172 CKR262169:CKR262172 CUN262169:CUN262172 DEJ262169:DEJ262172 DOF262169:DOF262172 DYB262169:DYB262172 EHX262169:EHX262172 ERT262169:ERT262172 FBP262169:FBP262172 FLL262169:FLL262172 FVH262169:FVH262172 GFD262169:GFD262172 GOZ262169:GOZ262172 GYV262169:GYV262172 HIR262169:HIR262172 HSN262169:HSN262172 ICJ262169:ICJ262172 IMF262169:IMF262172 IWB262169:IWB262172 JFX262169:JFX262172 JPT262169:JPT262172 JZP262169:JZP262172 KJL262169:KJL262172 KTH262169:KTH262172 LDD262169:LDD262172 LMZ262169:LMZ262172 LWV262169:LWV262172 MGR262169:MGR262172 MQN262169:MQN262172 NAJ262169:NAJ262172 NKF262169:NKF262172 NUB262169:NUB262172 ODX262169:ODX262172 ONT262169:ONT262172 OXP262169:OXP262172 PHL262169:PHL262172 PRH262169:PRH262172 QBD262169:QBD262172 QKZ262169:QKZ262172 QUV262169:QUV262172 RER262169:RER262172 RON262169:RON262172 RYJ262169:RYJ262172 SIF262169:SIF262172 SSB262169:SSB262172 TBX262169:TBX262172 TLT262169:TLT262172 TVP262169:TVP262172 UFL262169:UFL262172 UPH262169:UPH262172 UZD262169:UZD262172 VIZ262169:VIZ262172 VSV262169:VSV262172 WCR262169:WCR262172 WMN262169:WMN262172 WWJ262169:WWJ262172 AB327705:AB327708 JX327705:JX327708 TT327705:TT327708 ADP327705:ADP327708 ANL327705:ANL327708 AXH327705:AXH327708 BHD327705:BHD327708 BQZ327705:BQZ327708 CAV327705:CAV327708 CKR327705:CKR327708 CUN327705:CUN327708 DEJ327705:DEJ327708 DOF327705:DOF327708 DYB327705:DYB327708 EHX327705:EHX327708 ERT327705:ERT327708 FBP327705:FBP327708 FLL327705:FLL327708 FVH327705:FVH327708 GFD327705:GFD327708 GOZ327705:GOZ327708 GYV327705:GYV327708 HIR327705:HIR327708 HSN327705:HSN327708 ICJ327705:ICJ327708 IMF327705:IMF327708 IWB327705:IWB327708 JFX327705:JFX327708 JPT327705:JPT327708 JZP327705:JZP327708 KJL327705:KJL327708 KTH327705:KTH327708 LDD327705:LDD327708 LMZ327705:LMZ327708 LWV327705:LWV327708 MGR327705:MGR327708 MQN327705:MQN327708 NAJ327705:NAJ327708 NKF327705:NKF327708 NUB327705:NUB327708 ODX327705:ODX327708 ONT327705:ONT327708 OXP327705:OXP327708 PHL327705:PHL327708 PRH327705:PRH327708 QBD327705:QBD327708 QKZ327705:QKZ327708 QUV327705:QUV327708 RER327705:RER327708 RON327705:RON327708 RYJ327705:RYJ327708 SIF327705:SIF327708 SSB327705:SSB327708 TBX327705:TBX327708 TLT327705:TLT327708 TVP327705:TVP327708 UFL327705:UFL327708 UPH327705:UPH327708 UZD327705:UZD327708 VIZ327705:VIZ327708 VSV327705:VSV327708 WCR327705:WCR327708 WMN327705:WMN327708 WWJ327705:WWJ327708 AB393241:AB393244 JX393241:JX393244 TT393241:TT393244 ADP393241:ADP393244 ANL393241:ANL393244 AXH393241:AXH393244 BHD393241:BHD393244 BQZ393241:BQZ393244 CAV393241:CAV393244 CKR393241:CKR393244 CUN393241:CUN393244 DEJ393241:DEJ393244 DOF393241:DOF393244 DYB393241:DYB393244 EHX393241:EHX393244 ERT393241:ERT393244 FBP393241:FBP393244 FLL393241:FLL393244 FVH393241:FVH393244 GFD393241:GFD393244 GOZ393241:GOZ393244 GYV393241:GYV393244 HIR393241:HIR393244 HSN393241:HSN393244 ICJ393241:ICJ393244 IMF393241:IMF393244 IWB393241:IWB393244 JFX393241:JFX393244 JPT393241:JPT393244 JZP393241:JZP393244 KJL393241:KJL393244 KTH393241:KTH393244 LDD393241:LDD393244 LMZ393241:LMZ393244 LWV393241:LWV393244 MGR393241:MGR393244 MQN393241:MQN393244 NAJ393241:NAJ393244 NKF393241:NKF393244 NUB393241:NUB393244 ODX393241:ODX393244 ONT393241:ONT393244 OXP393241:OXP393244 PHL393241:PHL393244 PRH393241:PRH393244 QBD393241:QBD393244 QKZ393241:QKZ393244 QUV393241:QUV393244 RER393241:RER393244 RON393241:RON393244 RYJ393241:RYJ393244 SIF393241:SIF393244 SSB393241:SSB393244 TBX393241:TBX393244 TLT393241:TLT393244 TVP393241:TVP393244 UFL393241:UFL393244 UPH393241:UPH393244 UZD393241:UZD393244 VIZ393241:VIZ393244 VSV393241:VSV393244 WCR393241:WCR393244 WMN393241:WMN393244 WWJ393241:WWJ393244 AB458777:AB458780 JX458777:JX458780 TT458777:TT458780 ADP458777:ADP458780 ANL458777:ANL458780 AXH458777:AXH458780 BHD458777:BHD458780 BQZ458777:BQZ458780 CAV458777:CAV458780 CKR458777:CKR458780 CUN458777:CUN458780 DEJ458777:DEJ458780 DOF458777:DOF458780 DYB458777:DYB458780 EHX458777:EHX458780 ERT458777:ERT458780 FBP458777:FBP458780 FLL458777:FLL458780 FVH458777:FVH458780 GFD458777:GFD458780 GOZ458777:GOZ458780 GYV458777:GYV458780 HIR458777:HIR458780 HSN458777:HSN458780 ICJ458777:ICJ458780 IMF458777:IMF458780 IWB458777:IWB458780 JFX458777:JFX458780 JPT458777:JPT458780 JZP458777:JZP458780 KJL458777:KJL458780 KTH458777:KTH458780 LDD458777:LDD458780 LMZ458777:LMZ458780 LWV458777:LWV458780 MGR458777:MGR458780 MQN458777:MQN458780 NAJ458777:NAJ458780 NKF458777:NKF458780 NUB458777:NUB458780 ODX458777:ODX458780 ONT458777:ONT458780 OXP458777:OXP458780 PHL458777:PHL458780 PRH458777:PRH458780 QBD458777:QBD458780 QKZ458777:QKZ458780 QUV458777:QUV458780 RER458777:RER458780 RON458777:RON458780 RYJ458777:RYJ458780 SIF458777:SIF458780 SSB458777:SSB458780 TBX458777:TBX458780 TLT458777:TLT458780 TVP458777:TVP458780 UFL458777:UFL458780 UPH458777:UPH458780 UZD458777:UZD458780 VIZ458777:VIZ458780 VSV458777:VSV458780 WCR458777:WCR458780 WMN458777:WMN458780 WWJ458777:WWJ458780 AB524313:AB524316 JX524313:JX524316 TT524313:TT524316 ADP524313:ADP524316 ANL524313:ANL524316 AXH524313:AXH524316 BHD524313:BHD524316 BQZ524313:BQZ524316 CAV524313:CAV524316 CKR524313:CKR524316 CUN524313:CUN524316 DEJ524313:DEJ524316 DOF524313:DOF524316 DYB524313:DYB524316 EHX524313:EHX524316 ERT524313:ERT524316 FBP524313:FBP524316 FLL524313:FLL524316 FVH524313:FVH524316 GFD524313:GFD524316 GOZ524313:GOZ524316 GYV524313:GYV524316 HIR524313:HIR524316 HSN524313:HSN524316 ICJ524313:ICJ524316 IMF524313:IMF524316 IWB524313:IWB524316 JFX524313:JFX524316 JPT524313:JPT524316 JZP524313:JZP524316 KJL524313:KJL524316 KTH524313:KTH524316 LDD524313:LDD524316 LMZ524313:LMZ524316 LWV524313:LWV524316 MGR524313:MGR524316 MQN524313:MQN524316 NAJ524313:NAJ524316 NKF524313:NKF524316 NUB524313:NUB524316 ODX524313:ODX524316 ONT524313:ONT524316 OXP524313:OXP524316 PHL524313:PHL524316 PRH524313:PRH524316 QBD524313:QBD524316 QKZ524313:QKZ524316 QUV524313:QUV524316 RER524313:RER524316 RON524313:RON524316 RYJ524313:RYJ524316 SIF524313:SIF524316 SSB524313:SSB524316 TBX524313:TBX524316 TLT524313:TLT524316 TVP524313:TVP524316 UFL524313:UFL524316 UPH524313:UPH524316 UZD524313:UZD524316 VIZ524313:VIZ524316 VSV524313:VSV524316 WCR524313:WCR524316 WMN524313:WMN524316 WWJ524313:WWJ524316 AB589849:AB589852 JX589849:JX589852 TT589849:TT589852 ADP589849:ADP589852 ANL589849:ANL589852 AXH589849:AXH589852 BHD589849:BHD589852 BQZ589849:BQZ589852 CAV589849:CAV589852 CKR589849:CKR589852 CUN589849:CUN589852 DEJ589849:DEJ589852 DOF589849:DOF589852 DYB589849:DYB589852 EHX589849:EHX589852 ERT589849:ERT589852 FBP589849:FBP589852 FLL589849:FLL589852 FVH589849:FVH589852 GFD589849:GFD589852 GOZ589849:GOZ589852 GYV589849:GYV589852 HIR589849:HIR589852 HSN589849:HSN589852 ICJ589849:ICJ589852 IMF589849:IMF589852 IWB589849:IWB589852 JFX589849:JFX589852 JPT589849:JPT589852 JZP589849:JZP589852 KJL589849:KJL589852 KTH589849:KTH589852 LDD589849:LDD589852 LMZ589849:LMZ589852 LWV589849:LWV589852 MGR589849:MGR589852 MQN589849:MQN589852 NAJ589849:NAJ589852 NKF589849:NKF589852 NUB589849:NUB589852 ODX589849:ODX589852 ONT589849:ONT589852 OXP589849:OXP589852 PHL589849:PHL589852 PRH589849:PRH589852 QBD589849:QBD589852 QKZ589849:QKZ589852 QUV589849:QUV589852 RER589849:RER589852 RON589849:RON589852 RYJ589849:RYJ589852 SIF589849:SIF589852 SSB589849:SSB589852 TBX589849:TBX589852 TLT589849:TLT589852 TVP589849:TVP589852 UFL589849:UFL589852 UPH589849:UPH589852 UZD589849:UZD589852 VIZ589849:VIZ589852 VSV589849:VSV589852 WCR589849:WCR589852 WMN589849:WMN589852 WWJ589849:WWJ589852 AB655385:AB655388 JX655385:JX655388 TT655385:TT655388 ADP655385:ADP655388 ANL655385:ANL655388 AXH655385:AXH655388 BHD655385:BHD655388 BQZ655385:BQZ655388 CAV655385:CAV655388 CKR655385:CKR655388 CUN655385:CUN655388 DEJ655385:DEJ655388 DOF655385:DOF655388 DYB655385:DYB655388 EHX655385:EHX655388 ERT655385:ERT655388 FBP655385:FBP655388 FLL655385:FLL655388 FVH655385:FVH655388 GFD655385:GFD655388 GOZ655385:GOZ655388 GYV655385:GYV655388 HIR655385:HIR655388 HSN655385:HSN655388 ICJ655385:ICJ655388 IMF655385:IMF655388 IWB655385:IWB655388 JFX655385:JFX655388 JPT655385:JPT655388 JZP655385:JZP655388 KJL655385:KJL655388 KTH655385:KTH655388 LDD655385:LDD655388 LMZ655385:LMZ655388 LWV655385:LWV655388 MGR655385:MGR655388 MQN655385:MQN655388 NAJ655385:NAJ655388 NKF655385:NKF655388 NUB655385:NUB655388 ODX655385:ODX655388 ONT655385:ONT655388 OXP655385:OXP655388 PHL655385:PHL655388 PRH655385:PRH655388 QBD655385:QBD655388 QKZ655385:QKZ655388 QUV655385:QUV655388 RER655385:RER655388 RON655385:RON655388 RYJ655385:RYJ655388 SIF655385:SIF655388 SSB655385:SSB655388 TBX655385:TBX655388 TLT655385:TLT655388 TVP655385:TVP655388 UFL655385:UFL655388 UPH655385:UPH655388 UZD655385:UZD655388 VIZ655385:VIZ655388 VSV655385:VSV655388 WCR655385:WCR655388 WMN655385:WMN655388 WWJ655385:WWJ655388 AB720921:AB720924 JX720921:JX720924 TT720921:TT720924 ADP720921:ADP720924 ANL720921:ANL720924 AXH720921:AXH720924 BHD720921:BHD720924 BQZ720921:BQZ720924 CAV720921:CAV720924 CKR720921:CKR720924 CUN720921:CUN720924 DEJ720921:DEJ720924 DOF720921:DOF720924 DYB720921:DYB720924 EHX720921:EHX720924 ERT720921:ERT720924 FBP720921:FBP720924 FLL720921:FLL720924 FVH720921:FVH720924 GFD720921:GFD720924 GOZ720921:GOZ720924 GYV720921:GYV720924 HIR720921:HIR720924 HSN720921:HSN720924 ICJ720921:ICJ720924 IMF720921:IMF720924 IWB720921:IWB720924 JFX720921:JFX720924 JPT720921:JPT720924 JZP720921:JZP720924 KJL720921:KJL720924 KTH720921:KTH720924 LDD720921:LDD720924 LMZ720921:LMZ720924 LWV720921:LWV720924 MGR720921:MGR720924 MQN720921:MQN720924 NAJ720921:NAJ720924 NKF720921:NKF720924 NUB720921:NUB720924 ODX720921:ODX720924 ONT720921:ONT720924 OXP720921:OXP720924 PHL720921:PHL720924 PRH720921:PRH720924 QBD720921:QBD720924 QKZ720921:QKZ720924 QUV720921:QUV720924 RER720921:RER720924 RON720921:RON720924 RYJ720921:RYJ720924 SIF720921:SIF720924 SSB720921:SSB720924 TBX720921:TBX720924 TLT720921:TLT720924 TVP720921:TVP720924 UFL720921:UFL720924 UPH720921:UPH720924 UZD720921:UZD720924 VIZ720921:VIZ720924 VSV720921:VSV720924 WCR720921:WCR720924 WMN720921:WMN720924 WWJ720921:WWJ720924 AB786457:AB786460 JX786457:JX786460 TT786457:TT786460 ADP786457:ADP786460 ANL786457:ANL786460 AXH786457:AXH786460 BHD786457:BHD786460 BQZ786457:BQZ786460 CAV786457:CAV786460 CKR786457:CKR786460 CUN786457:CUN786460 DEJ786457:DEJ786460 DOF786457:DOF786460 DYB786457:DYB786460 EHX786457:EHX786460 ERT786457:ERT786460 FBP786457:FBP786460 FLL786457:FLL786460 FVH786457:FVH786460 GFD786457:GFD786460 GOZ786457:GOZ786460 GYV786457:GYV786460 HIR786457:HIR786460 HSN786457:HSN786460 ICJ786457:ICJ786460 IMF786457:IMF786460 IWB786457:IWB786460 JFX786457:JFX786460 JPT786457:JPT786460 JZP786457:JZP786460 KJL786457:KJL786460 KTH786457:KTH786460 LDD786457:LDD786460 LMZ786457:LMZ786460 LWV786457:LWV786460 MGR786457:MGR786460 MQN786457:MQN786460 NAJ786457:NAJ786460 NKF786457:NKF786460 NUB786457:NUB786460 ODX786457:ODX786460 ONT786457:ONT786460 OXP786457:OXP786460 PHL786457:PHL786460 PRH786457:PRH786460 QBD786457:QBD786460 QKZ786457:QKZ786460 QUV786457:QUV786460 RER786457:RER786460 RON786457:RON786460 RYJ786457:RYJ786460 SIF786457:SIF786460 SSB786457:SSB786460 TBX786457:TBX786460 TLT786457:TLT786460 TVP786457:TVP786460 UFL786457:UFL786460 UPH786457:UPH786460 UZD786457:UZD786460 VIZ786457:VIZ786460 VSV786457:VSV786460 WCR786457:WCR786460 WMN786457:WMN786460 WWJ786457:WWJ786460 AB851993:AB851996 JX851993:JX851996 TT851993:TT851996 ADP851993:ADP851996 ANL851993:ANL851996 AXH851993:AXH851996 BHD851993:BHD851996 BQZ851993:BQZ851996 CAV851993:CAV851996 CKR851993:CKR851996 CUN851993:CUN851996 DEJ851993:DEJ851996 DOF851993:DOF851996 DYB851993:DYB851996 EHX851993:EHX851996 ERT851993:ERT851996 FBP851993:FBP851996 FLL851993:FLL851996 FVH851993:FVH851996 GFD851993:GFD851996 GOZ851993:GOZ851996 GYV851993:GYV851996 HIR851993:HIR851996 HSN851993:HSN851996 ICJ851993:ICJ851996 IMF851993:IMF851996 IWB851993:IWB851996 JFX851993:JFX851996 JPT851993:JPT851996 JZP851993:JZP851996 KJL851993:KJL851996 KTH851993:KTH851996 LDD851993:LDD851996 LMZ851993:LMZ851996 LWV851993:LWV851996 MGR851993:MGR851996 MQN851993:MQN851996 NAJ851993:NAJ851996 NKF851993:NKF851996 NUB851993:NUB851996 ODX851993:ODX851996 ONT851993:ONT851996 OXP851993:OXP851996 PHL851993:PHL851996 PRH851993:PRH851996 QBD851993:QBD851996 QKZ851993:QKZ851996 QUV851993:QUV851996 RER851993:RER851996 RON851993:RON851996 RYJ851993:RYJ851996 SIF851993:SIF851996 SSB851993:SSB851996 TBX851993:TBX851996 TLT851993:TLT851996 TVP851993:TVP851996 UFL851993:UFL851996 UPH851993:UPH851996 UZD851993:UZD851996 VIZ851993:VIZ851996 VSV851993:VSV851996 WCR851993:WCR851996 WMN851993:WMN851996 WWJ851993:WWJ851996 AB917529:AB917532 JX917529:JX917532 TT917529:TT917532 ADP917529:ADP917532 ANL917529:ANL917532 AXH917529:AXH917532 BHD917529:BHD917532 BQZ917529:BQZ917532 CAV917529:CAV917532 CKR917529:CKR917532 CUN917529:CUN917532 DEJ917529:DEJ917532 DOF917529:DOF917532 DYB917529:DYB917532 EHX917529:EHX917532 ERT917529:ERT917532 FBP917529:FBP917532 FLL917529:FLL917532 FVH917529:FVH917532 GFD917529:GFD917532 GOZ917529:GOZ917532 GYV917529:GYV917532 HIR917529:HIR917532 HSN917529:HSN917532 ICJ917529:ICJ917532 IMF917529:IMF917532 IWB917529:IWB917532 JFX917529:JFX917532 JPT917529:JPT917532 JZP917529:JZP917532 KJL917529:KJL917532 KTH917529:KTH917532 LDD917529:LDD917532 LMZ917529:LMZ917532 LWV917529:LWV917532 MGR917529:MGR917532 MQN917529:MQN917532 NAJ917529:NAJ917532 NKF917529:NKF917532 NUB917529:NUB917532 ODX917529:ODX917532 ONT917529:ONT917532 OXP917529:OXP917532 PHL917529:PHL917532 PRH917529:PRH917532 QBD917529:QBD917532 QKZ917529:QKZ917532 QUV917529:QUV917532 RER917529:RER917532 RON917529:RON917532 RYJ917529:RYJ917532 SIF917529:SIF917532 SSB917529:SSB917532 TBX917529:TBX917532 TLT917529:TLT917532 TVP917529:TVP917532 UFL917529:UFL917532 UPH917529:UPH917532 UZD917529:UZD917532 VIZ917529:VIZ917532 VSV917529:VSV917532 WCR917529:WCR917532 WMN917529:WMN917532 WWJ917529:WWJ917532 AB983065:AB983068 JX983065:JX983068 TT983065:TT983068 ADP983065:ADP983068 ANL983065:ANL983068 AXH983065:AXH983068 BHD983065:BHD983068 BQZ983065:BQZ983068 CAV983065:CAV983068 CKR983065:CKR983068 CUN983065:CUN983068 DEJ983065:DEJ983068 DOF983065:DOF983068 DYB983065:DYB983068 EHX983065:EHX983068 ERT983065:ERT983068 FBP983065:FBP983068 FLL983065:FLL983068 FVH983065:FVH983068 GFD983065:GFD983068 GOZ983065:GOZ983068 GYV983065:GYV983068 HIR983065:HIR983068 HSN983065:HSN983068 ICJ983065:ICJ983068 IMF983065:IMF983068 IWB983065:IWB983068 JFX983065:JFX983068 JPT983065:JPT983068 JZP983065:JZP983068 KJL983065:KJL983068 KTH983065:KTH983068 LDD983065:LDD983068 LMZ983065:LMZ983068 LWV983065:LWV983068 MGR983065:MGR983068 MQN983065:MQN983068 NAJ983065:NAJ983068 NKF983065:NKF983068 NUB983065:NUB983068 ODX983065:ODX983068 ONT983065:ONT983068 OXP983065:OXP983068 PHL983065:PHL983068 PRH983065:PRH983068 QBD983065:QBD983068 QKZ983065:QKZ983068 QUV983065:QUV983068 RER983065:RER983068 RON983065:RON983068 RYJ983065:RYJ983068 SIF983065:SIF983068 SSB983065:SSB983068 TBX983065:TBX983068 TLT983065:TLT983068 TVP983065:TVP983068 UFL983065:UFL983068 UPH983065:UPH983068 UZD983065:UZD983068 VIZ983065:VIZ983068 VSV983065:VSV983068 WCR983065:WCR983068 WMN983065:WMN983068 WWJ983065:WWJ983068 AD25:AD28 JZ25:JZ28 TV25:TV28 ADR25:ADR28 ANN25:ANN28 AXJ25:AXJ28 BHF25:BHF28 BRB25:BRB28 CAX25:CAX28 CKT25:CKT28 CUP25:CUP28 DEL25:DEL28 DOH25:DOH28 DYD25:DYD28 EHZ25:EHZ28 ERV25:ERV28 FBR25:FBR28 FLN25:FLN28 FVJ25:FVJ28 GFF25:GFF28 GPB25:GPB28 GYX25:GYX28 HIT25:HIT28 HSP25:HSP28 ICL25:ICL28 IMH25:IMH28 IWD25:IWD28 JFZ25:JFZ28 JPV25:JPV28 JZR25:JZR28 KJN25:KJN28 KTJ25:KTJ28 LDF25:LDF28 LNB25:LNB28 LWX25:LWX28 MGT25:MGT28 MQP25:MQP28 NAL25:NAL28 NKH25:NKH28 NUD25:NUD28 ODZ25:ODZ28 ONV25:ONV28 OXR25:OXR28 PHN25:PHN28 PRJ25:PRJ28 QBF25:QBF28 QLB25:QLB28 QUX25:QUX28 RET25:RET28 ROP25:ROP28 RYL25:RYL28 SIH25:SIH28 SSD25:SSD28 TBZ25:TBZ28 TLV25:TLV28 TVR25:TVR28 UFN25:UFN28 UPJ25:UPJ28 UZF25:UZF28 VJB25:VJB28 VSX25:VSX28 WCT25:WCT28 WMP25:WMP28 WWL25:WWL28 AD65561:AD65564 JZ65561:JZ65564 TV65561:TV65564 ADR65561:ADR65564 ANN65561:ANN65564 AXJ65561:AXJ65564 BHF65561:BHF65564 BRB65561:BRB65564 CAX65561:CAX65564 CKT65561:CKT65564 CUP65561:CUP65564 DEL65561:DEL65564 DOH65561:DOH65564 DYD65561:DYD65564 EHZ65561:EHZ65564 ERV65561:ERV65564 FBR65561:FBR65564 FLN65561:FLN65564 FVJ65561:FVJ65564 GFF65561:GFF65564 GPB65561:GPB65564 GYX65561:GYX65564 HIT65561:HIT65564 HSP65561:HSP65564 ICL65561:ICL65564 IMH65561:IMH65564 IWD65561:IWD65564 JFZ65561:JFZ65564 JPV65561:JPV65564 JZR65561:JZR65564 KJN65561:KJN65564 KTJ65561:KTJ65564 LDF65561:LDF65564 LNB65561:LNB65564 LWX65561:LWX65564 MGT65561:MGT65564 MQP65561:MQP65564 NAL65561:NAL65564 NKH65561:NKH65564 NUD65561:NUD65564 ODZ65561:ODZ65564 ONV65561:ONV65564 OXR65561:OXR65564 PHN65561:PHN65564 PRJ65561:PRJ65564 QBF65561:QBF65564 QLB65561:QLB65564 QUX65561:QUX65564 RET65561:RET65564 ROP65561:ROP65564 RYL65561:RYL65564 SIH65561:SIH65564 SSD65561:SSD65564 TBZ65561:TBZ65564 TLV65561:TLV65564 TVR65561:TVR65564 UFN65561:UFN65564 UPJ65561:UPJ65564 UZF65561:UZF65564 VJB65561:VJB65564 VSX65561:VSX65564 WCT65561:WCT65564 WMP65561:WMP65564 WWL65561:WWL65564 AD131097:AD131100 JZ131097:JZ131100 TV131097:TV131100 ADR131097:ADR131100 ANN131097:ANN131100 AXJ131097:AXJ131100 BHF131097:BHF131100 BRB131097:BRB131100 CAX131097:CAX131100 CKT131097:CKT131100 CUP131097:CUP131100 DEL131097:DEL131100 DOH131097:DOH131100 DYD131097:DYD131100 EHZ131097:EHZ131100 ERV131097:ERV131100 FBR131097:FBR131100 FLN131097:FLN131100 FVJ131097:FVJ131100 GFF131097:GFF131100 GPB131097:GPB131100 GYX131097:GYX131100 HIT131097:HIT131100 HSP131097:HSP131100 ICL131097:ICL131100 IMH131097:IMH131100 IWD131097:IWD131100 JFZ131097:JFZ131100 JPV131097:JPV131100 JZR131097:JZR131100 KJN131097:KJN131100 KTJ131097:KTJ131100 LDF131097:LDF131100 LNB131097:LNB131100 LWX131097:LWX131100 MGT131097:MGT131100 MQP131097:MQP131100 NAL131097:NAL131100 NKH131097:NKH131100 NUD131097:NUD131100 ODZ131097:ODZ131100 ONV131097:ONV131100 OXR131097:OXR131100 PHN131097:PHN131100 PRJ131097:PRJ131100 QBF131097:QBF131100 QLB131097:QLB131100 QUX131097:QUX131100 RET131097:RET131100 ROP131097:ROP131100 RYL131097:RYL131100 SIH131097:SIH131100 SSD131097:SSD131100 TBZ131097:TBZ131100 TLV131097:TLV131100 TVR131097:TVR131100 UFN131097:UFN131100 UPJ131097:UPJ131100 UZF131097:UZF131100 VJB131097:VJB131100 VSX131097:VSX131100 WCT131097:WCT131100 WMP131097:WMP131100 WWL131097:WWL131100 AD196633:AD196636 JZ196633:JZ196636 TV196633:TV196636 ADR196633:ADR196636 ANN196633:ANN196636 AXJ196633:AXJ196636 BHF196633:BHF196636 BRB196633:BRB196636 CAX196633:CAX196636 CKT196633:CKT196636 CUP196633:CUP196636 DEL196633:DEL196636 DOH196633:DOH196636 DYD196633:DYD196636 EHZ196633:EHZ196636 ERV196633:ERV196636 FBR196633:FBR196636 FLN196633:FLN196636 FVJ196633:FVJ196636 GFF196633:GFF196636 GPB196633:GPB196636 GYX196633:GYX196636 HIT196633:HIT196636 HSP196633:HSP196636 ICL196633:ICL196636 IMH196633:IMH196636 IWD196633:IWD196636 JFZ196633:JFZ196636 JPV196633:JPV196636 JZR196633:JZR196636 KJN196633:KJN196636 KTJ196633:KTJ196636 LDF196633:LDF196636 LNB196633:LNB196636 LWX196633:LWX196636 MGT196633:MGT196636 MQP196633:MQP196636 NAL196633:NAL196636 NKH196633:NKH196636 NUD196633:NUD196636 ODZ196633:ODZ196636 ONV196633:ONV196636 OXR196633:OXR196636 PHN196633:PHN196636 PRJ196633:PRJ196636 QBF196633:QBF196636 QLB196633:QLB196636 QUX196633:QUX196636 RET196633:RET196636 ROP196633:ROP196636 RYL196633:RYL196636 SIH196633:SIH196636 SSD196633:SSD196636 TBZ196633:TBZ196636 TLV196633:TLV196636 TVR196633:TVR196636 UFN196633:UFN196636 UPJ196633:UPJ196636 UZF196633:UZF196636 VJB196633:VJB196636 VSX196633:VSX196636 WCT196633:WCT196636 WMP196633:WMP196636 WWL196633:WWL196636 AD262169:AD262172 JZ262169:JZ262172 TV262169:TV262172 ADR262169:ADR262172 ANN262169:ANN262172 AXJ262169:AXJ262172 BHF262169:BHF262172 BRB262169:BRB262172 CAX262169:CAX262172 CKT262169:CKT262172 CUP262169:CUP262172 DEL262169:DEL262172 DOH262169:DOH262172 DYD262169:DYD262172 EHZ262169:EHZ262172 ERV262169:ERV262172 FBR262169:FBR262172 FLN262169:FLN262172 FVJ262169:FVJ262172 GFF262169:GFF262172 GPB262169:GPB262172 GYX262169:GYX262172 HIT262169:HIT262172 HSP262169:HSP262172 ICL262169:ICL262172 IMH262169:IMH262172 IWD262169:IWD262172 JFZ262169:JFZ262172 JPV262169:JPV262172 JZR262169:JZR262172 KJN262169:KJN262172 KTJ262169:KTJ262172 LDF262169:LDF262172 LNB262169:LNB262172 LWX262169:LWX262172 MGT262169:MGT262172 MQP262169:MQP262172 NAL262169:NAL262172 NKH262169:NKH262172 NUD262169:NUD262172 ODZ262169:ODZ262172 ONV262169:ONV262172 OXR262169:OXR262172 PHN262169:PHN262172 PRJ262169:PRJ262172 QBF262169:QBF262172 QLB262169:QLB262172 QUX262169:QUX262172 RET262169:RET262172 ROP262169:ROP262172 RYL262169:RYL262172 SIH262169:SIH262172 SSD262169:SSD262172 TBZ262169:TBZ262172 TLV262169:TLV262172 TVR262169:TVR262172 UFN262169:UFN262172 UPJ262169:UPJ262172 UZF262169:UZF262172 VJB262169:VJB262172 VSX262169:VSX262172 WCT262169:WCT262172 WMP262169:WMP262172 WWL262169:WWL262172 AD327705:AD327708 JZ327705:JZ327708 TV327705:TV327708 ADR327705:ADR327708 ANN327705:ANN327708 AXJ327705:AXJ327708 BHF327705:BHF327708 BRB327705:BRB327708 CAX327705:CAX327708 CKT327705:CKT327708 CUP327705:CUP327708 DEL327705:DEL327708 DOH327705:DOH327708 DYD327705:DYD327708 EHZ327705:EHZ327708 ERV327705:ERV327708 FBR327705:FBR327708 FLN327705:FLN327708 FVJ327705:FVJ327708 GFF327705:GFF327708 GPB327705:GPB327708 GYX327705:GYX327708 HIT327705:HIT327708 HSP327705:HSP327708 ICL327705:ICL327708 IMH327705:IMH327708 IWD327705:IWD327708 JFZ327705:JFZ327708 JPV327705:JPV327708 JZR327705:JZR327708 KJN327705:KJN327708 KTJ327705:KTJ327708 LDF327705:LDF327708 LNB327705:LNB327708 LWX327705:LWX327708 MGT327705:MGT327708 MQP327705:MQP327708 NAL327705:NAL327708 NKH327705:NKH327708 NUD327705:NUD327708 ODZ327705:ODZ327708 ONV327705:ONV327708 OXR327705:OXR327708 PHN327705:PHN327708 PRJ327705:PRJ327708 QBF327705:QBF327708 QLB327705:QLB327708 QUX327705:QUX327708 RET327705:RET327708 ROP327705:ROP327708 RYL327705:RYL327708 SIH327705:SIH327708 SSD327705:SSD327708 TBZ327705:TBZ327708 TLV327705:TLV327708 TVR327705:TVR327708 UFN327705:UFN327708 UPJ327705:UPJ327708 UZF327705:UZF327708 VJB327705:VJB327708 VSX327705:VSX327708 WCT327705:WCT327708 WMP327705:WMP327708 WWL327705:WWL327708 AD393241:AD393244 JZ393241:JZ393244 TV393241:TV393244 ADR393241:ADR393244 ANN393241:ANN393244 AXJ393241:AXJ393244 BHF393241:BHF393244 BRB393241:BRB393244 CAX393241:CAX393244 CKT393241:CKT393244 CUP393241:CUP393244 DEL393241:DEL393244 DOH393241:DOH393244 DYD393241:DYD393244 EHZ393241:EHZ393244 ERV393241:ERV393244 FBR393241:FBR393244 FLN393241:FLN393244 FVJ393241:FVJ393244 GFF393241:GFF393244 GPB393241:GPB393244 GYX393241:GYX393244 HIT393241:HIT393244 HSP393241:HSP393244 ICL393241:ICL393244 IMH393241:IMH393244 IWD393241:IWD393244 JFZ393241:JFZ393244 JPV393241:JPV393244 JZR393241:JZR393244 KJN393241:KJN393244 KTJ393241:KTJ393244 LDF393241:LDF393244 LNB393241:LNB393244 LWX393241:LWX393244 MGT393241:MGT393244 MQP393241:MQP393244 NAL393241:NAL393244 NKH393241:NKH393244 NUD393241:NUD393244 ODZ393241:ODZ393244 ONV393241:ONV393244 OXR393241:OXR393244 PHN393241:PHN393244 PRJ393241:PRJ393244 QBF393241:QBF393244 QLB393241:QLB393244 QUX393241:QUX393244 RET393241:RET393244 ROP393241:ROP393244 RYL393241:RYL393244 SIH393241:SIH393244 SSD393241:SSD393244 TBZ393241:TBZ393244 TLV393241:TLV393244 TVR393241:TVR393244 UFN393241:UFN393244 UPJ393241:UPJ393244 UZF393241:UZF393244 VJB393241:VJB393244 VSX393241:VSX393244 WCT393241:WCT393244 WMP393241:WMP393244 WWL393241:WWL393244 AD458777:AD458780 JZ458777:JZ458780 TV458777:TV458780 ADR458777:ADR458780 ANN458777:ANN458780 AXJ458777:AXJ458780 BHF458777:BHF458780 BRB458777:BRB458780 CAX458777:CAX458780 CKT458777:CKT458780 CUP458777:CUP458780 DEL458777:DEL458780 DOH458777:DOH458780 DYD458777:DYD458780 EHZ458777:EHZ458780 ERV458777:ERV458780 FBR458777:FBR458780 FLN458777:FLN458780 FVJ458777:FVJ458780 GFF458777:GFF458780 GPB458777:GPB458780 GYX458777:GYX458780 HIT458777:HIT458780 HSP458777:HSP458780 ICL458777:ICL458780 IMH458777:IMH458780 IWD458777:IWD458780 JFZ458777:JFZ458780 JPV458777:JPV458780 JZR458777:JZR458780 KJN458777:KJN458780 KTJ458777:KTJ458780 LDF458777:LDF458780 LNB458777:LNB458780 LWX458777:LWX458780 MGT458777:MGT458780 MQP458777:MQP458780 NAL458777:NAL458780 NKH458777:NKH458780 NUD458777:NUD458780 ODZ458777:ODZ458780 ONV458777:ONV458780 OXR458777:OXR458780 PHN458777:PHN458780 PRJ458777:PRJ458780 QBF458777:QBF458780 QLB458777:QLB458780 QUX458777:QUX458780 RET458777:RET458780 ROP458777:ROP458780 RYL458777:RYL458780 SIH458777:SIH458780 SSD458777:SSD458780 TBZ458777:TBZ458780 TLV458777:TLV458780 TVR458777:TVR458780 UFN458777:UFN458780 UPJ458777:UPJ458780 UZF458777:UZF458780 VJB458777:VJB458780 VSX458777:VSX458780 WCT458777:WCT458780 WMP458777:WMP458780 WWL458777:WWL458780 AD524313:AD524316 JZ524313:JZ524316 TV524313:TV524316 ADR524313:ADR524316 ANN524313:ANN524316 AXJ524313:AXJ524316 BHF524313:BHF524316 BRB524313:BRB524316 CAX524313:CAX524316 CKT524313:CKT524316 CUP524313:CUP524316 DEL524313:DEL524316 DOH524313:DOH524316 DYD524313:DYD524316 EHZ524313:EHZ524316 ERV524313:ERV524316 FBR524313:FBR524316 FLN524313:FLN524316 FVJ524313:FVJ524316 GFF524313:GFF524316 GPB524313:GPB524316 GYX524313:GYX524316 HIT524313:HIT524316 HSP524313:HSP524316 ICL524313:ICL524316 IMH524313:IMH524316 IWD524313:IWD524316 JFZ524313:JFZ524316 JPV524313:JPV524316 JZR524313:JZR524316 KJN524313:KJN524316 KTJ524313:KTJ524316 LDF524313:LDF524316 LNB524313:LNB524316 LWX524313:LWX524316 MGT524313:MGT524316 MQP524313:MQP524316 NAL524313:NAL524316 NKH524313:NKH524316 NUD524313:NUD524316 ODZ524313:ODZ524316 ONV524313:ONV524316 OXR524313:OXR524316 PHN524313:PHN524316 PRJ524313:PRJ524316 QBF524313:QBF524316 QLB524313:QLB524316 QUX524313:QUX524316 RET524313:RET524316 ROP524313:ROP524316 RYL524313:RYL524316 SIH524313:SIH524316 SSD524313:SSD524316 TBZ524313:TBZ524316 TLV524313:TLV524316 TVR524313:TVR524316 UFN524313:UFN524316 UPJ524313:UPJ524316 UZF524313:UZF524316 VJB524313:VJB524316 VSX524313:VSX524316 WCT524313:WCT524316 WMP524313:WMP524316 WWL524313:WWL524316 AD589849:AD589852 JZ589849:JZ589852 TV589849:TV589852 ADR589849:ADR589852 ANN589849:ANN589852 AXJ589849:AXJ589852 BHF589849:BHF589852 BRB589849:BRB589852 CAX589849:CAX589852 CKT589849:CKT589852 CUP589849:CUP589852 DEL589849:DEL589852 DOH589849:DOH589852 DYD589849:DYD589852 EHZ589849:EHZ589852 ERV589849:ERV589852 FBR589849:FBR589852 FLN589849:FLN589852 FVJ589849:FVJ589852 GFF589849:GFF589852 GPB589849:GPB589852 GYX589849:GYX589852 HIT589849:HIT589852 HSP589849:HSP589852 ICL589849:ICL589852 IMH589849:IMH589852 IWD589849:IWD589852 JFZ589849:JFZ589852 JPV589849:JPV589852 JZR589849:JZR589852 KJN589849:KJN589852 KTJ589849:KTJ589852 LDF589849:LDF589852 LNB589849:LNB589852 LWX589849:LWX589852 MGT589849:MGT589852 MQP589849:MQP589852 NAL589849:NAL589852 NKH589849:NKH589852 NUD589849:NUD589852 ODZ589849:ODZ589852 ONV589849:ONV589852 OXR589849:OXR589852 PHN589849:PHN589852 PRJ589849:PRJ589852 QBF589849:QBF589852 QLB589849:QLB589852 QUX589849:QUX589852 RET589849:RET589852 ROP589849:ROP589852 RYL589849:RYL589852 SIH589849:SIH589852 SSD589849:SSD589852 TBZ589849:TBZ589852 TLV589849:TLV589852 TVR589849:TVR589852 UFN589849:UFN589852 UPJ589849:UPJ589852 UZF589849:UZF589852 VJB589849:VJB589852 VSX589849:VSX589852 WCT589849:WCT589852 WMP589849:WMP589852 WWL589849:WWL589852 AD655385:AD655388 JZ655385:JZ655388 TV655385:TV655388 ADR655385:ADR655388 ANN655385:ANN655388 AXJ655385:AXJ655388 BHF655385:BHF655388 BRB655385:BRB655388 CAX655385:CAX655388 CKT655385:CKT655388 CUP655385:CUP655388 DEL655385:DEL655388 DOH655385:DOH655388 DYD655385:DYD655388 EHZ655385:EHZ655388 ERV655385:ERV655388 FBR655385:FBR655388 FLN655385:FLN655388 FVJ655385:FVJ655388 GFF655385:GFF655388 GPB655385:GPB655388 GYX655385:GYX655388 HIT655385:HIT655388 HSP655385:HSP655388 ICL655385:ICL655388 IMH655385:IMH655388 IWD655385:IWD655388 JFZ655385:JFZ655388 JPV655385:JPV655388 JZR655385:JZR655388 KJN655385:KJN655388 KTJ655385:KTJ655388 LDF655385:LDF655388 LNB655385:LNB655388 LWX655385:LWX655388 MGT655385:MGT655388 MQP655385:MQP655388 NAL655385:NAL655388 NKH655385:NKH655388 NUD655385:NUD655388 ODZ655385:ODZ655388 ONV655385:ONV655388 OXR655385:OXR655388 PHN655385:PHN655388 PRJ655385:PRJ655388 QBF655385:QBF655388 QLB655385:QLB655388 QUX655385:QUX655388 RET655385:RET655388 ROP655385:ROP655388 RYL655385:RYL655388 SIH655385:SIH655388 SSD655385:SSD655388 TBZ655385:TBZ655388 TLV655385:TLV655388 TVR655385:TVR655388 UFN655385:UFN655388 UPJ655385:UPJ655388 UZF655385:UZF655388 VJB655385:VJB655388 VSX655385:VSX655388 WCT655385:WCT655388 WMP655385:WMP655388 WWL655385:WWL655388 AD720921:AD720924 JZ720921:JZ720924 TV720921:TV720924 ADR720921:ADR720924 ANN720921:ANN720924 AXJ720921:AXJ720924 BHF720921:BHF720924 BRB720921:BRB720924 CAX720921:CAX720924 CKT720921:CKT720924 CUP720921:CUP720924 DEL720921:DEL720924 DOH720921:DOH720924 DYD720921:DYD720924 EHZ720921:EHZ720924 ERV720921:ERV720924 FBR720921:FBR720924 FLN720921:FLN720924 FVJ720921:FVJ720924 GFF720921:GFF720924 GPB720921:GPB720924 GYX720921:GYX720924 HIT720921:HIT720924 HSP720921:HSP720924 ICL720921:ICL720924 IMH720921:IMH720924 IWD720921:IWD720924 JFZ720921:JFZ720924 JPV720921:JPV720924 JZR720921:JZR720924 KJN720921:KJN720924 KTJ720921:KTJ720924 LDF720921:LDF720924 LNB720921:LNB720924 LWX720921:LWX720924 MGT720921:MGT720924 MQP720921:MQP720924 NAL720921:NAL720924 NKH720921:NKH720924 NUD720921:NUD720924 ODZ720921:ODZ720924 ONV720921:ONV720924 OXR720921:OXR720924 PHN720921:PHN720924 PRJ720921:PRJ720924 QBF720921:QBF720924 QLB720921:QLB720924 QUX720921:QUX720924 RET720921:RET720924 ROP720921:ROP720924 RYL720921:RYL720924 SIH720921:SIH720924 SSD720921:SSD720924 TBZ720921:TBZ720924 TLV720921:TLV720924 TVR720921:TVR720924 UFN720921:UFN720924 UPJ720921:UPJ720924 UZF720921:UZF720924 VJB720921:VJB720924 VSX720921:VSX720924 WCT720921:WCT720924 WMP720921:WMP720924 WWL720921:WWL720924 AD786457:AD786460 JZ786457:JZ786460 TV786457:TV786460 ADR786457:ADR786460 ANN786457:ANN786460 AXJ786457:AXJ786460 BHF786457:BHF786460 BRB786457:BRB786460 CAX786457:CAX786460 CKT786457:CKT786460 CUP786457:CUP786460 DEL786457:DEL786460 DOH786457:DOH786460 DYD786457:DYD786460 EHZ786457:EHZ786460 ERV786457:ERV786460 FBR786457:FBR786460 FLN786457:FLN786460 FVJ786457:FVJ786460 GFF786457:GFF786460 GPB786457:GPB786460 GYX786457:GYX786460 HIT786457:HIT786460 HSP786457:HSP786460 ICL786457:ICL786460 IMH786457:IMH786460 IWD786457:IWD786460 JFZ786457:JFZ786460 JPV786457:JPV786460 JZR786457:JZR786460 KJN786457:KJN786460 KTJ786457:KTJ786460 LDF786457:LDF786460 LNB786457:LNB786460 LWX786457:LWX786460 MGT786457:MGT786460 MQP786457:MQP786460 NAL786457:NAL786460 NKH786457:NKH786460 NUD786457:NUD786460 ODZ786457:ODZ786460 ONV786457:ONV786460 OXR786457:OXR786460 PHN786457:PHN786460 PRJ786457:PRJ786460 QBF786457:QBF786460 QLB786457:QLB786460 QUX786457:QUX786460 RET786457:RET786460 ROP786457:ROP786460 RYL786457:RYL786460 SIH786457:SIH786460 SSD786457:SSD786460 TBZ786457:TBZ786460 TLV786457:TLV786460 TVR786457:TVR786460 UFN786457:UFN786460 UPJ786457:UPJ786460 UZF786457:UZF786460 VJB786457:VJB786460 VSX786457:VSX786460 WCT786457:WCT786460 WMP786457:WMP786460 WWL786457:WWL786460 AD851993:AD851996 JZ851993:JZ851996 TV851993:TV851996 ADR851993:ADR851996 ANN851993:ANN851996 AXJ851993:AXJ851996 BHF851993:BHF851996 BRB851993:BRB851996 CAX851993:CAX851996 CKT851993:CKT851996 CUP851993:CUP851996 DEL851993:DEL851996 DOH851993:DOH851996 DYD851993:DYD851996 EHZ851993:EHZ851996 ERV851993:ERV851996 FBR851993:FBR851996 FLN851993:FLN851996 FVJ851993:FVJ851996 GFF851993:GFF851996 GPB851993:GPB851996 GYX851993:GYX851996 HIT851993:HIT851996 HSP851993:HSP851996 ICL851993:ICL851996 IMH851993:IMH851996 IWD851993:IWD851996 JFZ851993:JFZ851996 JPV851993:JPV851996 JZR851993:JZR851996 KJN851993:KJN851996 KTJ851993:KTJ851996 LDF851993:LDF851996 LNB851993:LNB851996 LWX851993:LWX851996 MGT851993:MGT851996 MQP851993:MQP851996 NAL851993:NAL851996 NKH851993:NKH851996 NUD851993:NUD851996 ODZ851993:ODZ851996 ONV851993:ONV851996 OXR851993:OXR851996 PHN851993:PHN851996 PRJ851993:PRJ851996 QBF851993:QBF851996 QLB851993:QLB851996 QUX851993:QUX851996 RET851993:RET851996 ROP851993:ROP851996 RYL851993:RYL851996 SIH851993:SIH851996 SSD851993:SSD851996 TBZ851993:TBZ851996 TLV851993:TLV851996 TVR851993:TVR851996 UFN851993:UFN851996 UPJ851993:UPJ851996 UZF851993:UZF851996 VJB851993:VJB851996 VSX851993:VSX851996 WCT851993:WCT851996 WMP851993:WMP851996 WWL851993:WWL851996 AD917529:AD917532 JZ917529:JZ917532 TV917529:TV917532 ADR917529:ADR917532 ANN917529:ANN917532 AXJ917529:AXJ917532 BHF917529:BHF917532 BRB917529:BRB917532 CAX917529:CAX917532 CKT917529:CKT917532 CUP917529:CUP917532 DEL917529:DEL917532 DOH917529:DOH917532 DYD917529:DYD917532 EHZ917529:EHZ917532 ERV917529:ERV917532 FBR917529:FBR917532 FLN917529:FLN917532 FVJ917529:FVJ917532 GFF917529:GFF917532 GPB917529:GPB917532 GYX917529:GYX917532 HIT917529:HIT917532 HSP917529:HSP917532 ICL917529:ICL917532 IMH917529:IMH917532 IWD917529:IWD917532 JFZ917529:JFZ917532 JPV917529:JPV917532 JZR917529:JZR917532 KJN917529:KJN917532 KTJ917529:KTJ917532 LDF917529:LDF917532 LNB917529:LNB917532 LWX917529:LWX917532 MGT917529:MGT917532 MQP917529:MQP917532 NAL917529:NAL917532 NKH917529:NKH917532 NUD917529:NUD917532 ODZ917529:ODZ917532 ONV917529:ONV917532 OXR917529:OXR917532 PHN917529:PHN917532 PRJ917529:PRJ917532 QBF917529:QBF917532 QLB917529:QLB917532 QUX917529:QUX917532 RET917529:RET917532 ROP917529:ROP917532 RYL917529:RYL917532 SIH917529:SIH917532 SSD917529:SSD917532 TBZ917529:TBZ917532 TLV917529:TLV917532 TVR917529:TVR917532 UFN917529:UFN917532 UPJ917529:UPJ917532 UZF917529:UZF917532 VJB917529:VJB917532 VSX917529:VSX917532 WCT917529:WCT917532 WMP917529:WMP917532 WWL917529:WWL917532 AD983065:AD983068 JZ983065:JZ983068 TV983065:TV983068 ADR983065:ADR983068 ANN983065:ANN983068 AXJ983065:AXJ983068 BHF983065:BHF983068 BRB983065:BRB983068 CAX983065:CAX983068 CKT983065:CKT983068 CUP983065:CUP983068 DEL983065:DEL983068 DOH983065:DOH983068 DYD983065:DYD983068 EHZ983065:EHZ983068 ERV983065:ERV983068 FBR983065:FBR983068 FLN983065:FLN983068 FVJ983065:FVJ983068 GFF983065:GFF983068 GPB983065:GPB983068 GYX983065:GYX983068 HIT983065:HIT983068 HSP983065:HSP983068 ICL983065:ICL983068 IMH983065:IMH983068 IWD983065:IWD983068 JFZ983065:JFZ983068 JPV983065:JPV983068 JZR983065:JZR983068 KJN983065:KJN983068 KTJ983065:KTJ983068 LDF983065:LDF983068 LNB983065:LNB983068 LWX983065:LWX983068 MGT983065:MGT983068 MQP983065:MQP983068 NAL983065:NAL983068 NKH983065:NKH983068 NUD983065:NUD983068 ODZ983065:ODZ983068 ONV983065:ONV983068 OXR983065:OXR983068 PHN983065:PHN983068 PRJ983065:PRJ983068 QBF983065:QBF983068 QLB983065:QLB983068 QUX983065:QUX983068 RET983065:RET983068 ROP983065:ROP983068 RYL983065:RYL983068 SIH983065:SIH983068 SSD983065:SSD983068 TBZ983065:TBZ983068 TLV983065:TLV983068 TVR983065:TVR983068 UFN983065:UFN983068 UPJ983065:UPJ983068 UZF983065:UZF983068 VJB983065:VJB983068 VSX983065:VSX983068 WCT983065:WCT983068 WMP983065:WMP983068 WWL983065:WWL983068 AB44 JX44 TT44 ADP44 ANL44 AXH44 BHD44 BQZ44 CAV44 CKR44 CUN44 DEJ44 DOF44 DYB44 EHX44 ERT44 FBP44 FLL44 FVH44 GFD44 GOZ44 GYV44 HIR44 HSN44 ICJ44 IMF44 IWB44 JFX44 JPT44 JZP44 KJL44 KTH44 LDD44 LMZ44 LWV44 MGR44 MQN44 NAJ44 NKF44 NUB44 ODX44 ONT44 OXP44 PHL44 PRH44 QBD44 QKZ44 QUV44 RER44 RON44 RYJ44 SIF44 SSB44 TBX44 TLT44 TVP44 UFL44 UPH44 UZD44 VIZ44 VSV44 WCR44 WMN44 WWJ44 AB65580 JX65580 TT65580 ADP65580 ANL65580 AXH65580 BHD65580 BQZ65580 CAV65580 CKR65580 CUN65580 DEJ65580 DOF65580 DYB65580 EHX65580 ERT65580 FBP65580 FLL65580 FVH65580 GFD65580 GOZ65580 GYV65580 HIR65580 HSN65580 ICJ65580 IMF65580 IWB65580 JFX65580 JPT65580 JZP65580 KJL65580 KTH65580 LDD65580 LMZ65580 LWV65580 MGR65580 MQN65580 NAJ65580 NKF65580 NUB65580 ODX65580 ONT65580 OXP65580 PHL65580 PRH65580 QBD65580 QKZ65580 QUV65580 RER65580 RON65580 RYJ65580 SIF65580 SSB65580 TBX65580 TLT65580 TVP65580 UFL65580 UPH65580 UZD65580 VIZ65580 VSV65580 WCR65580 WMN65580 WWJ65580 AB131116 JX131116 TT131116 ADP131116 ANL131116 AXH131116 BHD131116 BQZ131116 CAV131116 CKR131116 CUN131116 DEJ131116 DOF131116 DYB131116 EHX131116 ERT131116 FBP131116 FLL131116 FVH131116 GFD131116 GOZ131116 GYV131116 HIR131116 HSN131116 ICJ131116 IMF131116 IWB131116 JFX131116 JPT131116 JZP131116 KJL131116 KTH131116 LDD131116 LMZ131116 LWV131116 MGR131116 MQN131116 NAJ131116 NKF131116 NUB131116 ODX131116 ONT131116 OXP131116 PHL131116 PRH131116 QBD131116 QKZ131116 QUV131116 RER131116 RON131116 RYJ131116 SIF131116 SSB131116 TBX131116 TLT131116 TVP131116 UFL131116 UPH131116 UZD131116 VIZ131116 VSV131116 WCR131116 WMN131116 WWJ131116 AB196652 JX196652 TT196652 ADP196652 ANL196652 AXH196652 BHD196652 BQZ196652 CAV196652 CKR196652 CUN196652 DEJ196652 DOF196652 DYB196652 EHX196652 ERT196652 FBP196652 FLL196652 FVH196652 GFD196652 GOZ196652 GYV196652 HIR196652 HSN196652 ICJ196652 IMF196652 IWB196652 JFX196652 JPT196652 JZP196652 KJL196652 KTH196652 LDD196652 LMZ196652 LWV196652 MGR196652 MQN196652 NAJ196652 NKF196652 NUB196652 ODX196652 ONT196652 OXP196652 PHL196652 PRH196652 QBD196652 QKZ196652 QUV196652 RER196652 RON196652 RYJ196652 SIF196652 SSB196652 TBX196652 TLT196652 TVP196652 UFL196652 UPH196652 UZD196652 VIZ196652 VSV196652 WCR196652 WMN196652 WWJ196652 AB262188 JX262188 TT262188 ADP262188 ANL262188 AXH262188 BHD262188 BQZ262188 CAV262188 CKR262188 CUN262188 DEJ262188 DOF262188 DYB262188 EHX262188 ERT262188 FBP262188 FLL262188 FVH262188 GFD262188 GOZ262188 GYV262188 HIR262188 HSN262188 ICJ262188 IMF262188 IWB262188 JFX262188 JPT262188 JZP262188 KJL262188 KTH262188 LDD262188 LMZ262188 LWV262188 MGR262188 MQN262188 NAJ262188 NKF262188 NUB262188 ODX262188 ONT262188 OXP262188 PHL262188 PRH262188 QBD262188 QKZ262188 QUV262188 RER262188 RON262188 RYJ262188 SIF262188 SSB262188 TBX262188 TLT262188 TVP262188 UFL262188 UPH262188 UZD262188 VIZ262188 VSV262188 WCR262188 WMN262188 WWJ262188 AB327724 JX327724 TT327724 ADP327724 ANL327724 AXH327724 BHD327724 BQZ327724 CAV327724 CKR327724 CUN327724 DEJ327724 DOF327724 DYB327724 EHX327724 ERT327724 FBP327724 FLL327724 FVH327724 GFD327724 GOZ327724 GYV327724 HIR327724 HSN327724 ICJ327724 IMF327724 IWB327724 JFX327724 JPT327724 JZP327724 KJL327724 KTH327724 LDD327724 LMZ327724 LWV327724 MGR327724 MQN327724 NAJ327724 NKF327724 NUB327724 ODX327724 ONT327724 OXP327724 PHL327724 PRH327724 QBD327724 QKZ327724 QUV327724 RER327724 RON327724 RYJ327724 SIF327724 SSB327724 TBX327724 TLT327724 TVP327724 UFL327724 UPH327724 UZD327724 VIZ327724 VSV327724 WCR327724 WMN327724 WWJ327724 AB393260 JX393260 TT393260 ADP393260 ANL393260 AXH393260 BHD393260 BQZ393260 CAV393260 CKR393260 CUN393260 DEJ393260 DOF393260 DYB393260 EHX393260 ERT393260 FBP393260 FLL393260 FVH393260 GFD393260 GOZ393260 GYV393260 HIR393260 HSN393260 ICJ393260 IMF393260 IWB393260 JFX393260 JPT393260 JZP393260 KJL393260 KTH393260 LDD393260 LMZ393260 LWV393260 MGR393260 MQN393260 NAJ393260 NKF393260 NUB393260 ODX393260 ONT393260 OXP393260 PHL393260 PRH393260 QBD393260 QKZ393260 QUV393260 RER393260 RON393260 RYJ393260 SIF393260 SSB393260 TBX393260 TLT393260 TVP393260 UFL393260 UPH393260 UZD393260 VIZ393260 VSV393260 WCR393260 WMN393260 WWJ393260 AB458796 JX458796 TT458796 ADP458796 ANL458796 AXH458796 BHD458796 BQZ458796 CAV458796 CKR458796 CUN458796 DEJ458796 DOF458796 DYB458796 EHX458796 ERT458796 FBP458796 FLL458796 FVH458796 GFD458796 GOZ458796 GYV458796 HIR458796 HSN458796 ICJ458796 IMF458796 IWB458796 JFX458796 JPT458796 JZP458796 KJL458796 KTH458796 LDD458796 LMZ458796 LWV458796 MGR458796 MQN458796 NAJ458796 NKF458796 NUB458796 ODX458796 ONT458796 OXP458796 PHL458796 PRH458796 QBD458796 QKZ458796 QUV458796 RER458796 RON458796 RYJ458796 SIF458796 SSB458796 TBX458796 TLT458796 TVP458796 UFL458796 UPH458796 UZD458796 VIZ458796 VSV458796 WCR458796 WMN458796 WWJ458796 AB524332 JX524332 TT524332 ADP524332 ANL524332 AXH524332 BHD524332 BQZ524332 CAV524332 CKR524332 CUN524332 DEJ524332 DOF524332 DYB524332 EHX524332 ERT524332 FBP524332 FLL524332 FVH524332 GFD524332 GOZ524332 GYV524332 HIR524332 HSN524332 ICJ524332 IMF524332 IWB524332 JFX524332 JPT524332 JZP524332 KJL524332 KTH524332 LDD524332 LMZ524332 LWV524332 MGR524332 MQN524332 NAJ524332 NKF524332 NUB524332 ODX524332 ONT524332 OXP524332 PHL524332 PRH524332 QBD524332 QKZ524332 QUV524332 RER524332 RON524332 RYJ524332 SIF524332 SSB524332 TBX524332 TLT524332 TVP524332 UFL524332 UPH524332 UZD524332 VIZ524332 VSV524332 WCR524332 WMN524332 WWJ524332 AB589868 JX589868 TT589868 ADP589868 ANL589868 AXH589868 BHD589868 BQZ589868 CAV589868 CKR589868 CUN589868 DEJ589868 DOF589868 DYB589868 EHX589868 ERT589868 FBP589868 FLL589868 FVH589868 GFD589868 GOZ589868 GYV589868 HIR589868 HSN589868 ICJ589868 IMF589868 IWB589868 JFX589868 JPT589868 JZP589868 KJL589868 KTH589868 LDD589868 LMZ589868 LWV589868 MGR589868 MQN589868 NAJ589868 NKF589868 NUB589868 ODX589868 ONT589868 OXP589868 PHL589868 PRH589868 QBD589868 QKZ589868 QUV589868 RER589868 RON589868 RYJ589868 SIF589868 SSB589868 TBX589868 TLT589868 TVP589868 UFL589868 UPH589868 UZD589868 VIZ589868 VSV589868 WCR589868 WMN589868 WWJ589868 AB655404 JX655404 TT655404 ADP655404 ANL655404 AXH655404 BHD655404 BQZ655404 CAV655404 CKR655404 CUN655404 DEJ655404 DOF655404 DYB655404 EHX655404 ERT655404 FBP655404 FLL655404 FVH655404 GFD655404 GOZ655404 GYV655404 HIR655404 HSN655404 ICJ655404 IMF655404 IWB655404 JFX655404 JPT655404 JZP655404 KJL655404 KTH655404 LDD655404 LMZ655404 LWV655404 MGR655404 MQN655404 NAJ655404 NKF655404 NUB655404 ODX655404 ONT655404 OXP655404 PHL655404 PRH655404 QBD655404 QKZ655404 QUV655404 RER655404 RON655404 RYJ655404 SIF655404 SSB655404 TBX655404 TLT655404 TVP655404 UFL655404 UPH655404 UZD655404 VIZ655404 VSV655404 WCR655404 WMN655404 WWJ655404 AB720940 JX720940 TT720940 ADP720940 ANL720940 AXH720940 BHD720940 BQZ720940 CAV720940 CKR720940 CUN720940 DEJ720940 DOF720940 DYB720940 EHX720940 ERT720940 FBP720940 FLL720940 FVH720940 GFD720940 GOZ720940 GYV720940 HIR720940 HSN720940 ICJ720940 IMF720940 IWB720940 JFX720940 JPT720940 JZP720940 KJL720940 KTH720940 LDD720940 LMZ720940 LWV720940 MGR720940 MQN720940 NAJ720940 NKF720940 NUB720940 ODX720940 ONT720940 OXP720940 PHL720940 PRH720940 QBD720940 QKZ720940 QUV720940 RER720940 RON720940 RYJ720940 SIF720940 SSB720940 TBX720940 TLT720940 TVP720940 UFL720940 UPH720940 UZD720940 VIZ720940 VSV720940 WCR720940 WMN720940 WWJ720940 AB786476 JX786476 TT786476 ADP786476 ANL786476 AXH786476 BHD786476 BQZ786476 CAV786476 CKR786476 CUN786476 DEJ786476 DOF786476 DYB786476 EHX786476 ERT786476 FBP786476 FLL786476 FVH786476 GFD786476 GOZ786476 GYV786476 HIR786476 HSN786476 ICJ786476 IMF786476 IWB786476 JFX786476 JPT786476 JZP786476 KJL786476 KTH786476 LDD786476 LMZ786476 LWV786476 MGR786476 MQN786476 NAJ786476 NKF786476 NUB786476 ODX786476 ONT786476 OXP786476 PHL786476 PRH786476 QBD786476 QKZ786476 QUV786476 RER786476 RON786476 RYJ786476 SIF786476 SSB786476 TBX786476 TLT786476 TVP786476 UFL786476 UPH786476 UZD786476 VIZ786476 VSV786476 WCR786476 WMN786476 WWJ786476 AB852012 JX852012 TT852012 ADP852012 ANL852012 AXH852012 BHD852012 BQZ852012 CAV852012 CKR852012 CUN852012 DEJ852012 DOF852012 DYB852012 EHX852012 ERT852012 FBP852012 FLL852012 FVH852012 GFD852012 GOZ852012 GYV852012 HIR852012 HSN852012 ICJ852012 IMF852012 IWB852012 JFX852012 JPT852012 JZP852012 KJL852012 KTH852012 LDD852012 LMZ852012 LWV852012 MGR852012 MQN852012 NAJ852012 NKF852012 NUB852012 ODX852012 ONT852012 OXP852012 PHL852012 PRH852012 QBD852012 QKZ852012 QUV852012 RER852012 RON852012 RYJ852012 SIF852012 SSB852012 TBX852012 TLT852012 TVP852012 UFL852012 UPH852012 UZD852012 VIZ852012 VSV852012 WCR852012 WMN852012 WWJ852012 AB917548 JX917548 TT917548 ADP917548 ANL917548 AXH917548 BHD917548 BQZ917548 CAV917548 CKR917548 CUN917548 DEJ917548 DOF917548 DYB917548 EHX917548 ERT917548 FBP917548 FLL917548 FVH917548 GFD917548 GOZ917548 GYV917548 HIR917548 HSN917548 ICJ917548 IMF917548 IWB917548 JFX917548 JPT917548 JZP917548 KJL917548 KTH917548 LDD917548 LMZ917548 LWV917548 MGR917548 MQN917548 NAJ917548 NKF917548 NUB917548 ODX917548 ONT917548 OXP917548 PHL917548 PRH917548 QBD917548 QKZ917548 QUV917548 RER917548 RON917548 RYJ917548 SIF917548 SSB917548 TBX917548 TLT917548 TVP917548 UFL917548 UPH917548 UZD917548 VIZ917548 VSV917548 WCR917548 WMN917548 WWJ917548 AB983084 JX983084 TT983084 ADP983084 ANL983084 AXH983084 BHD983084 BQZ983084 CAV983084 CKR983084 CUN983084 DEJ983084 DOF983084 DYB983084 EHX983084 ERT983084 FBP983084 FLL983084 FVH983084 GFD983084 GOZ983084 GYV983084 HIR983084 HSN983084 ICJ983084 IMF983084 IWB983084 JFX983084 JPT983084 JZP983084 KJL983084 KTH983084 LDD983084 LMZ983084 LWV983084 MGR983084 MQN983084 NAJ983084 NKF983084 NUB983084 ODX983084 ONT983084 OXP983084 PHL983084 PRH983084 QBD983084 QKZ983084 QUV983084 RER983084 RON983084 RYJ983084 SIF983084 SSB983084 TBX983084 TLT983084 TVP983084 UFL983084 UPH983084 UZD983084 VIZ983084 VSV983084 WCR983084 WMN983084 WWJ983084 AD44 JZ44 TV44 ADR44 ANN44 AXJ44 BHF44 BRB44 CAX44 CKT44 CUP44 DEL44 DOH44 DYD44 EHZ44 ERV44 FBR44 FLN44 FVJ44 GFF44 GPB44 GYX44 HIT44 HSP44 ICL44 IMH44 IWD44 JFZ44 JPV44 JZR44 KJN44 KTJ44 LDF44 LNB44 LWX44 MGT44 MQP44 NAL44 NKH44 NUD44 ODZ44 ONV44 OXR44 PHN44 PRJ44 QBF44 QLB44 QUX44 RET44 ROP44 RYL44 SIH44 SSD44 TBZ44 TLV44 TVR44 UFN44 UPJ44 UZF44 VJB44 VSX44 WCT44 WMP44 WWL44 AD65580 JZ65580 TV65580 ADR65580 ANN65580 AXJ65580 BHF65580 BRB65580 CAX65580 CKT65580 CUP65580 DEL65580 DOH65580 DYD65580 EHZ65580 ERV65580 FBR65580 FLN65580 FVJ65580 GFF65580 GPB65580 GYX65580 HIT65580 HSP65580 ICL65580 IMH65580 IWD65580 JFZ65580 JPV65580 JZR65580 KJN65580 KTJ65580 LDF65580 LNB65580 LWX65580 MGT65580 MQP65580 NAL65580 NKH65580 NUD65580 ODZ65580 ONV65580 OXR65580 PHN65580 PRJ65580 QBF65580 QLB65580 QUX65580 RET65580 ROP65580 RYL65580 SIH65580 SSD65580 TBZ65580 TLV65580 TVR65580 UFN65580 UPJ65580 UZF65580 VJB65580 VSX65580 WCT65580 WMP65580 WWL65580 AD131116 JZ131116 TV131116 ADR131116 ANN131116 AXJ131116 BHF131116 BRB131116 CAX131116 CKT131116 CUP131116 DEL131116 DOH131116 DYD131116 EHZ131116 ERV131116 FBR131116 FLN131116 FVJ131116 GFF131116 GPB131116 GYX131116 HIT131116 HSP131116 ICL131116 IMH131116 IWD131116 JFZ131116 JPV131116 JZR131116 KJN131116 KTJ131116 LDF131116 LNB131116 LWX131116 MGT131116 MQP131116 NAL131116 NKH131116 NUD131116 ODZ131116 ONV131116 OXR131116 PHN131116 PRJ131116 QBF131116 QLB131116 QUX131116 RET131116 ROP131116 RYL131116 SIH131116 SSD131116 TBZ131116 TLV131116 TVR131116 UFN131116 UPJ131116 UZF131116 VJB131116 VSX131116 WCT131116 WMP131116 WWL131116 AD196652 JZ196652 TV196652 ADR196652 ANN196652 AXJ196652 BHF196652 BRB196652 CAX196652 CKT196652 CUP196652 DEL196652 DOH196652 DYD196652 EHZ196652 ERV196652 FBR196652 FLN196652 FVJ196652 GFF196652 GPB196652 GYX196652 HIT196652 HSP196652 ICL196652 IMH196652 IWD196652 JFZ196652 JPV196652 JZR196652 KJN196652 KTJ196652 LDF196652 LNB196652 LWX196652 MGT196652 MQP196652 NAL196652 NKH196652 NUD196652 ODZ196652 ONV196652 OXR196652 PHN196652 PRJ196652 QBF196652 QLB196652 QUX196652 RET196652 ROP196652 RYL196652 SIH196652 SSD196652 TBZ196652 TLV196652 TVR196652 UFN196652 UPJ196652 UZF196652 VJB196652 VSX196652 WCT196652 WMP196652 WWL196652 AD262188 JZ262188 TV262188 ADR262188 ANN262188 AXJ262188 BHF262188 BRB262188 CAX262188 CKT262188 CUP262188 DEL262188 DOH262188 DYD262188 EHZ262188 ERV262188 FBR262188 FLN262188 FVJ262188 GFF262188 GPB262188 GYX262188 HIT262188 HSP262188 ICL262188 IMH262188 IWD262188 JFZ262188 JPV262188 JZR262188 KJN262188 KTJ262188 LDF262188 LNB262188 LWX262188 MGT262188 MQP262188 NAL262188 NKH262188 NUD262188 ODZ262188 ONV262188 OXR262188 PHN262188 PRJ262188 QBF262188 QLB262188 QUX262188 RET262188 ROP262188 RYL262188 SIH262188 SSD262188 TBZ262188 TLV262188 TVR262188 UFN262188 UPJ262188 UZF262188 VJB262188 VSX262188 WCT262188 WMP262188 WWL262188 AD327724 JZ327724 TV327724 ADR327724 ANN327724 AXJ327724 BHF327724 BRB327724 CAX327724 CKT327724 CUP327724 DEL327724 DOH327724 DYD327724 EHZ327724 ERV327724 FBR327724 FLN327724 FVJ327724 GFF327724 GPB327724 GYX327724 HIT327724 HSP327724 ICL327724 IMH327724 IWD327724 JFZ327724 JPV327724 JZR327724 KJN327724 KTJ327724 LDF327724 LNB327724 LWX327724 MGT327724 MQP327724 NAL327724 NKH327724 NUD327724 ODZ327724 ONV327724 OXR327724 PHN327724 PRJ327724 QBF327724 QLB327724 QUX327724 RET327724 ROP327724 RYL327724 SIH327724 SSD327724 TBZ327724 TLV327724 TVR327724 UFN327724 UPJ327724 UZF327724 VJB327724 VSX327724 WCT327724 WMP327724 WWL327724 AD393260 JZ393260 TV393260 ADR393260 ANN393260 AXJ393260 BHF393260 BRB393260 CAX393260 CKT393260 CUP393260 DEL393260 DOH393260 DYD393260 EHZ393260 ERV393260 FBR393260 FLN393260 FVJ393260 GFF393260 GPB393260 GYX393260 HIT393260 HSP393260 ICL393260 IMH393260 IWD393260 JFZ393260 JPV393260 JZR393260 KJN393260 KTJ393260 LDF393260 LNB393260 LWX393260 MGT393260 MQP393260 NAL393260 NKH393260 NUD393260 ODZ393260 ONV393260 OXR393260 PHN393260 PRJ393260 QBF393260 QLB393260 QUX393260 RET393260 ROP393260 RYL393260 SIH393260 SSD393260 TBZ393260 TLV393260 TVR393260 UFN393260 UPJ393260 UZF393260 VJB393260 VSX393260 WCT393260 WMP393260 WWL393260 AD458796 JZ458796 TV458796 ADR458796 ANN458796 AXJ458796 BHF458796 BRB458796 CAX458796 CKT458796 CUP458796 DEL458796 DOH458796 DYD458796 EHZ458796 ERV458796 FBR458796 FLN458796 FVJ458796 GFF458796 GPB458796 GYX458796 HIT458796 HSP458796 ICL458796 IMH458796 IWD458796 JFZ458796 JPV458796 JZR458796 KJN458796 KTJ458796 LDF458796 LNB458796 LWX458796 MGT458796 MQP458796 NAL458796 NKH458796 NUD458796 ODZ458796 ONV458796 OXR458796 PHN458796 PRJ458796 QBF458796 QLB458796 QUX458796 RET458796 ROP458796 RYL458796 SIH458796 SSD458796 TBZ458796 TLV458796 TVR458796 UFN458796 UPJ458796 UZF458796 VJB458796 VSX458796 WCT458796 WMP458796 WWL458796 AD524332 JZ524332 TV524332 ADR524332 ANN524332 AXJ524332 BHF524332 BRB524332 CAX524332 CKT524332 CUP524332 DEL524332 DOH524332 DYD524332 EHZ524332 ERV524332 FBR524332 FLN524332 FVJ524332 GFF524332 GPB524332 GYX524332 HIT524332 HSP524332 ICL524332 IMH524332 IWD524332 JFZ524332 JPV524332 JZR524332 KJN524332 KTJ524332 LDF524332 LNB524332 LWX524332 MGT524332 MQP524332 NAL524332 NKH524332 NUD524332 ODZ524332 ONV524332 OXR524332 PHN524332 PRJ524332 QBF524332 QLB524332 QUX524332 RET524332 ROP524332 RYL524332 SIH524332 SSD524332 TBZ524332 TLV524332 TVR524332 UFN524332 UPJ524332 UZF524332 VJB524332 VSX524332 WCT524332 WMP524332 WWL524332 AD589868 JZ589868 TV589868 ADR589868 ANN589868 AXJ589868 BHF589868 BRB589868 CAX589868 CKT589868 CUP589868 DEL589868 DOH589868 DYD589868 EHZ589868 ERV589868 FBR589868 FLN589868 FVJ589868 GFF589868 GPB589868 GYX589868 HIT589868 HSP589868 ICL589868 IMH589868 IWD589868 JFZ589868 JPV589868 JZR589868 KJN589868 KTJ589868 LDF589868 LNB589868 LWX589868 MGT589868 MQP589868 NAL589868 NKH589868 NUD589868 ODZ589868 ONV589868 OXR589868 PHN589868 PRJ589868 QBF589868 QLB589868 QUX589868 RET589868 ROP589868 RYL589868 SIH589868 SSD589868 TBZ589868 TLV589868 TVR589868 UFN589868 UPJ589868 UZF589868 VJB589868 VSX589868 WCT589868 WMP589868 WWL589868 AD655404 JZ655404 TV655404 ADR655404 ANN655404 AXJ655404 BHF655404 BRB655404 CAX655404 CKT655404 CUP655404 DEL655404 DOH655404 DYD655404 EHZ655404 ERV655404 FBR655404 FLN655404 FVJ655404 GFF655404 GPB655404 GYX655404 HIT655404 HSP655404 ICL655404 IMH655404 IWD655404 JFZ655404 JPV655404 JZR655404 KJN655404 KTJ655404 LDF655404 LNB655404 LWX655404 MGT655404 MQP655404 NAL655404 NKH655404 NUD655404 ODZ655404 ONV655404 OXR655404 PHN655404 PRJ655404 QBF655404 QLB655404 QUX655404 RET655404 ROP655404 RYL655404 SIH655404 SSD655404 TBZ655404 TLV655404 TVR655404 UFN655404 UPJ655404 UZF655404 VJB655404 VSX655404 WCT655404 WMP655404 WWL655404 AD720940 JZ720940 TV720940 ADR720940 ANN720940 AXJ720940 BHF720940 BRB720940 CAX720940 CKT720940 CUP720940 DEL720940 DOH720940 DYD720940 EHZ720940 ERV720940 FBR720940 FLN720940 FVJ720940 GFF720940 GPB720940 GYX720940 HIT720940 HSP720940 ICL720940 IMH720940 IWD720940 JFZ720940 JPV720940 JZR720940 KJN720940 KTJ720940 LDF720940 LNB720940 LWX720940 MGT720940 MQP720940 NAL720940 NKH720940 NUD720940 ODZ720940 ONV720940 OXR720940 PHN720940 PRJ720940 QBF720940 QLB720940 QUX720940 RET720940 ROP720940 RYL720940 SIH720940 SSD720940 TBZ720940 TLV720940 TVR720940 UFN720940 UPJ720940 UZF720940 VJB720940 VSX720940 WCT720940 WMP720940 WWL720940 AD786476 JZ786476 TV786476 ADR786476 ANN786476 AXJ786476 BHF786476 BRB786476 CAX786476 CKT786476 CUP786476 DEL786476 DOH786476 DYD786476 EHZ786476 ERV786476 FBR786476 FLN786476 FVJ786476 GFF786476 GPB786476 GYX786476 HIT786476 HSP786476 ICL786476 IMH786476 IWD786476 JFZ786476 JPV786476 JZR786476 KJN786476 KTJ786476 LDF786476 LNB786476 LWX786476 MGT786476 MQP786476 NAL786476 NKH786476 NUD786476 ODZ786476 ONV786476 OXR786476 PHN786476 PRJ786476 QBF786476 QLB786476 QUX786476 RET786476 ROP786476 RYL786476 SIH786476 SSD786476 TBZ786476 TLV786476 TVR786476 UFN786476 UPJ786476 UZF786476 VJB786476 VSX786476 WCT786476 WMP786476 WWL786476 AD852012 JZ852012 TV852012 ADR852012 ANN852012 AXJ852012 BHF852012 BRB852012 CAX852012 CKT852012 CUP852012 DEL852012 DOH852012 DYD852012 EHZ852012 ERV852012 FBR852012 FLN852012 FVJ852012 GFF852012 GPB852012 GYX852012 HIT852012 HSP852012 ICL852012 IMH852012 IWD852012 JFZ852012 JPV852012 JZR852012 KJN852012 KTJ852012 LDF852012 LNB852012 LWX852012 MGT852012 MQP852012 NAL852012 NKH852012 NUD852012 ODZ852012 ONV852012 OXR852012 PHN852012 PRJ852012 QBF852012 QLB852012 QUX852012 RET852012 ROP852012 RYL852012 SIH852012 SSD852012 TBZ852012 TLV852012 TVR852012 UFN852012 UPJ852012 UZF852012 VJB852012 VSX852012 WCT852012 WMP852012 WWL852012 AD917548 JZ917548 TV917548 ADR917548 ANN917548 AXJ917548 BHF917548 BRB917548 CAX917548 CKT917548 CUP917548 DEL917548 DOH917548 DYD917548 EHZ917548 ERV917548 FBR917548 FLN917548 FVJ917548 GFF917548 GPB917548 GYX917548 HIT917548 HSP917548 ICL917548 IMH917548 IWD917548 JFZ917548 JPV917548 JZR917548 KJN917548 KTJ917548 LDF917548 LNB917548 LWX917548 MGT917548 MQP917548 NAL917548 NKH917548 NUD917548 ODZ917548 ONV917548 OXR917548 PHN917548 PRJ917548 QBF917548 QLB917548 QUX917548 RET917548 ROP917548 RYL917548 SIH917548 SSD917548 TBZ917548 TLV917548 TVR917548 UFN917548 UPJ917548 UZF917548 VJB917548 VSX917548 WCT917548 WMP917548 WWL917548 AD983084 JZ983084 TV983084 ADR983084 ANN983084 AXJ983084 BHF983084 BRB983084 CAX983084 CKT983084 CUP983084 DEL983084 DOH983084 DYD983084 EHZ983084 ERV983084 FBR983084 FLN983084 FVJ983084 GFF983084 GPB983084 GYX983084 HIT983084 HSP983084 ICL983084 IMH983084 IWD983084 JFZ983084 JPV983084 JZR983084 KJN983084 KTJ983084 LDF983084 LNB983084 LWX983084 MGT983084 MQP983084 NAL983084 NKH983084 NUD983084 ODZ983084 ONV983084 OXR983084 PHN983084 PRJ983084 QBF983084 QLB983084 QUX983084 RET983084 ROP983084 RYL983084 SIH983084 SSD983084 TBZ983084 TLV983084 TVR983084 UFN983084 UPJ983084 UZF983084 VJB983084 VSX983084 WCT983084 WMP983084 WWL983084 F8:F12 JB8:JB12 SX8:SX12 ACT8:ACT12 AMP8:AMP12 AWL8:AWL12 BGH8:BGH12 BQD8:BQD12 BZZ8:BZZ12 CJV8:CJV12 CTR8:CTR12 DDN8:DDN12 DNJ8:DNJ12 DXF8:DXF12 EHB8:EHB12 EQX8:EQX12 FAT8:FAT12 FKP8:FKP12 FUL8:FUL12 GEH8:GEH12 GOD8:GOD12 GXZ8:GXZ12 HHV8:HHV12 HRR8:HRR12 IBN8:IBN12 ILJ8:ILJ12 IVF8:IVF12 JFB8:JFB12 JOX8:JOX12 JYT8:JYT12 KIP8:KIP12 KSL8:KSL12 LCH8:LCH12 LMD8:LMD12 LVZ8:LVZ12 MFV8:MFV12 MPR8:MPR12 MZN8:MZN12 NJJ8:NJJ12 NTF8:NTF12 ODB8:ODB12 OMX8:OMX12 OWT8:OWT12 PGP8:PGP12 PQL8:PQL12 QAH8:QAH12 QKD8:QKD12 QTZ8:QTZ12 RDV8:RDV12 RNR8:RNR12 RXN8:RXN12 SHJ8:SHJ12 SRF8:SRF12 TBB8:TBB12 TKX8:TKX12 TUT8:TUT12 UEP8:UEP12 UOL8:UOL12 UYH8:UYH12 VID8:VID12 VRZ8:VRZ12 WBV8:WBV12 WLR8:WLR12 WVN8:WVN12 F65544:F65548 JB65544:JB65548 SX65544:SX65548 ACT65544:ACT65548 AMP65544:AMP65548 AWL65544:AWL65548 BGH65544:BGH65548 BQD65544:BQD65548 BZZ65544:BZZ65548 CJV65544:CJV65548 CTR65544:CTR65548 DDN65544:DDN65548 DNJ65544:DNJ65548 DXF65544:DXF65548 EHB65544:EHB65548 EQX65544:EQX65548 FAT65544:FAT65548 FKP65544:FKP65548 FUL65544:FUL65548 GEH65544:GEH65548 GOD65544:GOD65548 GXZ65544:GXZ65548 HHV65544:HHV65548 HRR65544:HRR65548 IBN65544:IBN65548 ILJ65544:ILJ65548 IVF65544:IVF65548 JFB65544:JFB65548 JOX65544:JOX65548 JYT65544:JYT65548 KIP65544:KIP65548 KSL65544:KSL65548 LCH65544:LCH65548 LMD65544:LMD65548 LVZ65544:LVZ65548 MFV65544:MFV65548 MPR65544:MPR65548 MZN65544:MZN65548 NJJ65544:NJJ65548 NTF65544:NTF65548 ODB65544:ODB65548 OMX65544:OMX65548 OWT65544:OWT65548 PGP65544:PGP65548 PQL65544:PQL65548 QAH65544:QAH65548 QKD65544:QKD65548 QTZ65544:QTZ65548 RDV65544:RDV65548 RNR65544:RNR65548 RXN65544:RXN65548 SHJ65544:SHJ65548 SRF65544:SRF65548 TBB65544:TBB65548 TKX65544:TKX65548 TUT65544:TUT65548 UEP65544:UEP65548 UOL65544:UOL65548 UYH65544:UYH65548 VID65544:VID65548 VRZ65544:VRZ65548 WBV65544:WBV65548 WLR65544:WLR65548 WVN65544:WVN65548 F131080:F131084 JB131080:JB131084 SX131080:SX131084 ACT131080:ACT131084 AMP131080:AMP131084 AWL131080:AWL131084 BGH131080:BGH131084 BQD131080:BQD131084 BZZ131080:BZZ131084 CJV131080:CJV131084 CTR131080:CTR131084 DDN131080:DDN131084 DNJ131080:DNJ131084 DXF131080:DXF131084 EHB131080:EHB131084 EQX131080:EQX131084 FAT131080:FAT131084 FKP131080:FKP131084 FUL131080:FUL131084 GEH131080:GEH131084 GOD131080:GOD131084 GXZ131080:GXZ131084 HHV131080:HHV131084 HRR131080:HRR131084 IBN131080:IBN131084 ILJ131080:ILJ131084 IVF131080:IVF131084 JFB131080:JFB131084 JOX131080:JOX131084 JYT131080:JYT131084 KIP131080:KIP131084 KSL131080:KSL131084 LCH131080:LCH131084 LMD131080:LMD131084 LVZ131080:LVZ131084 MFV131080:MFV131084 MPR131080:MPR131084 MZN131080:MZN131084 NJJ131080:NJJ131084 NTF131080:NTF131084 ODB131080:ODB131084 OMX131080:OMX131084 OWT131080:OWT131084 PGP131080:PGP131084 PQL131080:PQL131084 QAH131080:QAH131084 QKD131080:QKD131084 QTZ131080:QTZ131084 RDV131080:RDV131084 RNR131080:RNR131084 RXN131080:RXN131084 SHJ131080:SHJ131084 SRF131080:SRF131084 TBB131080:TBB131084 TKX131080:TKX131084 TUT131080:TUT131084 UEP131080:UEP131084 UOL131080:UOL131084 UYH131080:UYH131084 VID131080:VID131084 VRZ131080:VRZ131084 WBV131080:WBV131084 WLR131080:WLR131084 WVN131080:WVN131084 F196616:F196620 JB196616:JB196620 SX196616:SX196620 ACT196616:ACT196620 AMP196616:AMP196620 AWL196616:AWL196620 BGH196616:BGH196620 BQD196616:BQD196620 BZZ196616:BZZ196620 CJV196616:CJV196620 CTR196616:CTR196620 DDN196616:DDN196620 DNJ196616:DNJ196620 DXF196616:DXF196620 EHB196616:EHB196620 EQX196616:EQX196620 FAT196616:FAT196620 FKP196616:FKP196620 FUL196616:FUL196620 GEH196616:GEH196620 GOD196616:GOD196620 GXZ196616:GXZ196620 HHV196616:HHV196620 HRR196616:HRR196620 IBN196616:IBN196620 ILJ196616:ILJ196620 IVF196616:IVF196620 JFB196616:JFB196620 JOX196616:JOX196620 JYT196616:JYT196620 KIP196616:KIP196620 KSL196616:KSL196620 LCH196616:LCH196620 LMD196616:LMD196620 LVZ196616:LVZ196620 MFV196616:MFV196620 MPR196616:MPR196620 MZN196616:MZN196620 NJJ196616:NJJ196620 NTF196616:NTF196620 ODB196616:ODB196620 OMX196616:OMX196620 OWT196616:OWT196620 PGP196616:PGP196620 PQL196616:PQL196620 QAH196616:QAH196620 QKD196616:QKD196620 QTZ196616:QTZ196620 RDV196616:RDV196620 RNR196616:RNR196620 RXN196616:RXN196620 SHJ196616:SHJ196620 SRF196616:SRF196620 TBB196616:TBB196620 TKX196616:TKX196620 TUT196616:TUT196620 UEP196616:UEP196620 UOL196616:UOL196620 UYH196616:UYH196620 VID196616:VID196620 VRZ196616:VRZ196620 WBV196616:WBV196620 WLR196616:WLR196620 WVN196616:WVN196620 F262152:F262156 JB262152:JB262156 SX262152:SX262156 ACT262152:ACT262156 AMP262152:AMP262156 AWL262152:AWL262156 BGH262152:BGH262156 BQD262152:BQD262156 BZZ262152:BZZ262156 CJV262152:CJV262156 CTR262152:CTR262156 DDN262152:DDN262156 DNJ262152:DNJ262156 DXF262152:DXF262156 EHB262152:EHB262156 EQX262152:EQX262156 FAT262152:FAT262156 FKP262152:FKP262156 FUL262152:FUL262156 GEH262152:GEH262156 GOD262152:GOD262156 GXZ262152:GXZ262156 HHV262152:HHV262156 HRR262152:HRR262156 IBN262152:IBN262156 ILJ262152:ILJ262156 IVF262152:IVF262156 JFB262152:JFB262156 JOX262152:JOX262156 JYT262152:JYT262156 KIP262152:KIP262156 KSL262152:KSL262156 LCH262152:LCH262156 LMD262152:LMD262156 LVZ262152:LVZ262156 MFV262152:MFV262156 MPR262152:MPR262156 MZN262152:MZN262156 NJJ262152:NJJ262156 NTF262152:NTF262156 ODB262152:ODB262156 OMX262152:OMX262156 OWT262152:OWT262156 PGP262152:PGP262156 PQL262152:PQL262156 QAH262152:QAH262156 QKD262152:QKD262156 QTZ262152:QTZ262156 RDV262152:RDV262156 RNR262152:RNR262156 RXN262152:RXN262156 SHJ262152:SHJ262156 SRF262152:SRF262156 TBB262152:TBB262156 TKX262152:TKX262156 TUT262152:TUT262156 UEP262152:UEP262156 UOL262152:UOL262156 UYH262152:UYH262156 VID262152:VID262156 VRZ262152:VRZ262156 WBV262152:WBV262156 WLR262152:WLR262156 WVN262152:WVN262156 F327688:F327692 JB327688:JB327692 SX327688:SX327692 ACT327688:ACT327692 AMP327688:AMP327692 AWL327688:AWL327692 BGH327688:BGH327692 BQD327688:BQD327692 BZZ327688:BZZ327692 CJV327688:CJV327692 CTR327688:CTR327692 DDN327688:DDN327692 DNJ327688:DNJ327692 DXF327688:DXF327692 EHB327688:EHB327692 EQX327688:EQX327692 FAT327688:FAT327692 FKP327688:FKP327692 FUL327688:FUL327692 GEH327688:GEH327692 GOD327688:GOD327692 GXZ327688:GXZ327692 HHV327688:HHV327692 HRR327688:HRR327692 IBN327688:IBN327692 ILJ327688:ILJ327692 IVF327688:IVF327692 JFB327688:JFB327692 JOX327688:JOX327692 JYT327688:JYT327692 KIP327688:KIP327692 KSL327688:KSL327692 LCH327688:LCH327692 LMD327688:LMD327692 LVZ327688:LVZ327692 MFV327688:MFV327692 MPR327688:MPR327692 MZN327688:MZN327692 NJJ327688:NJJ327692 NTF327688:NTF327692 ODB327688:ODB327692 OMX327688:OMX327692 OWT327688:OWT327692 PGP327688:PGP327692 PQL327688:PQL327692 QAH327688:QAH327692 QKD327688:QKD327692 QTZ327688:QTZ327692 RDV327688:RDV327692 RNR327688:RNR327692 RXN327688:RXN327692 SHJ327688:SHJ327692 SRF327688:SRF327692 TBB327688:TBB327692 TKX327688:TKX327692 TUT327688:TUT327692 UEP327688:UEP327692 UOL327688:UOL327692 UYH327688:UYH327692 VID327688:VID327692 VRZ327688:VRZ327692 WBV327688:WBV327692 WLR327688:WLR327692 WVN327688:WVN327692 F393224:F393228 JB393224:JB393228 SX393224:SX393228 ACT393224:ACT393228 AMP393224:AMP393228 AWL393224:AWL393228 BGH393224:BGH393228 BQD393224:BQD393228 BZZ393224:BZZ393228 CJV393224:CJV393228 CTR393224:CTR393228 DDN393224:DDN393228 DNJ393224:DNJ393228 DXF393224:DXF393228 EHB393224:EHB393228 EQX393224:EQX393228 FAT393224:FAT393228 FKP393224:FKP393228 FUL393224:FUL393228 GEH393224:GEH393228 GOD393224:GOD393228 GXZ393224:GXZ393228 HHV393224:HHV393228 HRR393224:HRR393228 IBN393224:IBN393228 ILJ393224:ILJ393228 IVF393224:IVF393228 JFB393224:JFB393228 JOX393224:JOX393228 JYT393224:JYT393228 KIP393224:KIP393228 KSL393224:KSL393228 LCH393224:LCH393228 LMD393224:LMD393228 LVZ393224:LVZ393228 MFV393224:MFV393228 MPR393224:MPR393228 MZN393224:MZN393228 NJJ393224:NJJ393228 NTF393224:NTF393228 ODB393224:ODB393228 OMX393224:OMX393228 OWT393224:OWT393228 PGP393224:PGP393228 PQL393224:PQL393228 QAH393224:QAH393228 QKD393224:QKD393228 QTZ393224:QTZ393228 RDV393224:RDV393228 RNR393224:RNR393228 RXN393224:RXN393228 SHJ393224:SHJ393228 SRF393224:SRF393228 TBB393224:TBB393228 TKX393224:TKX393228 TUT393224:TUT393228 UEP393224:UEP393228 UOL393224:UOL393228 UYH393224:UYH393228 VID393224:VID393228 VRZ393224:VRZ393228 WBV393224:WBV393228 WLR393224:WLR393228 WVN393224:WVN393228 F458760:F458764 JB458760:JB458764 SX458760:SX458764 ACT458760:ACT458764 AMP458760:AMP458764 AWL458760:AWL458764 BGH458760:BGH458764 BQD458760:BQD458764 BZZ458760:BZZ458764 CJV458760:CJV458764 CTR458760:CTR458764 DDN458760:DDN458764 DNJ458760:DNJ458764 DXF458760:DXF458764 EHB458760:EHB458764 EQX458760:EQX458764 FAT458760:FAT458764 FKP458760:FKP458764 FUL458760:FUL458764 GEH458760:GEH458764 GOD458760:GOD458764 GXZ458760:GXZ458764 HHV458760:HHV458764 HRR458760:HRR458764 IBN458760:IBN458764 ILJ458760:ILJ458764 IVF458760:IVF458764 JFB458760:JFB458764 JOX458760:JOX458764 JYT458760:JYT458764 KIP458760:KIP458764 KSL458760:KSL458764 LCH458760:LCH458764 LMD458760:LMD458764 LVZ458760:LVZ458764 MFV458760:MFV458764 MPR458760:MPR458764 MZN458760:MZN458764 NJJ458760:NJJ458764 NTF458760:NTF458764 ODB458760:ODB458764 OMX458760:OMX458764 OWT458760:OWT458764 PGP458760:PGP458764 PQL458760:PQL458764 QAH458760:QAH458764 QKD458760:QKD458764 QTZ458760:QTZ458764 RDV458760:RDV458764 RNR458760:RNR458764 RXN458760:RXN458764 SHJ458760:SHJ458764 SRF458760:SRF458764 TBB458760:TBB458764 TKX458760:TKX458764 TUT458760:TUT458764 UEP458760:UEP458764 UOL458760:UOL458764 UYH458760:UYH458764 VID458760:VID458764 VRZ458760:VRZ458764 WBV458760:WBV458764 WLR458760:WLR458764 WVN458760:WVN458764 F524296:F524300 JB524296:JB524300 SX524296:SX524300 ACT524296:ACT524300 AMP524296:AMP524300 AWL524296:AWL524300 BGH524296:BGH524300 BQD524296:BQD524300 BZZ524296:BZZ524300 CJV524296:CJV524300 CTR524296:CTR524300 DDN524296:DDN524300 DNJ524296:DNJ524300 DXF524296:DXF524300 EHB524296:EHB524300 EQX524296:EQX524300 FAT524296:FAT524300 FKP524296:FKP524300 FUL524296:FUL524300 GEH524296:GEH524300 GOD524296:GOD524300 GXZ524296:GXZ524300 HHV524296:HHV524300 HRR524296:HRR524300 IBN524296:IBN524300 ILJ524296:ILJ524300 IVF524296:IVF524300 JFB524296:JFB524300 JOX524296:JOX524300 JYT524296:JYT524300 KIP524296:KIP524300 KSL524296:KSL524300 LCH524296:LCH524300 LMD524296:LMD524300 LVZ524296:LVZ524300 MFV524296:MFV524300 MPR524296:MPR524300 MZN524296:MZN524300 NJJ524296:NJJ524300 NTF524296:NTF524300 ODB524296:ODB524300 OMX524296:OMX524300 OWT524296:OWT524300 PGP524296:PGP524300 PQL524296:PQL524300 QAH524296:QAH524300 QKD524296:QKD524300 QTZ524296:QTZ524300 RDV524296:RDV524300 RNR524296:RNR524300 RXN524296:RXN524300 SHJ524296:SHJ524300 SRF524296:SRF524300 TBB524296:TBB524300 TKX524296:TKX524300 TUT524296:TUT524300 UEP524296:UEP524300 UOL524296:UOL524300 UYH524296:UYH524300 VID524296:VID524300 VRZ524296:VRZ524300 WBV524296:WBV524300 WLR524296:WLR524300 WVN524296:WVN524300 F589832:F589836 JB589832:JB589836 SX589832:SX589836 ACT589832:ACT589836 AMP589832:AMP589836 AWL589832:AWL589836 BGH589832:BGH589836 BQD589832:BQD589836 BZZ589832:BZZ589836 CJV589832:CJV589836 CTR589832:CTR589836 DDN589832:DDN589836 DNJ589832:DNJ589836 DXF589832:DXF589836 EHB589832:EHB589836 EQX589832:EQX589836 FAT589832:FAT589836 FKP589832:FKP589836 FUL589832:FUL589836 GEH589832:GEH589836 GOD589832:GOD589836 GXZ589832:GXZ589836 HHV589832:HHV589836 HRR589832:HRR589836 IBN589832:IBN589836 ILJ589832:ILJ589836 IVF589832:IVF589836 JFB589832:JFB589836 JOX589832:JOX589836 JYT589832:JYT589836 KIP589832:KIP589836 KSL589832:KSL589836 LCH589832:LCH589836 LMD589832:LMD589836 LVZ589832:LVZ589836 MFV589832:MFV589836 MPR589832:MPR589836 MZN589832:MZN589836 NJJ589832:NJJ589836 NTF589832:NTF589836 ODB589832:ODB589836 OMX589832:OMX589836 OWT589832:OWT589836 PGP589832:PGP589836 PQL589832:PQL589836 QAH589832:QAH589836 QKD589832:QKD589836 QTZ589832:QTZ589836 RDV589832:RDV589836 RNR589832:RNR589836 RXN589832:RXN589836 SHJ589832:SHJ589836 SRF589832:SRF589836 TBB589832:TBB589836 TKX589832:TKX589836 TUT589832:TUT589836 UEP589832:UEP589836 UOL589832:UOL589836 UYH589832:UYH589836 VID589832:VID589836 VRZ589832:VRZ589836 WBV589832:WBV589836 WLR589832:WLR589836 WVN589832:WVN589836 F655368:F655372 JB655368:JB655372 SX655368:SX655372 ACT655368:ACT655372 AMP655368:AMP655372 AWL655368:AWL655372 BGH655368:BGH655372 BQD655368:BQD655372 BZZ655368:BZZ655372 CJV655368:CJV655372 CTR655368:CTR655372 DDN655368:DDN655372 DNJ655368:DNJ655372 DXF655368:DXF655372 EHB655368:EHB655372 EQX655368:EQX655372 FAT655368:FAT655372 FKP655368:FKP655372 FUL655368:FUL655372 GEH655368:GEH655372 GOD655368:GOD655372 GXZ655368:GXZ655372 HHV655368:HHV655372 HRR655368:HRR655372 IBN655368:IBN655372 ILJ655368:ILJ655372 IVF655368:IVF655372 JFB655368:JFB655372 JOX655368:JOX655372 JYT655368:JYT655372 KIP655368:KIP655372 KSL655368:KSL655372 LCH655368:LCH655372 LMD655368:LMD655372 LVZ655368:LVZ655372 MFV655368:MFV655372 MPR655368:MPR655372 MZN655368:MZN655372 NJJ655368:NJJ655372 NTF655368:NTF655372 ODB655368:ODB655372 OMX655368:OMX655372 OWT655368:OWT655372 PGP655368:PGP655372 PQL655368:PQL655372 QAH655368:QAH655372 QKD655368:QKD655372 QTZ655368:QTZ655372 RDV655368:RDV655372 RNR655368:RNR655372 RXN655368:RXN655372 SHJ655368:SHJ655372 SRF655368:SRF655372 TBB655368:TBB655372 TKX655368:TKX655372 TUT655368:TUT655372 UEP655368:UEP655372 UOL655368:UOL655372 UYH655368:UYH655372 VID655368:VID655372 VRZ655368:VRZ655372 WBV655368:WBV655372 WLR655368:WLR655372 WVN655368:WVN655372 F720904:F720908 JB720904:JB720908 SX720904:SX720908 ACT720904:ACT720908 AMP720904:AMP720908 AWL720904:AWL720908 BGH720904:BGH720908 BQD720904:BQD720908 BZZ720904:BZZ720908 CJV720904:CJV720908 CTR720904:CTR720908 DDN720904:DDN720908 DNJ720904:DNJ720908 DXF720904:DXF720908 EHB720904:EHB720908 EQX720904:EQX720908 FAT720904:FAT720908 FKP720904:FKP720908 FUL720904:FUL720908 GEH720904:GEH720908 GOD720904:GOD720908 GXZ720904:GXZ720908 HHV720904:HHV720908 HRR720904:HRR720908 IBN720904:IBN720908 ILJ720904:ILJ720908 IVF720904:IVF720908 JFB720904:JFB720908 JOX720904:JOX720908 JYT720904:JYT720908 KIP720904:KIP720908 KSL720904:KSL720908 LCH720904:LCH720908 LMD720904:LMD720908 LVZ720904:LVZ720908 MFV720904:MFV720908 MPR720904:MPR720908 MZN720904:MZN720908 NJJ720904:NJJ720908 NTF720904:NTF720908 ODB720904:ODB720908 OMX720904:OMX720908 OWT720904:OWT720908 PGP720904:PGP720908 PQL720904:PQL720908 QAH720904:QAH720908 QKD720904:QKD720908 QTZ720904:QTZ720908 RDV720904:RDV720908 RNR720904:RNR720908 RXN720904:RXN720908 SHJ720904:SHJ720908 SRF720904:SRF720908 TBB720904:TBB720908 TKX720904:TKX720908 TUT720904:TUT720908 UEP720904:UEP720908 UOL720904:UOL720908 UYH720904:UYH720908 VID720904:VID720908 VRZ720904:VRZ720908 WBV720904:WBV720908 WLR720904:WLR720908 WVN720904:WVN720908 F786440:F786444 JB786440:JB786444 SX786440:SX786444 ACT786440:ACT786444 AMP786440:AMP786444 AWL786440:AWL786444 BGH786440:BGH786444 BQD786440:BQD786444 BZZ786440:BZZ786444 CJV786440:CJV786444 CTR786440:CTR786444 DDN786440:DDN786444 DNJ786440:DNJ786444 DXF786440:DXF786444 EHB786440:EHB786444 EQX786440:EQX786444 FAT786440:FAT786444 FKP786440:FKP786444 FUL786440:FUL786444 GEH786440:GEH786444 GOD786440:GOD786444 GXZ786440:GXZ786444 HHV786440:HHV786444 HRR786440:HRR786444 IBN786440:IBN786444 ILJ786440:ILJ786444 IVF786440:IVF786444 JFB786440:JFB786444 JOX786440:JOX786444 JYT786440:JYT786444 KIP786440:KIP786444 KSL786440:KSL786444 LCH786440:LCH786444 LMD786440:LMD786444 LVZ786440:LVZ786444 MFV786440:MFV786444 MPR786440:MPR786444 MZN786440:MZN786444 NJJ786440:NJJ786444 NTF786440:NTF786444 ODB786440:ODB786444 OMX786440:OMX786444 OWT786440:OWT786444 PGP786440:PGP786444 PQL786440:PQL786444 QAH786440:QAH786444 QKD786440:QKD786444 QTZ786440:QTZ786444 RDV786440:RDV786444 RNR786440:RNR786444 RXN786440:RXN786444 SHJ786440:SHJ786444 SRF786440:SRF786444 TBB786440:TBB786444 TKX786440:TKX786444 TUT786440:TUT786444 UEP786440:UEP786444 UOL786440:UOL786444 UYH786440:UYH786444 VID786440:VID786444 VRZ786440:VRZ786444 WBV786440:WBV786444 WLR786440:WLR786444 WVN786440:WVN786444 F851976:F851980 JB851976:JB851980 SX851976:SX851980 ACT851976:ACT851980 AMP851976:AMP851980 AWL851976:AWL851980 BGH851976:BGH851980 BQD851976:BQD851980 BZZ851976:BZZ851980 CJV851976:CJV851980 CTR851976:CTR851980 DDN851976:DDN851980 DNJ851976:DNJ851980 DXF851976:DXF851980 EHB851976:EHB851980 EQX851976:EQX851980 FAT851976:FAT851980 FKP851976:FKP851980 FUL851976:FUL851980 GEH851976:GEH851980 GOD851976:GOD851980 GXZ851976:GXZ851980 HHV851976:HHV851980 HRR851976:HRR851980 IBN851976:IBN851980 ILJ851976:ILJ851980 IVF851976:IVF851980 JFB851976:JFB851980 JOX851976:JOX851980 JYT851976:JYT851980 KIP851976:KIP851980 KSL851976:KSL851980 LCH851976:LCH851980 LMD851976:LMD851980 LVZ851976:LVZ851980 MFV851976:MFV851980 MPR851976:MPR851980 MZN851976:MZN851980 NJJ851976:NJJ851980 NTF851976:NTF851980 ODB851976:ODB851980 OMX851976:OMX851980 OWT851976:OWT851980 PGP851976:PGP851980 PQL851976:PQL851980 QAH851976:QAH851980 QKD851976:QKD851980 QTZ851976:QTZ851980 RDV851976:RDV851980 RNR851976:RNR851980 RXN851976:RXN851980 SHJ851976:SHJ851980 SRF851976:SRF851980 TBB851976:TBB851980 TKX851976:TKX851980 TUT851976:TUT851980 UEP851976:UEP851980 UOL851976:UOL851980 UYH851976:UYH851980 VID851976:VID851980 VRZ851976:VRZ851980 WBV851976:WBV851980 WLR851976:WLR851980 WVN851976:WVN851980 F917512:F917516 JB917512:JB917516 SX917512:SX917516 ACT917512:ACT917516 AMP917512:AMP917516 AWL917512:AWL917516 BGH917512:BGH917516 BQD917512:BQD917516 BZZ917512:BZZ917516 CJV917512:CJV917516 CTR917512:CTR917516 DDN917512:DDN917516 DNJ917512:DNJ917516 DXF917512:DXF917516 EHB917512:EHB917516 EQX917512:EQX917516 FAT917512:FAT917516 FKP917512:FKP917516 FUL917512:FUL917516 GEH917512:GEH917516 GOD917512:GOD917516 GXZ917512:GXZ917516 HHV917512:HHV917516 HRR917512:HRR917516 IBN917512:IBN917516 ILJ917512:ILJ917516 IVF917512:IVF917516 JFB917512:JFB917516 JOX917512:JOX917516 JYT917512:JYT917516 KIP917512:KIP917516 KSL917512:KSL917516 LCH917512:LCH917516 LMD917512:LMD917516 LVZ917512:LVZ917516 MFV917512:MFV917516 MPR917512:MPR917516 MZN917512:MZN917516 NJJ917512:NJJ917516 NTF917512:NTF917516 ODB917512:ODB917516 OMX917512:OMX917516 OWT917512:OWT917516 PGP917512:PGP917516 PQL917512:PQL917516 QAH917512:QAH917516 QKD917512:QKD917516 QTZ917512:QTZ917516 RDV917512:RDV917516 RNR917512:RNR917516 RXN917512:RXN917516 SHJ917512:SHJ917516 SRF917512:SRF917516 TBB917512:TBB917516 TKX917512:TKX917516 TUT917512:TUT917516 UEP917512:UEP917516 UOL917512:UOL917516 UYH917512:UYH917516 VID917512:VID917516 VRZ917512:VRZ917516 WBV917512:WBV917516 WLR917512:WLR917516 WVN917512:WVN917516 F983048:F983052 JB983048:JB983052 SX983048:SX983052 ACT983048:ACT983052 AMP983048:AMP983052 AWL983048:AWL983052 BGH983048:BGH983052 BQD983048:BQD983052 BZZ983048:BZZ983052 CJV983048:CJV983052 CTR983048:CTR983052 DDN983048:DDN983052 DNJ983048:DNJ983052 DXF983048:DXF983052 EHB983048:EHB983052 EQX983048:EQX983052 FAT983048:FAT983052 FKP983048:FKP983052 FUL983048:FUL983052 GEH983048:GEH983052 GOD983048:GOD983052 GXZ983048:GXZ983052 HHV983048:HHV983052 HRR983048:HRR983052 IBN983048:IBN983052 ILJ983048:ILJ983052 IVF983048:IVF983052 JFB983048:JFB983052 JOX983048:JOX983052 JYT983048:JYT983052 KIP983048:KIP983052 KSL983048:KSL983052 LCH983048:LCH983052 LMD983048:LMD983052 LVZ983048:LVZ983052 MFV983048:MFV983052 MPR983048:MPR983052 MZN983048:MZN983052 NJJ983048:NJJ983052 NTF983048:NTF983052 ODB983048:ODB983052 OMX983048:OMX983052 OWT983048:OWT983052 PGP983048:PGP983052 PQL983048:PQL983052 QAH983048:QAH983052 QKD983048:QKD983052 QTZ983048:QTZ983052 RDV983048:RDV983052 RNR983048:RNR983052 RXN983048:RXN983052 SHJ983048:SHJ983052 SRF983048:SRF983052 TBB983048:TBB983052 TKX983048:TKX983052 TUT983048:TUT983052 UEP983048:UEP983052 UOL983048:UOL983052 UYH983048:UYH983052 VID983048:VID983052 VRZ983048:VRZ983052 WBV983048:WBV983052 WLR983048:WLR983052 WVN983048:WVN983052 R9:R12 JN9:JN12 TJ9:TJ12 ADF9:ADF12 ANB9:ANB12 AWX9:AWX12 BGT9:BGT12 BQP9:BQP12 CAL9:CAL12 CKH9:CKH12 CUD9:CUD12 DDZ9:DDZ12 DNV9:DNV12 DXR9:DXR12 EHN9:EHN12 ERJ9:ERJ12 FBF9:FBF12 FLB9:FLB12 FUX9:FUX12 GET9:GET12 GOP9:GOP12 GYL9:GYL12 HIH9:HIH12 HSD9:HSD12 IBZ9:IBZ12 ILV9:ILV12 IVR9:IVR12 JFN9:JFN12 JPJ9:JPJ12 JZF9:JZF12 KJB9:KJB12 KSX9:KSX12 LCT9:LCT12 LMP9:LMP12 LWL9:LWL12 MGH9:MGH12 MQD9:MQD12 MZZ9:MZZ12 NJV9:NJV12 NTR9:NTR12 ODN9:ODN12 ONJ9:ONJ12 OXF9:OXF12 PHB9:PHB12 PQX9:PQX12 QAT9:QAT12 QKP9:QKP12 QUL9:QUL12 REH9:REH12 ROD9:ROD12 RXZ9:RXZ12 SHV9:SHV12 SRR9:SRR12 TBN9:TBN12 TLJ9:TLJ12 TVF9:TVF12 UFB9:UFB12 UOX9:UOX12 UYT9:UYT12 VIP9:VIP12 VSL9:VSL12 WCH9:WCH12 WMD9:WMD12 WVZ9:WVZ12 R65545:R65548 JN65545:JN65548 TJ65545:TJ65548 ADF65545:ADF65548 ANB65545:ANB65548 AWX65545:AWX65548 BGT65545:BGT65548 BQP65545:BQP65548 CAL65545:CAL65548 CKH65545:CKH65548 CUD65545:CUD65548 DDZ65545:DDZ65548 DNV65545:DNV65548 DXR65545:DXR65548 EHN65545:EHN65548 ERJ65545:ERJ65548 FBF65545:FBF65548 FLB65545:FLB65548 FUX65545:FUX65548 GET65545:GET65548 GOP65545:GOP65548 GYL65545:GYL65548 HIH65545:HIH65548 HSD65545:HSD65548 IBZ65545:IBZ65548 ILV65545:ILV65548 IVR65545:IVR65548 JFN65545:JFN65548 JPJ65545:JPJ65548 JZF65545:JZF65548 KJB65545:KJB65548 KSX65545:KSX65548 LCT65545:LCT65548 LMP65545:LMP65548 LWL65545:LWL65548 MGH65545:MGH65548 MQD65545:MQD65548 MZZ65545:MZZ65548 NJV65545:NJV65548 NTR65545:NTR65548 ODN65545:ODN65548 ONJ65545:ONJ65548 OXF65545:OXF65548 PHB65545:PHB65548 PQX65545:PQX65548 QAT65545:QAT65548 QKP65545:QKP65548 QUL65545:QUL65548 REH65545:REH65548 ROD65545:ROD65548 RXZ65545:RXZ65548 SHV65545:SHV65548 SRR65545:SRR65548 TBN65545:TBN65548 TLJ65545:TLJ65548 TVF65545:TVF65548 UFB65545:UFB65548 UOX65545:UOX65548 UYT65545:UYT65548 VIP65545:VIP65548 VSL65545:VSL65548 WCH65545:WCH65548 WMD65545:WMD65548 WVZ65545:WVZ65548 R131081:R131084 JN131081:JN131084 TJ131081:TJ131084 ADF131081:ADF131084 ANB131081:ANB131084 AWX131081:AWX131084 BGT131081:BGT131084 BQP131081:BQP131084 CAL131081:CAL131084 CKH131081:CKH131084 CUD131081:CUD131084 DDZ131081:DDZ131084 DNV131081:DNV131084 DXR131081:DXR131084 EHN131081:EHN131084 ERJ131081:ERJ131084 FBF131081:FBF131084 FLB131081:FLB131084 FUX131081:FUX131084 GET131081:GET131084 GOP131081:GOP131084 GYL131081:GYL131084 HIH131081:HIH131084 HSD131081:HSD131084 IBZ131081:IBZ131084 ILV131081:ILV131084 IVR131081:IVR131084 JFN131081:JFN131084 JPJ131081:JPJ131084 JZF131081:JZF131084 KJB131081:KJB131084 KSX131081:KSX131084 LCT131081:LCT131084 LMP131081:LMP131084 LWL131081:LWL131084 MGH131081:MGH131084 MQD131081:MQD131084 MZZ131081:MZZ131084 NJV131081:NJV131084 NTR131081:NTR131084 ODN131081:ODN131084 ONJ131081:ONJ131084 OXF131081:OXF131084 PHB131081:PHB131084 PQX131081:PQX131084 QAT131081:QAT131084 QKP131081:QKP131084 QUL131081:QUL131084 REH131081:REH131084 ROD131081:ROD131084 RXZ131081:RXZ131084 SHV131081:SHV131084 SRR131081:SRR131084 TBN131081:TBN131084 TLJ131081:TLJ131084 TVF131081:TVF131084 UFB131081:UFB131084 UOX131081:UOX131084 UYT131081:UYT131084 VIP131081:VIP131084 VSL131081:VSL131084 WCH131081:WCH131084 WMD131081:WMD131084 WVZ131081:WVZ131084 R196617:R196620 JN196617:JN196620 TJ196617:TJ196620 ADF196617:ADF196620 ANB196617:ANB196620 AWX196617:AWX196620 BGT196617:BGT196620 BQP196617:BQP196620 CAL196617:CAL196620 CKH196617:CKH196620 CUD196617:CUD196620 DDZ196617:DDZ196620 DNV196617:DNV196620 DXR196617:DXR196620 EHN196617:EHN196620 ERJ196617:ERJ196620 FBF196617:FBF196620 FLB196617:FLB196620 FUX196617:FUX196620 GET196617:GET196620 GOP196617:GOP196620 GYL196617:GYL196620 HIH196617:HIH196620 HSD196617:HSD196620 IBZ196617:IBZ196620 ILV196617:ILV196620 IVR196617:IVR196620 JFN196617:JFN196620 JPJ196617:JPJ196620 JZF196617:JZF196620 KJB196617:KJB196620 KSX196617:KSX196620 LCT196617:LCT196620 LMP196617:LMP196620 LWL196617:LWL196620 MGH196617:MGH196620 MQD196617:MQD196620 MZZ196617:MZZ196620 NJV196617:NJV196620 NTR196617:NTR196620 ODN196617:ODN196620 ONJ196617:ONJ196620 OXF196617:OXF196620 PHB196617:PHB196620 PQX196617:PQX196620 QAT196617:QAT196620 QKP196617:QKP196620 QUL196617:QUL196620 REH196617:REH196620 ROD196617:ROD196620 RXZ196617:RXZ196620 SHV196617:SHV196620 SRR196617:SRR196620 TBN196617:TBN196620 TLJ196617:TLJ196620 TVF196617:TVF196620 UFB196617:UFB196620 UOX196617:UOX196620 UYT196617:UYT196620 VIP196617:VIP196620 VSL196617:VSL196620 WCH196617:WCH196620 WMD196617:WMD196620 WVZ196617:WVZ196620 R262153:R262156 JN262153:JN262156 TJ262153:TJ262156 ADF262153:ADF262156 ANB262153:ANB262156 AWX262153:AWX262156 BGT262153:BGT262156 BQP262153:BQP262156 CAL262153:CAL262156 CKH262153:CKH262156 CUD262153:CUD262156 DDZ262153:DDZ262156 DNV262153:DNV262156 DXR262153:DXR262156 EHN262153:EHN262156 ERJ262153:ERJ262156 FBF262153:FBF262156 FLB262153:FLB262156 FUX262153:FUX262156 GET262153:GET262156 GOP262153:GOP262156 GYL262153:GYL262156 HIH262153:HIH262156 HSD262153:HSD262156 IBZ262153:IBZ262156 ILV262153:ILV262156 IVR262153:IVR262156 JFN262153:JFN262156 JPJ262153:JPJ262156 JZF262153:JZF262156 KJB262153:KJB262156 KSX262153:KSX262156 LCT262153:LCT262156 LMP262153:LMP262156 LWL262153:LWL262156 MGH262153:MGH262156 MQD262153:MQD262156 MZZ262153:MZZ262156 NJV262153:NJV262156 NTR262153:NTR262156 ODN262153:ODN262156 ONJ262153:ONJ262156 OXF262153:OXF262156 PHB262153:PHB262156 PQX262153:PQX262156 QAT262153:QAT262156 QKP262153:QKP262156 QUL262153:QUL262156 REH262153:REH262156 ROD262153:ROD262156 RXZ262153:RXZ262156 SHV262153:SHV262156 SRR262153:SRR262156 TBN262153:TBN262156 TLJ262153:TLJ262156 TVF262153:TVF262156 UFB262153:UFB262156 UOX262153:UOX262156 UYT262153:UYT262156 VIP262153:VIP262156 VSL262153:VSL262156 WCH262153:WCH262156 WMD262153:WMD262156 WVZ262153:WVZ262156 R327689:R327692 JN327689:JN327692 TJ327689:TJ327692 ADF327689:ADF327692 ANB327689:ANB327692 AWX327689:AWX327692 BGT327689:BGT327692 BQP327689:BQP327692 CAL327689:CAL327692 CKH327689:CKH327692 CUD327689:CUD327692 DDZ327689:DDZ327692 DNV327689:DNV327692 DXR327689:DXR327692 EHN327689:EHN327692 ERJ327689:ERJ327692 FBF327689:FBF327692 FLB327689:FLB327692 FUX327689:FUX327692 GET327689:GET327692 GOP327689:GOP327692 GYL327689:GYL327692 HIH327689:HIH327692 HSD327689:HSD327692 IBZ327689:IBZ327692 ILV327689:ILV327692 IVR327689:IVR327692 JFN327689:JFN327692 JPJ327689:JPJ327692 JZF327689:JZF327692 KJB327689:KJB327692 KSX327689:KSX327692 LCT327689:LCT327692 LMP327689:LMP327692 LWL327689:LWL327692 MGH327689:MGH327692 MQD327689:MQD327692 MZZ327689:MZZ327692 NJV327689:NJV327692 NTR327689:NTR327692 ODN327689:ODN327692 ONJ327689:ONJ327692 OXF327689:OXF327692 PHB327689:PHB327692 PQX327689:PQX327692 QAT327689:QAT327692 QKP327689:QKP327692 QUL327689:QUL327692 REH327689:REH327692 ROD327689:ROD327692 RXZ327689:RXZ327692 SHV327689:SHV327692 SRR327689:SRR327692 TBN327689:TBN327692 TLJ327689:TLJ327692 TVF327689:TVF327692 UFB327689:UFB327692 UOX327689:UOX327692 UYT327689:UYT327692 VIP327689:VIP327692 VSL327689:VSL327692 WCH327689:WCH327692 WMD327689:WMD327692 WVZ327689:WVZ327692 R393225:R393228 JN393225:JN393228 TJ393225:TJ393228 ADF393225:ADF393228 ANB393225:ANB393228 AWX393225:AWX393228 BGT393225:BGT393228 BQP393225:BQP393228 CAL393225:CAL393228 CKH393225:CKH393228 CUD393225:CUD393228 DDZ393225:DDZ393228 DNV393225:DNV393228 DXR393225:DXR393228 EHN393225:EHN393228 ERJ393225:ERJ393228 FBF393225:FBF393228 FLB393225:FLB393228 FUX393225:FUX393228 GET393225:GET393228 GOP393225:GOP393228 GYL393225:GYL393228 HIH393225:HIH393228 HSD393225:HSD393228 IBZ393225:IBZ393228 ILV393225:ILV393228 IVR393225:IVR393228 JFN393225:JFN393228 JPJ393225:JPJ393228 JZF393225:JZF393228 KJB393225:KJB393228 KSX393225:KSX393228 LCT393225:LCT393228 LMP393225:LMP393228 LWL393225:LWL393228 MGH393225:MGH393228 MQD393225:MQD393228 MZZ393225:MZZ393228 NJV393225:NJV393228 NTR393225:NTR393228 ODN393225:ODN393228 ONJ393225:ONJ393228 OXF393225:OXF393228 PHB393225:PHB393228 PQX393225:PQX393228 QAT393225:QAT393228 QKP393225:QKP393228 QUL393225:QUL393228 REH393225:REH393228 ROD393225:ROD393228 RXZ393225:RXZ393228 SHV393225:SHV393228 SRR393225:SRR393228 TBN393225:TBN393228 TLJ393225:TLJ393228 TVF393225:TVF393228 UFB393225:UFB393228 UOX393225:UOX393228 UYT393225:UYT393228 VIP393225:VIP393228 VSL393225:VSL393228 WCH393225:WCH393228 WMD393225:WMD393228 WVZ393225:WVZ393228 R458761:R458764 JN458761:JN458764 TJ458761:TJ458764 ADF458761:ADF458764 ANB458761:ANB458764 AWX458761:AWX458764 BGT458761:BGT458764 BQP458761:BQP458764 CAL458761:CAL458764 CKH458761:CKH458764 CUD458761:CUD458764 DDZ458761:DDZ458764 DNV458761:DNV458764 DXR458761:DXR458764 EHN458761:EHN458764 ERJ458761:ERJ458764 FBF458761:FBF458764 FLB458761:FLB458764 FUX458761:FUX458764 GET458761:GET458764 GOP458761:GOP458764 GYL458761:GYL458764 HIH458761:HIH458764 HSD458761:HSD458764 IBZ458761:IBZ458764 ILV458761:ILV458764 IVR458761:IVR458764 JFN458761:JFN458764 JPJ458761:JPJ458764 JZF458761:JZF458764 KJB458761:KJB458764 KSX458761:KSX458764 LCT458761:LCT458764 LMP458761:LMP458764 LWL458761:LWL458764 MGH458761:MGH458764 MQD458761:MQD458764 MZZ458761:MZZ458764 NJV458761:NJV458764 NTR458761:NTR458764 ODN458761:ODN458764 ONJ458761:ONJ458764 OXF458761:OXF458764 PHB458761:PHB458764 PQX458761:PQX458764 QAT458761:QAT458764 QKP458761:QKP458764 QUL458761:QUL458764 REH458761:REH458764 ROD458761:ROD458764 RXZ458761:RXZ458764 SHV458761:SHV458764 SRR458761:SRR458764 TBN458761:TBN458764 TLJ458761:TLJ458764 TVF458761:TVF458764 UFB458761:UFB458764 UOX458761:UOX458764 UYT458761:UYT458764 VIP458761:VIP458764 VSL458761:VSL458764 WCH458761:WCH458764 WMD458761:WMD458764 WVZ458761:WVZ458764 R524297:R524300 JN524297:JN524300 TJ524297:TJ524300 ADF524297:ADF524300 ANB524297:ANB524300 AWX524297:AWX524300 BGT524297:BGT524300 BQP524297:BQP524300 CAL524297:CAL524300 CKH524297:CKH524300 CUD524297:CUD524300 DDZ524297:DDZ524300 DNV524297:DNV524300 DXR524297:DXR524300 EHN524297:EHN524300 ERJ524297:ERJ524300 FBF524297:FBF524300 FLB524297:FLB524300 FUX524297:FUX524300 GET524297:GET524300 GOP524297:GOP524300 GYL524297:GYL524300 HIH524297:HIH524300 HSD524297:HSD524300 IBZ524297:IBZ524300 ILV524297:ILV524300 IVR524297:IVR524300 JFN524297:JFN524300 JPJ524297:JPJ524300 JZF524297:JZF524300 KJB524297:KJB524300 KSX524297:KSX524300 LCT524297:LCT524300 LMP524297:LMP524300 LWL524297:LWL524300 MGH524297:MGH524300 MQD524297:MQD524300 MZZ524297:MZZ524300 NJV524297:NJV524300 NTR524297:NTR524300 ODN524297:ODN524300 ONJ524297:ONJ524300 OXF524297:OXF524300 PHB524297:PHB524300 PQX524297:PQX524300 QAT524297:QAT524300 QKP524297:QKP524300 QUL524297:QUL524300 REH524297:REH524300 ROD524297:ROD524300 RXZ524297:RXZ524300 SHV524297:SHV524300 SRR524297:SRR524300 TBN524297:TBN524300 TLJ524297:TLJ524300 TVF524297:TVF524300 UFB524297:UFB524300 UOX524297:UOX524300 UYT524297:UYT524300 VIP524297:VIP524300 VSL524297:VSL524300 WCH524297:WCH524300 WMD524297:WMD524300 WVZ524297:WVZ524300 R589833:R589836 JN589833:JN589836 TJ589833:TJ589836 ADF589833:ADF589836 ANB589833:ANB589836 AWX589833:AWX589836 BGT589833:BGT589836 BQP589833:BQP589836 CAL589833:CAL589836 CKH589833:CKH589836 CUD589833:CUD589836 DDZ589833:DDZ589836 DNV589833:DNV589836 DXR589833:DXR589836 EHN589833:EHN589836 ERJ589833:ERJ589836 FBF589833:FBF589836 FLB589833:FLB589836 FUX589833:FUX589836 GET589833:GET589836 GOP589833:GOP589836 GYL589833:GYL589836 HIH589833:HIH589836 HSD589833:HSD589836 IBZ589833:IBZ589836 ILV589833:ILV589836 IVR589833:IVR589836 JFN589833:JFN589836 JPJ589833:JPJ589836 JZF589833:JZF589836 KJB589833:KJB589836 KSX589833:KSX589836 LCT589833:LCT589836 LMP589833:LMP589836 LWL589833:LWL589836 MGH589833:MGH589836 MQD589833:MQD589836 MZZ589833:MZZ589836 NJV589833:NJV589836 NTR589833:NTR589836 ODN589833:ODN589836 ONJ589833:ONJ589836 OXF589833:OXF589836 PHB589833:PHB589836 PQX589833:PQX589836 QAT589833:QAT589836 QKP589833:QKP589836 QUL589833:QUL589836 REH589833:REH589836 ROD589833:ROD589836 RXZ589833:RXZ589836 SHV589833:SHV589836 SRR589833:SRR589836 TBN589833:TBN589836 TLJ589833:TLJ589836 TVF589833:TVF589836 UFB589833:UFB589836 UOX589833:UOX589836 UYT589833:UYT589836 VIP589833:VIP589836 VSL589833:VSL589836 WCH589833:WCH589836 WMD589833:WMD589836 WVZ589833:WVZ589836 R655369:R655372 JN655369:JN655372 TJ655369:TJ655372 ADF655369:ADF655372 ANB655369:ANB655372 AWX655369:AWX655372 BGT655369:BGT655372 BQP655369:BQP655372 CAL655369:CAL655372 CKH655369:CKH655372 CUD655369:CUD655372 DDZ655369:DDZ655372 DNV655369:DNV655372 DXR655369:DXR655372 EHN655369:EHN655372 ERJ655369:ERJ655372 FBF655369:FBF655372 FLB655369:FLB655372 FUX655369:FUX655372 GET655369:GET655372 GOP655369:GOP655372 GYL655369:GYL655372 HIH655369:HIH655372 HSD655369:HSD655372 IBZ655369:IBZ655372 ILV655369:ILV655372 IVR655369:IVR655372 JFN655369:JFN655372 JPJ655369:JPJ655372 JZF655369:JZF655372 KJB655369:KJB655372 KSX655369:KSX655372 LCT655369:LCT655372 LMP655369:LMP655372 LWL655369:LWL655372 MGH655369:MGH655372 MQD655369:MQD655372 MZZ655369:MZZ655372 NJV655369:NJV655372 NTR655369:NTR655372 ODN655369:ODN655372 ONJ655369:ONJ655372 OXF655369:OXF655372 PHB655369:PHB655372 PQX655369:PQX655372 QAT655369:QAT655372 QKP655369:QKP655372 QUL655369:QUL655372 REH655369:REH655372 ROD655369:ROD655372 RXZ655369:RXZ655372 SHV655369:SHV655372 SRR655369:SRR655372 TBN655369:TBN655372 TLJ655369:TLJ655372 TVF655369:TVF655372 UFB655369:UFB655372 UOX655369:UOX655372 UYT655369:UYT655372 VIP655369:VIP655372 VSL655369:VSL655372 WCH655369:WCH655372 WMD655369:WMD655372 WVZ655369:WVZ655372 R720905:R720908 JN720905:JN720908 TJ720905:TJ720908 ADF720905:ADF720908 ANB720905:ANB720908 AWX720905:AWX720908 BGT720905:BGT720908 BQP720905:BQP720908 CAL720905:CAL720908 CKH720905:CKH720908 CUD720905:CUD720908 DDZ720905:DDZ720908 DNV720905:DNV720908 DXR720905:DXR720908 EHN720905:EHN720908 ERJ720905:ERJ720908 FBF720905:FBF720908 FLB720905:FLB720908 FUX720905:FUX720908 GET720905:GET720908 GOP720905:GOP720908 GYL720905:GYL720908 HIH720905:HIH720908 HSD720905:HSD720908 IBZ720905:IBZ720908 ILV720905:ILV720908 IVR720905:IVR720908 JFN720905:JFN720908 JPJ720905:JPJ720908 JZF720905:JZF720908 KJB720905:KJB720908 KSX720905:KSX720908 LCT720905:LCT720908 LMP720905:LMP720908 LWL720905:LWL720908 MGH720905:MGH720908 MQD720905:MQD720908 MZZ720905:MZZ720908 NJV720905:NJV720908 NTR720905:NTR720908 ODN720905:ODN720908 ONJ720905:ONJ720908 OXF720905:OXF720908 PHB720905:PHB720908 PQX720905:PQX720908 QAT720905:QAT720908 QKP720905:QKP720908 QUL720905:QUL720908 REH720905:REH720908 ROD720905:ROD720908 RXZ720905:RXZ720908 SHV720905:SHV720908 SRR720905:SRR720908 TBN720905:TBN720908 TLJ720905:TLJ720908 TVF720905:TVF720908 UFB720905:UFB720908 UOX720905:UOX720908 UYT720905:UYT720908 VIP720905:VIP720908 VSL720905:VSL720908 WCH720905:WCH720908 WMD720905:WMD720908 WVZ720905:WVZ720908 R786441:R786444 JN786441:JN786444 TJ786441:TJ786444 ADF786441:ADF786444 ANB786441:ANB786444 AWX786441:AWX786444 BGT786441:BGT786444 BQP786441:BQP786444 CAL786441:CAL786444 CKH786441:CKH786444 CUD786441:CUD786444 DDZ786441:DDZ786444 DNV786441:DNV786444 DXR786441:DXR786444 EHN786441:EHN786444 ERJ786441:ERJ786444 FBF786441:FBF786444 FLB786441:FLB786444 FUX786441:FUX786444 GET786441:GET786444 GOP786441:GOP786444 GYL786441:GYL786444 HIH786441:HIH786444 HSD786441:HSD786444 IBZ786441:IBZ786444 ILV786441:ILV786444 IVR786441:IVR786444 JFN786441:JFN786444 JPJ786441:JPJ786444 JZF786441:JZF786444 KJB786441:KJB786444 KSX786441:KSX786444 LCT786441:LCT786444 LMP786441:LMP786444 LWL786441:LWL786444 MGH786441:MGH786444 MQD786441:MQD786444 MZZ786441:MZZ786444 NJV786441:NJV786444 NTR786441:NTR786444 ODN786441:ODN786444 ONJ786441:ONJ786444 OXF786441:OXF786444 PHB786441:PHB786444 PQX786441:PQX786444 QAT786441:QAT786444 QKP786441:QKP786444 QUL786441:QUL786444 REH786441:REH786444 ROD786441:ROD786444 RXZ786441:RXZ786444 SHV786441:SHV786444 SRR786441:SRR786444 TBN786441:TBN786444 TLJ786441:TLJ786444 TVF786441:TVF786444 UFB786441:UFB786444 UOX786441:UOX786444 UYT786441:UYT786444 VIP786441:VIP786444 VSL786441:VSL786444 WCH786441:WCH786444 WMD786441:WMD786444 WVZ786441:WVZ786444 R851977:R851980 JN851977:JN851980 TJ851977:TJ851980 ADF851977:ADF851980 ANB851977:ANB851980 AWX851977:AWX851980 BGT851977:BGT851980 BQP851977:BQP851980 CAL851977:CAL851980 CKH851977:CKH851980 CUD851977:CUD851980 DDZ851977:DDZ851980 DNV851977:DNV851980 DXR851977:DXR851980 EHN851977:EHN851980 ERJ851977:ERJ851980 FBF851977:FBF851980 FLB851977:FLB851980 FUX851977:FUX851980 GET851977:GET851980 GOP851977:GOP851980 GYL851977:GYL851980 HIH851977:HIH851980 HSD851977:HSD851980 IBZ851977:IBZ851980 ILV851977:ILV851980 IVR851977:IVR851980 JFN851977:JFN851980 JPJ851977:JPJ851980 JZF851977:JZF851980 KJB851977:KJB851980 KSX851977:KSX851980 LCT851977:LCT851980 LMP851977:LMP851980 LWL851977:LWL851980 MGH851977:MGH851980 MQD851977:MQD851980 MZZ851977:MZZ851980 NJV851977:NJV851980 NTR851977:NTR851980 ODN851977:ODN851980 ONJ851977:ONJ851980 OXF851977:OXF851980 PHB851977:PHB851980 PQX851977:PQX851980 QAT851977:QAT851980 QKP851977:QKP851980 QUL851977:QUL851980 REH851977:REH851980 ROD851977:ROD851980 RXZ851977:RXZ851980 SHV851977:SHV851980 SRR851977:SRR851980 TBN851977:TBN851980 TLJ851977:TLJ851980 TVF851977:TVF851980 UFB851977:UFB851980 UOX851977:UOX851980 UYT851977:UYT851980 VIP851977:VIP851980 VSL851977:VSL851980 WCH851977:WCH851980 WMD851977:WMD851980 WVZ851977:WVZ851980 R917513:R917516 JN917513:JN917516 TJ917513:TJ917516 ADF917513:ADF917516 ANB917513:ANB917516 AWX917513:AWX917516 BGT917513:BGT917516 BQP917513:BQP917516 CAL917513:CAL917516 CKH917513:CKH917516 CUD917513:CUD917516 DDZ917513:DDZ917516 DNV917513:DNV917516 DXR917513:DXR917516 EHN917513:EHN917516 ERJ917513:ERJ917516 FBF917513:FBF917516 FLB917513:FLB917516 FUX917513:FUX917516 GET917513:GET917516 GOP917513:GOP917516 GYL917513:GYL917516 HIH917513:HIH917516 HSD917513:HSD917516 IBZ917513:IBZ917516 ILV917513:ILV917516 IVR917513:IVR917516 JFN917513:JFN917516 JPJ917513:JPJ917516 JZF917513:JZF917516 KJB917513:KJB917516 KSX917513:KSX917516 LCT917513:LCT917516 LMP917513:LMP917516 LWL917513:LWL917516 MGH917513:MGH917516 MQD917513:MQD917516 MZZ917513:MZZ917516 NJV917513:NJV917516 NTR917513:NTR917516 ODN917513:ODN917516 ONJ917513:ONJ917516 OXF917513:OXF917516 PHB917513:PHB917516 PQX917513:PQX917516 QAT917513:QAT917516 QKP917513:QKP917516 QUL917513:QUL917516 REH917513:REH917516 ROD917513:ROD917516 RXZ917513:RXZ917516 SHV917513:SHV917516 SRR917513:SRR917516 TBN917513:TBN917516 TLJ917513:TLJ917516 TVF917513:TVF917516 UFB917513:UFB917516 UOX917513:UOX917516 UYT917513:UYT917516 VIP917513:VIP917516 VSL917513:VSL917516 WCH917513:WCH917516 WMD917513:WMD917516 WVZ917513:WVZ917516 R983049:R983052 JN983049:JN983052 TJ983049:TJ983052 ADF983049:ADF983052 ANB983049:ANB983052 AWX983049:AWX983052 BGT983049:BGT983052 BQP983049:BQP983052 CAL983049:CAL983052 CKH983049:CKH983052 CUD983049:CUD983052 DDZ983049:DDZ983052 DNV983049:DNV983052 DXR983049:DXR983052 EHN983049:EHN983052 ERJ983049:ERJ983052 FBF983049:FBF983052 FLB983049:FLB983052 FUX983049:FUX983052 GET983049:GET983052 GOP983049:GOP983052 GYL983049:GYL983052 HIH983049:HIH983052 HSD983049:HSD983052 IBZ983049:IBZ983052 ILV983049:ILV983052 IVR983049:IVR983052 JFN983049:JFN983052 JPJ983049:JPJ983052 JZF983049:JZF983052 KJB983049:KJB983052 KSX983049:KSX983052 LCT983049:LCT983052 LMP983049:LMP983052 LWL983049:LWL983052 MGH983049:MGH983052 MQD983049:MQD983052 MZZ983049:MZZ983052 NJV983049:NJV983052 NTR983049:NTR983052 ODN983049:ODN983052 ONJ983049:ONJ983052 OXF983049:OXF983052 PHB983049:PHB983052 PQX983049:PQX983052 QAT983049:QAT983052 QKP983049:QKP983052 QUL983049:QUL983052 REH983049:REH983052 ROD983049:ROD983052 RXZ983049:RXZ983052 SHV983049:SHV983052 SRR983049:SRR983052 TBN983049:TBN983052 TLJ983049:TLJ983052 TVF983049:TVF983052 UFB983049:UFB983052 UOX983049:UOX983052 UYT983049:UYT983052 VIP983049:VIP983052 VSL983049:VSL983052 WCH983049:WCH983052 WMD983049:WMD983052 WVZ983049:WVZ983052 AB36 JX36 TT36 ADP36 ANL36 AXH36 BHD36 BQZ36 CAV36 CKR36 CUN36 DEJ36 DOF36 DYB36 EHX36 ERT36 FBP36 FLL36 FVH36 GFD36 GOZ36 GYV36 HIR36 HSN36 ICJ36 IMF36 IWB36 JFX36 JPT36 JZP36 KJL36 KTH36 LDD36 LMZ36 LWV36 MGR36 MQN36 NAJ36 NKF36 NUB36 ODX36 ONT36 OXP36 PHL36 PRH36 QBD36 QKZ36 QUV36 RER36 RON36 RYJ36 SIF36 SSB36 TBX36 TLT36 TVP36 UFL36 UPH36 UZD36 VIZ36 VSV36 WCR36 WMN36 WWJ36 AB65572 JX65572 TT65572 ADP65572 ANL65572 AXH65572 BHD65572 BQZ65572 CAV65572 CKR65572 CUN65572 DEJ65572 DOF65572 DYB65572 EHX65572 ERT65572 FBP65572 FLL65572 FVH65572 GFD65572 GOZ65572 GYV65572 HIR65572 HSN65572 ICJ65572 IMF65572 IWB65572 JFX65572 JPT65572 JZP65572 KJL65572 KTH65572 LDD65572 LMZ65572 LWV65572 MGR65572 MQN65572 NAJ65572 NKF65572 NUB65572 ODX65572 ONT65572 OXP65572 PHL65572 PRH65572 QBD65572 QKZ65572 QUV65572 RER65572 RON65572 RYJ65572 SIF65572 SSB65572 TBX65572 TLT65572 TVP65572 UFL65572 UPH65572 UZD65572 VIZ65572 VSV65572 WCR65572 WMN65572 WWJ65572 AB131108 JX131108 TT131108 ADP131108 ANL131108 AXH131108 BHD131108 BQZ131108 CAV131108 CKR131108 CUN131108 DEJ131108 DOF131108 DYB131108 EHX131108 ERT131108 FBP131108 FLL131108 FVH131108 GFD131108 GOZ131108 GYV131108 HIR131108 HSN131108 ICJ131108 IMF131108 IWB131108 JFX131108 JPT131108 JZP131108 KJL131108 KTH131108 LDD131108 LMZ131108 LWV131108 MGR131108 MQN131108 NAJ131108 NKF131108 NUB131108 ODX131108 ONT131108 OXP131108 PHL131108 PRH131108 QBD131108 QKZ131108 QUV131108 RER131108 RON131108 RYJ131108 SIF131108 SSB131108 TBX131108 TLT131108 TVP131108 UFL131108 UPH131108 UZD131108 VIZ131108 VSV131108 WCR131108 WMN131108 WWJ131108 AB196644 JX196644 TT196644 ADP196644 ANL196644 AXH196644 BHD196644 BQZ196644 CAV196644 CKR196644 CUN196644 DEJ196644 DOF196644 DYB196644 EHX196644 ERT196644 FBP196644 FLL196644 FVH196644 GFD196644 GOZ196644 GYV196644 HIR196644 HSN196644 ICJ196644 IMF196644 IWB196644 JFX196644 JPT196644 JZP196644 KJL196644 KTH196644 LDD196644 LMZ196644 LWV196644 MGR196644 MQN196644 NAJ196644 NKF196644 NUB196644 ODX196644 ONT196644 OXP196644 PHL196644 PRH196644 QBD196644 QKZ196644 QUV196644 RER196644 RON196644 RYJ196644 SIF196644 SSB196644 TBX196644 TLT196644 TVP196644 UFL196644 UPH196644 UZD196644 VIZ196644 VSV196644 WCR196644 WMN196644 WWJ196644 AB262180 JX262180 TT262180 ADP262180 ANL262180 AXH262180 BHD262180 BQZ262180 CAV262180 CKR262180 CUN262180 DEJ262180 DOF262180 DYB262180 EHX262180 ERT262180 FBP262180 FLL262180 FVH262180 GFD262180 GOZ262180 GYV262180 HIR262180 HSN262180 ICJ262180 IMF262180 IWB262180 JFX262180 JPT262180 JZP262180 KJL262180 KTH262180 LDD262180 LMZ262180 LWV262180 MGR262180 MQN262180 NAJ262180 NKF262180 NUB262180 ODX262180 ONT262180 OXP262180 PHL262180 PRH262180 QBD262180 QKZ262180 QUV262180 RER262180 RON262180 RYJ262180 SIF262180 SSB262180 TBX262180 TLT262180 TVP262180 UFL262180 UPH262180 UZD262180 VIZ262180 VSV262180 WCR262180 WMN262180 WWJ262180 AB327716 JX327716 TT327716 ADP327716 ANL327716 AXH327716 BHD327716 BQZ327716 CAV327716 CKR327716 CUN327716 DEJ327716 DOF327716 DYB327716 EHX327716 ERT327716 FBP327716 FLL327716 FVH327716 GFD327716 GOZ327716 GYV327716 HIR327716 HSN327716 ICJ327716 IMF327716 IWB327716 JFX327716 JPT327716 JZP327716 KJL327716 KTH327716 LDD327716 LMZ327716 LWV327716 MGR327716 MQN327716 NAJ327716 NKF327716 NUB327716 ODX327716 ONT327716 OXP327716 PHL327716 PRH327716 QBD327716 QKZ327716 QUV327716 RER327716 RON327716 RYJ327716 SIF327716 SSB327716 TBX327716 TLT327716 TVP327716 UFL327716 UPH327716 UZD327716 VIZ327716 VSV327716 WCR327716 WMN327716 WWJ327716 AB393252 JX393252 TT393252 ADP393252 ANL393252 AXH393252 BHD393252 BQZ393252 CAV393252 CKR393252 CUN393252 DEJ393252 DOF393252 DYB393252 EHX393252 ERT393252 FBP393252 FLL393252 FVH393252 GFD393252 GOZ393252 GYV393252 HIR393252 HSN393252 ICJ393252 IMF393252 IWB393252 JFX393252 JPT393252 JZP393252 KJL393252 KTH393252 LDD393252 LMZ393252 LWV393252 MGR393252 MQN393252 NAJ393252 NKF393252 NUB393252 ODX393252 ONT393252 OXP393252 PHL393252 PRH393252 QBD393252 QKZ393252 QUV393252 RER393252 RON393252 RYJ393252 SIF393252 SSB393252 TBX393252 TLT393252 TVP393252 UFL393252 UPH393252 UZD393252 VIZ393252 VSV393252 WCR393252 WMN393252 WWJ393252 AB458788 JX458788 TT458788 ADP458788 ANL458788 AXH458788 BHD458788 BQZ458788 CAV458788 CKR458788 CUN458788 DEJ458788 DOF458788 DYB458788 EHX458788 ERT458788 FBP458788 FLL458788 FVH458788 GFD458788 GOZ458788 GYV458788 HIR458788 HSN458788 ICJ458788 IMF458788 IWB458788 JFX458788 JPT458788 JZP458788 KJL458788 KTH458788 LDD458788 LMZ458788 LWV458788 MGR458788 MQN458788 NAJ458788 NKF458788 NUB458788 ODX458788 ONT458788 OXP458788 PHL458788 PRH458788 QBD458788 QKZ458788 QUV458788 RER458788 RON458788 RYJ458788 SIF458788 SSB458788 TBX458788 TLT458788 TVP458788 UFL458788 UPH458788 UZD458788 VIZ458788 VSV458788 WCR458788 WMN458788 WWJ458788 AB524324 JX524324 TT524324 ADP524324 ANL524324 AXH524324 BHD524324 BQZ524324 CAV524324 CKR524324 CUN524324 DEJ524324 DOF524324 DYB524324 EHX524324 ERT524324 FBP524324 FLL524324 FVH524324 GFD524324 GOZ524324 GYV524324 HIR524324 HSN524324 ICJ524324 IMF524324 IWB524324 JFX524324 JPT524324 JZP524324 KJL524324 KTH524324 LDD524324 LMZ524324 LWV524324 MGR524324 MQN524324 NAJ524324 NKF524324 NUB524324 ODX524324 ONT524324 OXP524324 PHL524324 PRH524324 QBD524324 QKZ524324 QUV524324 RER524324 RON524324 RYJ524324 SIF524324 SSB524324 TBX524324 TLT524324 TVP524324 UFL524324 UPH524324 UZD524324 VIZ524324 VSV524324 WCR524324 WMN524324 WWJ524324 AB589860 JX589860 TT589860 ADP589860 ANL589860 AXH589860 BHD589860 BQZ589860 CAV589860 CKR589860 CUN589860 DEJ589860 DOF589860 DYB589860 EHX589860 ERT589860 FBP589860 FLL589860 FVH589860 GFD589860 GOZ589860 GYV589860 HIR589860 HSN589860 ICJ589860 IMF589860 IWB589860 JFX589860 JPT589860 JZP589860 KJL589860 KTH589860 LDD589860 LMZ589860 LWV589860 MGR589860 MQN589860 NAJ589860 NKF589860 NUB589860 ODX589860 ONT589860 OXP589860 PHL589860 PRH589860 QBD589860 QKZ589860 QUV589860 RER589860 RON589860 RYJ589860 SIF589860 SSB589860 TBX589860 TLT589860 TVP589860 UFL589860 UPH589860 UZD589860 VIZ589860 VSV589860 WCR589860 WMN589860 WWJ589860 AB655396 JX655396 TT655396 ADP655396 ANL655396 AXH655396 BHD655396 BQZ655396 CAV655396 CKR655396 CUN655396 DEJ655396 DOF655396 DYB655396 EHX655396 ERT655396 FBP655396 FLL655396 FVH655396 GFD655396 GOZ655396 GYV655396 HIR655396 HSN655396 ICJ655396 IMF655396 IWB655396 JFX655396 JPT655396 JZP655396 KJL655396 KTH655396 LDD655396 LMZ655396 LWV655396 MGR655396 MQN655396 NAJ655396 NKF655396 NUB655396 ODX655396 ONT655396 OXP655396 PHL655396 PRH655396 QBD655396 QKZ655396 QUV655396 RER655396 RON655396 RYJ655396 SIF655396 SSB655396 TBX655396 TLT655396 TVP655396 UFL655396 UPH655396 UZD655396 VIZ655396 VSV655396 WCR655396 WMN655396 WWJ655396 AB720932 JX720932 TT720932 ADP720932 ANL720932 AXH720932 BHD720932 BQZ720932 CAV720932 CKR720932 CUN720932 DEJ720932 DOF720932 DYB720932 EHX720932 ERT720932 FBP720932 FLL720932 FVH720932 GFD720932 GOZ720932 GYV720932 HIR720932 HSN720932 ICJ720932 IMF720932 IWB720932 JFX720932 JPT720932 JZP720932 KJL720932 KTH720932 LDD720932 LMZ720932 LWV720932 MGR720932 MQN720932 NAJ720932 NKF720932 NUB720932 ODX720932 ONT720932 OXP720932 PHL720932 PRH720932 QBD720932 QKZ720932 QUV720932 RER720932 RON720932 RYJ720932 SIF720932 SSB720932 TBX720932 TLT720932 TVP720932 UFL720932 UPH720932 UZD720932 VIZ720932 VSV720932 WCR720932 WMN720932 WWJ720932 AB786468 JX786468 TT786468 ADP786468 ANL786468 AXH786468 BHD786468 BQZ786468 CAV786468 CKR786468 CUN786468 DEJ786468 DOF786468 DYB786468 EHX786468 ERT786468 FBP786468 FLL786468 FVH786468 GFD786468 GOZ786468 GYV786468 HIR786468 HSN786468 ICJ786468 IMF786468 IWB786468 JFX786468 JPT786468 JZP786468 KJL786468 KTH786468 LDD786468 LMZ786468 LWV786468 MGR786468 MQN786468 NAJ786468 NKF786468 NUB786468 ODX786468 ONT786468 OXP786468 PHL786468 PRH786468 QBD786468 QKZ786468 QUV786468 RER786468 RON786468 RYJ786468 SIF786468 SSB786468 TBX786468 TLT786468 TVP786468 UFL786468 UPH786468 UZD786468 VIZ786468 VSV786468 WCR786468 WMN786468 WWJ786468 AB852004 JX852004 TT852004 ADP852004 ANL852004 AXH852004 BHD852004 BQZ852004 CAV852004 CKR852004 CUN852004 DEJ852004 DOF852004 DYB852004 EHX852004 ERT852004 FBP852004 FLL852004 FVH852004 GFD852004 GOZ852004 GYV852004 HIR852004 HSN852004 ICJ852004 IMF852004 IWB852004 JFX852004 JPT852004 JZP852004 KJL852004 KTH852004 LDD852004 LMZ852004 LWV852004 MGR852004 MQN852004 NAJ852004 NKF852004 NUB852004 ODX852004 ONT852004 OXP852004 PHL852004 PRH852004 QBD852004 QKZ852004 QUV852004 RER852004 RON852004 RYJ852004 SIF852004 SSB852004 TBX852004 TLT852004 TVP852004 UFL852004 UPH852004 UZD852004 VIZ852004 VSV852004 WCR852004 WMN852004 WWJ852004 AB917540 JX917540 TT917540 ADP917540 ANL917540 AXH917540 BHD917540 BQZ917540 CAV917540 CKR917540 CUN917540 DEJ917540 DOF917540 DYB917540 EHX917540 ERT917540 FBP917540 FLL917540 FVH917540 GFD917540 GOZ917540 GYV917540 HIR917540 HSN917540 ICJ917540 IMF917540 IWB917540 JFX917540 JPT917540 JZP917540 KJL917540 KTH917540 LDD917540 LMZ917540 LWV917540 MGR917540 MQN917540 NAJ917540 NKF917540 NUB917540 ODX917540 ONT917540 OXP917540 PHL917540 PRH917540 QBD917540 QKZ917540 QUV917540 RER917540 RON917540 RYJ917540 SIF917540 SSB917540 TBX917540 TLT917540 TVP917540 UFL917540 UPH917540 UZD917540 VIZ917540 VSV917540 WCR917540 WMN917540 WWJ917540 AB983076 JX983076 TT983076 ADP983076 ANL983076 AXH983076 BHD983076 BQZ983076 CAV983076 CKR983076 CUN983076 DEJ983076 DOF983076 DYB983076 EHX983076 ERT983076 FBP983076 FLL983076 FVH983076 GFD983076 GOZ983076 GYV983076 HIR983076 HSN983076 ICJ983076 IMF983076 IWB983076 JFX983076 JPT983076 JZP983076 KJL983076 KTH983076 LDD983076 LMZ983076 LWV983076 MGR983076 MQN983076 NAJ983076 NKF983076 NUB983076 ODX983076 ONT983076 OXP983076 PHL983076 PRH983076 QBD983076 QKZ983076 QUV983076 RER983076 RON983076 RYJ983076 SIF983076 SSB983076 TBX983076 TLT983076 TVP983076 UFL983076 UPH983076 UZD983076 VIZ983076 VSV983076 WCR983076 WMN983076 WWJ983076 AD36 JZ36 TV36 ADR36 ANN36 AXJ36 BHF36 BRB36 CAX36 CKT36 CUP36 DEL36 DOH36 DYD36 EHZ36 ERV36 FBR36 FLN36 FVJ36 GFF36 GPB36 GYX36 HIT36 HSP36 ICL36 IMH36 IWD36 JFZ36 JPV36 JZR36 KJN36 KTJ36 LDF36 LNB36 LWX36 MGT36 MQP36 NAL36 NKH36 NUD36 ODZ36 ONV36 OXR36 PHN36 PRJ36 QBF36 QLB36 QUX36 RET36 ROP36 RYL36 SIH36 SSD36 TBZ36 TLV36 TVR36 UFN36 UPJ36 UZF36 VJB36 VSX36 WCT36 WMP36 WWL36 AD65572 JZ65572 TV65572 ADR65572 ANN65572 AXJ65572 BHF65572 BRB65572 CAX65572 CKT65572 CUP65572 DEL65572 DOH65572 DYD65572 EHZ65572 ERV65572 FBR65572 FLN65572 FVJ65572 GFF65572 GPB65572 GYX65572 HIT65572 HSP65572 ICL65572 IMH65572 IWD65572 JFZ65572 JPV65572 JZR65572 KJN65572 KTJ65572 LDF65572 LNB65572 LWX65572 MGT65572 MQP65572 NAL65572 NKH65572 NUD65572 ODZ65572 ONV65572 OXR65572 PHN65572 PRJ65572 QBF65572 QLB65572 QUX65572 RET65572 ROP65572 RYL65572 SIH65572 SSD65572 TBZ65572 TLV65572 TVR65572 UFN65572 UPJ65572 UZF65572 VJB65572 VSX65572 WCT65572 WMP65572 WWL65572 AD131108 JZ131108 TV131108 ADR131108 ANN131108 AXJ131108 BHF131108 BRB131108 CAX131108 CKT131108 CUP131108 DEL131108 DOH131108 DYD131108 EHZ131108 ERV131108 FBR131108 FLN131108 FVJ131108 GFF131108 GPB131108 GYX131108 HIT131108 HSP131108 ICL131108 IMH131108 IWD131108 JFZ131108 JPV131108 JZR131108 KJN131108 KTJ131108 LDF131108 LNB131108 LWX131108 MGT131108 MQP131108 NAL131108 NKH131108 NUD131108 ODZ131108 ONV131108 OXR131108 PHN131108 PRJ131108 QBF131108 QLB131108 QUX131108 RET131108 ROP131108 RYL131108 SIH131108 SSD131108 TBZ131108 TLV131108 TVR131108 UFN131108 UPJ131108 UZF131108 VJB131108 VSX131108 WCT131108 WMP131108 WWL131108 AD196644 JZ196644 TV196644 ADR196644 ANN196644 AXJ196644 BHF196644 BRB196644 CAX196644 CKT196644 CUP196644 DEL196644 DOH196644 DYD196644 EHZ196644 ERV196644 FBR196644 FLN196644 FVJ196644 GFF196644 GPB196644 GYX196644 HIT196644 HSP196644 ICL196644 IMH196644 IWD196644 JFZ196644 JPV196644 JZR196644 KJN196644 KTJ196644 LDF196644 LNB196644 LWX196644 MGT196644 MQP196644 NAL196644 NKH196644 NUD196644 ODZ196644 ONV196644 OXR196644 PHN196644 PRJ196644 QBF196644 QLB196644 QUX196644 RET196644 ROP196644 RYL196644 SIH196644 SSD196644 TBZ196644 TLV196644 TVR196644 UFN196644 UPJ196644 UZF196644 VJB196644 VSX196644 WCT196644 WMP196644 WWL196644 AD262180 JZ262180 TV262180 ADR262180 ANN262180 AXJ262180 BHF262180 BRB262180 CAX262180 CKT262180 CUP262180 DEL262180 DOH262180 DYD262180 EHZ262180 ERV262180 FBR262180 FLN262180 FVJ262180 GFF262180 GPB262180 GYX262180 HIT262180 HSP262180 ICL262180 IMH262180 IWD262180 JFZ262180 JPV262180 JZR262180 KJN262180 KTJ262180 LDF262180 LNB262180 LWX262180 MGT262180 MQP262180 NAL262180 NKH262180 NUD262180 ODZ262180 ONV262180 OXR262180 PHN262180 PRJ262180 QBF262180 QLB262180 QUX262180 RET262180 ROP262180 RYL262180 SIH262180 SSD262180 TBZ262180 TLV262180 TVR262180 UFN262180 UPJ262180 UZF262180 VJB262180 VSX262180 WCT262180 WMP262180 WWL262180 AD327716 JZ327716 TV327716 ADR327716 ANN327716 AXJ327716 BHF327716 BRB327716 CAX327716 CKT327716 CUP327716 DEL327716 DOH327716 DYD327716 EHZ327716 ERV327716 FBR327716 FLN327716 FVJ327716 GFF327716 GPB327716 GYX327716 HIT327716 HSP327716 ICL327716 IMH327716 IWD327716 JFZ327716 JPV327716 JZR327716 KJN327716 KTJ327716 LDF327716 LNB327716 LWX327716 MGT327716 MQP327716 NAL327716 NKH327716 NUD327716 ODZ327716 ONV327716 OXR327716 PHN327716 PRJ327716 QBF327716 QLB327716 QUX327716 RET327716 ROP327716 RYL327716 SIH327716 SSD327716 TBZ327716 TLV327716 TVR327716 UFN327716 UPJ327716 UZF327716 VJB327716 VSX327716 WCT327716 WMP327716 WWL327716 AD393252 JZ393252 TV393252 ADR393252 ANN393252 AXJ393252 BHF393252 BRB393252 CAX393252 CKT393252 CUP393252 DEL393252 DOH393252 DYD393252 EHZ393252 ERV393252 FBR393252 FLN393252 FVJ393252 GFF393252 GPB393252 GYX393252 HIT393252 HSP393252 ICL393252 IMH393252 IWD393252 JFZ393252 JPV393252 JZR393252 KJN393252 KTJ393252 LDF393252 LNB393252 LWX393252 MGT393252 MQP393252 NAL393252 NKH393252 NUD393252 ODZ393252 ONV393252 OXR393252 PHN393252 PRJ393252 QBF393252 QLB393252 QUX393252 RET393252 ROP393252 RYL393252 SIH393252 SSD393252 TBZ393252 TLV393252 TVR393252 UFN393252 UPJ393252 UZF393252 VJB393252 VSX393252 WCT393252 WMP393252 WWL393252 AD458788 JZ458788 TV458788 ADR458788 ANN458788 AXJ458788 BHF458788 BRB458788 CAX458788 CKT458788 CUP458788 DEL458788 DOH458788 DYD458788 EHZ458788 ERV458788 FBR458788 FLN458788 FVJ458788 GFF458788 GPB458788 GYX458788 HIT458788 HSP458788 ICL458788 IMH458788 IWD458788 JFZ458788 JPV458788 JZR458788 KJN458788 KTJ458788 LDF458788 LNB458788 LWX458788 MGT458788 MQP458788 NAL458788 NKH458788 NUD458788 ODZ458788 ONV458788 OXR458788 PHN458788 PRJ458788 QBF458788 QLB458788 QUX458788 RET458788 ROP458788 RYL458788 SIH458788 SSD458788 TBZ458788 TLV458788 TVR458788 UFN458788 UPJ458788 UZF458788 VJB458788 VSX458788 WCT458788 WMP458788 WWL458788 AD524324 JZ524324 TV524324 ADR524324 ANN524324 AXJ524324 BHF524324 BRB524324 CAX524324 CKT524324 CUP524324 DEL524324 DOH524324 DYD524324 EHZ524324 ERV524324 FBR524324 FLN524324 FVJ524324 GFF524324 GPB524324 GYX524324 HIT524324 HSP524324 ICL524324 IMH524324 IWD524324 JFZ524324 JPV524324 JZR524324 KJN524324 KTJ524324 LDF524324 LNB524324 LWX524324 MGT524324 MQP524324 NAL524324 NKH524324 NUD524324 ODZ524324 ONV524324 OXR524324 PHN524324 PRJ524324 QBF524324 QLB524324 QUX524324 RET524324 ROP524324 RYL524324 SIH524324 SSD524324 TBZ524324 TLV524324 TVR524324 UFN524324 UPJ524324 UZF524324 VJB524324 VSX524324 WCT524324 WMP524324 WWL524324 AD589860 JZ589860 TV589860 ADR589860 ANN589860 AXJ589860 BHF589860 BRB589860 CAX589860 CKT589860 CUP589860 DEL589860 DOH589860 DYD589860 EHZ589860 ERV589860 FBR589860 FLN589860 FVJ589860 GFF589860 GPB589860 GYX589860 HIT589860 HSP589860 ICL589860 IMH589860 IWD589860 JFZ589860 JPV589860 JZR589860 KJN589860 KTJ589860 LDF589860 LNB589860 LWX589860 MGT589860 MQP589860 NAL589860 NKH589860 NUD589860 ODZ589860 ONV589860 OXR589860 PHN589860 PRJ589860 QBF589860 QLB589860 QUX589860 RET589860 ROP589860 RYL589860 SIH589860 SSD589860 TBZ589860 TLV589860 TVR589860 UFN589860 UPJ589860 UZF589860 VJB589860 VSX589860 WCT589860 WMP589860 WWL589860 AD655396 JZ655396 TV655396 ADR655396 ANN655396 AXJ655396 BHF655396 BRB655396 CAX655396 CKT655396 CUP655396 DEL655396 DOH655396 DYD655396 EHZ655396 ERV655396 FBR655396 FLN655396 FVJ655396 GFF655396 GPB655396 GYX655396 HIT655396 HSP655396 ICL655396 IMH655396 IWD655396 JFZ655396 JPV655396 JZR655396 KJN655396 KTJ655396 LDF655396 LNB655396 LWX655396 MGT655396 MQP655396 NAL655396 NKH655396 NUD655396 ODZ655396 ONV655396 OXR655396 PHN655396 PRJ655396 QBF655396 QLB655396 QUX655396 RET655396 ROP655396 RYL655396 SIH655396 SSD655396 TBZ655396 TLV655396 TVR655396 UFN655396 UPJ655396 UZF655396 VJB655396 VSX655396 WCT655396 WMP655396 WWL655396 AD720932 JZ720932 TV720932 ADR720932 ANN720932 AXJ720932 BHF720932 BRB720932 CAX720932 CKT720932 CUP720932 DEL720932 DOH720932 DYD720932 EHZ720932 ERV720932 FBR720932 FLN720932 FVJ720932 GFF720932 GPB720932 GYX720932 HIT720932 HSP720932 ICL720932 IMH720932 IWD720932 JFZ720932 JPV720932 JZR720932 KJN720932 KTJ720932 LDF720932 LNB720932 LWX720932 MGT720932 MQP720932 NAL720932 NKH720932 NUD720932 ODZ720932 ONV720932 OXR720932 PHN720932 PRJ720932 QBF720932 QLB720932 QUX720932 RET720932 ROP720932 RYL720932 SIH720932 SSD720932 TBZ720932 TLV720932 TVR720932 UFN720932 UPJ720932 UZF720932 VJB720932 VSX720932 WCT720932 WMP720932 WWL720932 AD786468 JZ786468 TV786468 ADR786468 ANN786468 AXJ786468 BHF786468 BRB786468 CAX786468 CKT786468 CUP786468 DEL786468 DOH786468 DYD786468 EHZ786468 ERV786468 FBR786468 FLN786468 FVJ786468 GFF786468 GPB786468 GYX786468 HIT786468 HSP786468 ICL786468 IMH786468 IWD786468 JFZ786468 JPV786468 JZR786468 KJN786468 KTJ786468 LDF786468 LNB786468 LWX786468 MGT786468 MQP786468 NAL786468 NKH786468 NUD786468 ODZ786468 ONV786468 OXR786468 PHN786468 PRJ786468 QBF786468 QLB786468 QUX786468 RET786468 ROP786468 RYL786468 SIH786468 SSD786468 TBZ786468 TLV786468 TVR786468 UFN786468 UPJ786468 UZF786468 VJB786468 VSX786468 WCT786468 WMP786468 WWL786468 AD852004 JZ852004 TV852004 ADR852004 ANN852004 AXJ852004 BHF852004 BRB852004 CAX852004 CKT852004 CUP852004 DEL852004 DOH852004 DYD852004 EHZ852004 ERV852004 FBR852004 FLN852004 FVJ852004 GFF852004 GPB852004 GYX852004 HIT852004 HSP852004 ICL852004 IMH852004 IWD852004 JFZ852004 JPV852004 JZR852004 KJN852004 KTJ852004 LDF852004 LNB852004 LWX852004 MGT852004 MQP852004 NAL852004 NKH852004 NUD852004 ODZ852004 ONV852004 OXR852004 PHN852004 PRJ852004 QBF852004 QLB852004 QUX852004 RET852004 ROP852004 RYL852004 SIH852004 SSD852004 TBZ852004 TLV852004 TVR852004 UFN852004 UPJ852004 UZF852004 VJB852004 VSX852004 WCT852004 WMP852004 WWL852004 AD917540 JZ917540 TV917540 ADR917540 ANN917540 AXJ917540 BHF917540 BRB917540 CAX917540 CKT917540 CUP917540 DEL917540 DOH917540 DYD917540 EHZ917540 ERV917540 FBR917540 FLN917540 FVJ917540 GFF917540 GPB917540 GYX917540 HIT917540 HSP917540 ICL917540 IMH917540 IWD917540 JFZ917540 JPV917540 JZR917540 KJN917540 KTJ917540 LDF917540 LNB917540 LWX917540 MGT917540 MQP917540 NAL917540 NKH917540 NUD917540 ODZ917540 ONV917540 OXR917540 PHN917540 PRJ917540 QBF917540 QLB917540 QUX917540 RET917540 ROP917540 RYL917540 SIH917540 SSD917540 TBZ917540 TLV917540 TVR917540 UFN917540 UPJ917540 UZF917540 VJB917540 VSX917540 WCT917540 WMP917540 WWL917540 AD983076 JZ983076 TV983076 ADR983076 ANN983076 AXJ983076 BHF983076 BRB983076 CAX983076 CKT983076 CUP983076 DEL983076 DOH983076 DYD983076 EHZ983076 ERV983076 FBR983076 FLN983076 FVJ983076 GFF983076 GPB983076 GYX983076 HIT983076 HSP983076 ICL983076 IMH983076 IWD983076 JFZ983076 JPV983076 JZR983076 KJN983076 KTJ983076 LDF983076 LNB983076 LWX983076 MGT983076 MQP983076 NAL983076 NKH983076 NUD983076 ODZ983076 ONV983076 OXR983076 PHN983076 PRJ983076 QBF983076 QLB983076 QUX983076 RET983076 ROP983076 RYL983076 SIH983076 SSD983076 TBZ983076 TLV983076 TVR983076 UFN983076 UPJ983076 UZF983076 VJB983076 VSX983076 WCT983076 WMP983076 WWL983076 AD48:AD50 JZ48:JZ50 TV48:TV50 ADR48:ADR50 ANN48:ANN50 AXJ48:AXJ50 BHF48:BHF50 BRB48:BRB50 CAX48:CAX50 CKT48:CKT50 CUP48:CUP50 DEL48:DEL50 DOH48:DOH50 DYD48:DYD50 EHZ48:EHZ50 ERV48:ERV50 FBR48:FBR50 FLN48:FLN50 FVJ48:FVJ50 GFF48:GFF50 GPB48:GPB50 GYX48:GYX50 HIT48:HIT50 HSP48:HSP50 ICL48:ICL50 IMH48:IMH50 IWD48:IWD50 JFZ48:JFZ50 JPV48:JPV50 JZR48:JZR50 KJN48:KJN50 KTJ48:KTJ50 LDF48:LDF50 LNB48:LNB50 LWX48:LWX50 MGT48:MGT50 MQP48:MQP50 NAL48:NAL50 NKH48:NKH50 NUD48:NUD50 ODZ48:ODZ50 ONV48:ONV50 OXR48:OXR50 PHN48:PHN50 PRJ48:PRJ50 QBF48:QBF50 QLB48:QLB50 QUX48:QUX50 RET48:RET50 ROP48:ROP50 RYL48:RYL50 SIH48:SIH50 SSD48:SSD50 TBZ48:TBZ50 TLV48:TLV50 TVR48:TVR50 UFN48:UFN50 UPJ48:UPJ50 UZF48:UZF50 VJB48:VJB50 VSX48:VSX50 WCT48:WCT50 WMP48:WMP50 WWL48:WWL50 AD65584:AD65586 JZ65584:JZ65586 TV65584:TV65586 ADR65584:ADR65586 ANN65584:ANN65586 AXJ65584:AXJ65586 BHF65584:BHF65586 BRB65584:BRB65586 CAX65584:CAX65586 CKT65584:CKT65586 CUP65584:CUP65586 DEL65584:DEL65586 DOH65584:DOH65586 DYD65584:DYD65586 EHZ65584:EHZ65586 ERV65584:ERV65586 FBR65584:FBR65586 FLN65584:FLN65586 FVJ65584:FVJ65586 GFF65584:GFF65586 GPB65584:GPB65586 GYX65584:GYX65586 HIT65584:HIT65586 HSP65584:HSP65586 ICL65584:ICL65586 IMH65584:IMH65586 IWD65584:IWD65586 JFZ65584:JFZ65586 JPV65584:JPV65586 JZR65584:JZR65586 KJN65584:KJN65586 KTJ65584:KTJ65586 LDF65584:LDF65586 LNB65584:LNB65586 LWX65584:LWX65586 MGT65584:MGT65586 MQP65584:MQP65586 NAL65584:NAL65586 NKH65584:NKH65586 NUD65584:NUD65586 ODZ65584:ODZ65586 ONV65584:ONV65586 OXR65584:OXR65586 PHN65584:PHN65586 PRJ65584:PRJ65586 QBF65584:QBF65586 QLB65584:QLB65586 QUX65584:QUX65586 RET65584:RET65586 ROP65584:ROP65586 RYL65584:RYL65586 SIH65584:SIH65586 SSD65584:SSD65586 TBZ65584:TBZ65586 TLV65584:TLV65586 TVR65584:TVR65586 UFN65584:UFN65586 UPJ65584:UPJ65586 UZF65584:UZF65586 VJB65584:VJB65586 VSX65584:VSX65586 WCT65584:WCT65586 WMP65584:WMP65586 WWL65584:WWL65586 AD131120:AD131122 JZ131120:JZ131122 TV131120:TV131122 ADR131120:ADR131122 ANN131120:ANN131122 AXJ131120:AXJ131122 BHF131120:BHF131122 BRB131120:BRB131122 CAX131120:CAX131122 CKT131120:CKT131122 CUP131120:CUP131122 DEL131120:DEL131122 DOH131120:DOH131122 DYD131120:DYD131122 EHZ131120:EHZ131122 ERV131120:ERV131122 FBR131120:FBR131122 FLN131120:FLN131122 FVJ131120:FVJ131122 GFF131120:GFF131122 GPB131120:GPB131122 GYX131120:GYX131122 HIT131120:HIT131122 HSP131120:HSP131122 ICL131120:ICL131122 IMH131120:IMH131122 IWD131120:IWD131122 JFZ131120:JFZ131122 JPV131120:JPV131122 JZR131120:JZR131122 KJN131120:KJN131122 KTJ131120:KTJ131122 LDF131120:LDF131122 LNB131120:LNB131122 LWX131120:LWX131122 MGT131120:MGT131122 MQP131120:MQP131122 NAL131120:NAL131122 NKH131120:NKH131122 NUD131120:NUD131122 ODZ131120:ODZ131122 ONV131120:ONV131122 OXR131120:OXR131122 PHN131120:PHN131122 PRJ131120:PRJ131122 QBF131120:QBF131122 QLB131120:QLB131122 QUX131120:QUX131122 RET131120:RET131122 ROP131120:ROP131122 RYL131120:RYL131122 SIH131120:SIH131122 SSD131120:SSD131122 TBZ131120:TBZ131122 TLV131120:TLV131122 TVR131120:TVR131122 UFN131120:UFN131122 UPJ131120:UPJ131122 UZF131120:UZF131122 VJB131120:VJB131122 VSX131120:VSX131122 WCT131120:WCT131122 WMP131120:WMP131122 WWL131120:WWL131122 AD196656:AD196658 JZ196656:JZ196658 TV196656:TV196658 ADR196656:ADR196658 ANN196656:ANN196658 AXJ196656:AXJ196658 BHF196656:BHF196658 BRB196656:BRB196658 CAX196656:CAX196658 CKT196656:CKT196658 CUP196656:CUP196658 DEL196656:DEL196658 DOH196656:DOH196658 DYD196656:DYD196658 EHZ196656:EHZ196658 ERV196656:ERV196658 FBR196656:FBR196658 FLN196656:FLN196658 FVJ196656:FVJ196658 GFF196656:GFF196658 GPB196656:GPB196658 GYX196656:GYX196658 HIT196656:HIT196658 HSP196656:HSP196658 ICL196656:ICL196658 IMH196656:IMH196658 IWD196656:IWD196658 JFZ196656:JFZ196658 JPV196656:JPV196658 JZR196656:JZR196658 KJN196656:KJN196658 KTJ196656:KTJ196658 LDF196656:LDF196658 LNB196656:LNB196658 LWX196656:LWX196658 MGT196656:MGT196658 MQP196656:MQP196658 NAL196656:NAL196658 NKH196656:NKH196658 NUD196656:NUD196658 ODZ196656:ODZ196658 ONV196656:ONV196658 OXR196656:OXR196658 PHN196656:PHN196658 PRJ196656:PRJ196658 QBF196656:QBF196658 QLB196656:QLB196658 QUX196656:QUX196658 RET196656:RET196658 ROP196656:ROP196658 RYL196656:RYL196658 SIH196656:SIH196658 SSD196656:SSD196658 TBZ196656:TBZ196658 TLV196656:TLV196658 TVR196656:TVR196658 UFN196656:UFN196658 UPJ196656:UPJ196658 UZF196656:UZF196658 VJB196656:VJB196658 VSX196656:VSX196658 WCT196656:WCT196658 WMP196656:WMP196658 WWL196656:WWL196658 AD262192:AD262194 JZ262192:JZ262194 TV262192:TV262194 ADR262192:ADR262194 ANN262192:ANN262194 AXJ262192:AXJ262194 BHF262192:BHF262194 BRB262192:BRB262194 CAX262192:CAX262194 CKT262192:CKT262194 CUP262192:CUP262194 DEL262192:DEL262194 DOH262192:DOH262194 DYD262192:DYD262194 EHZ262192:EHZ262194 ERV262192:ERV262194 FBR262192:FBR262194 FLN262192:FLN262194 FVJ262192:FVJ262194 GFF262192:GFF262194 GPB262192:GPB262194 GYX262192:GYX262194 HIT262192:HIT262194 HSP262192:HSP262194 ICL262192:ICL262194 IMH262192:IMH262194 IWD262192:IWD262194 JFZ262192:JFZ262194 JPV262192:JPV262194 JZR262192:JZR262194 KJN262192:KJN262194 KTJ262192:KTJ262194 LDF262192:LDF262194 LNB262192:LNB262194 LWX262192:LWX262194 MGT262192:MGT262194 MQP262192:MQP262194 NAL262192:NAL262194 NKH262192:NKH262194 NUD262192:NUD262194 ODZ262192:ODZ262194 ONV262192:ONV262194 OXR262192:OXR262194 PHN262192:PHN262194 PRJ262192:PRJ262194 QBF262192:QBF262194 QLB262192:QLB262194 QUX262192:QUX262194 RET262192:RET262194 ROP262192:ROP262194 RYL262192:RYL262194 SIH262192:SIH262194 SSD262192:SSD262194 TBZ262192:TBZ262194 TLV262192:TLV262194 TVR262192:TVR262194 UFN262192:UFN262194 UPJ262192:UPJ262194 UZF262192:UZF262194 VJB262192:VJB262194 VSX262192:VSX262194 WCT262192:WCT262194 WMP262192:WMP262194 WWL262192:WWL262194 AD327728:AD327730 JZ327728:JZ327730 TV327728:TV327730 ADR327728:ADR327730 ANN327728:ANN327730 AXJ327728:AXJ327730 BHF327728:BHF327730 BRB327728:BRB327730 CAX327728:CAX327730 CKT327728:CKT327730 CUP327728:CUP327730 DEL327728:DEL327730 DOH327728:DOH327730 DYD327728:DYD327730 EHZ327728:EHZ327730 ERV327728:ERV327730 FBR327728:FBR327730 FLN327728:FLN327730 FVJ327728:FVJ327730 GFF327728:GFF327730 GPB327728:GPB327730 GYX327728:GYX327730 HIT327728:HIT327730 HSP327728:HSP327730 ICL327728:ICL327730 IMH327728:IMH327730 IWD327728:IWD327730 JFZ327728:JFZ327730 JPV327728:JPV327730 JZR327728:JZR327730 KJN327728:KJN327730 KTJ327728:KTJ327730 LDF327728:LDF327730 LNB327728:LNB327730 LWX327728:LWX327730 MGT327728:MGT327730 MQP327728:MQP327730 NAL327728:NAL327730 NKH327728:NKH327730 NUD327728:NUD327730 ODZ327728:ODZ327730 ONV327728:ONV327730 OXR327728:OXR327730 PHN327728:PHN327730 PRJ327728:PRJ327730 QBF327728:QBF327730 QLB327728:QLB327730 QUX327728:QUX327730 RET327728:RET327730 ROP327728:ROP327730 RYL327728:RYL327730 SIH327728:SIH327730 SSD327728:SSD327730 TBZ327728:TBZ327730 TLV327728:TLV327730 TVR327728:TVR327730 UFN327728:UFN327730 UPJ327728:UPJ327730 UZF327728:UZF327730 VJB327728:VJB327730 VSX327728:VSX327730 WCT327728:WCT327730 WMP327728:WMP327730 WWL327728:WWL327730 AD393264:AD393266 JZ393264:JZ393266 TV393264:TV393266 ADR393264:ADR393266 ANN393264:ANN393266 AXJ393264:AXJ393266 BHF393264:BHF393266 BRB393264:BRB393266 CAX393264:CAX393266 CKT393264:CKT393266 CUP393264:CUP393266 DEL393264:DEL393266 DOH393264:DOH393266 DYD393264:DYD393266 EHZ393264:EHZ393266 ERV393264:ERV393266 FBR393264:FBR393266 FLN393264:FLN393266 FVJ393264:FVJ393266 GFF393264:GFF393266 GPB393264:GPB393266 GYX393264:GYX393266 HIT393264:HIT393266 HSP393264:HSP393266 ICL393264:ICL393266 IMH393264:IMH393266 IWD393264:IWD393266 JFZ393264:JFZ393266 JPV393264:JPV393266 JZR393264:JZR393266 KJN393264:KJN393266 KTJ393264:KTJ393266 LDF393264:LDF393266 LNB393264:LNB393266 LWX393264:LWX393266 MGT393264:MGT393266 MQP393264:MQP393266 NAL393264:NAL393266 NKH393264:NKH393266 NUD393264:NUD393266 ODZ393264:ODZ393266 ONV393264:ONV393266 OXR393264:OXR393266 PHN393264:PHN393266 PRJ393264:PRJ393266 QBF393264:QBF393266 QLB393264:QLB393266 QUX393264:QUX393266 RET393264:RET393266 ROP393264:ROP393266 RYL393264:RYL393266 SIH393264:SIH393266 SSD393264:SSD393266 TBZ393264:TBZ393266 TLV393264:TLV393266 TVR393264:TVR393266 UFN393264:UFN393266 UPJ393264:UPJ393266 UZF393264:UZF393266 VJB393264:VJB393266 VSX393264:VSX393266 WCT393264:WCT393266 WMP393264:WMP393266 WWL393264:WWL393266 AD458800:AD458802 JZ458800:JZ458802 TV458800:TV458802 ADR458800:ADR458802 ANN458800:ANN458802 AXJ458800:AXJ458802 BHF458800:BHF458802 BRB458800:BRB458802 CAX458800:CAX458802 CKT458800:CKT458802 CUP458800:CUP458802 DEL458800:DEL458802 DOH458800:DOH458802 DYD458800:DYD458802 EHZ458800:EHZ458802 ERV458800:ERV458802 FBR458800:FBR458802 FLN458800:FLN458802 FVJ458800:FVJ458802 GFF458800:GFF458802 GPB458800:GPB458802 GYX458800:GYX458802 HIT458800:HIT458802 HSP458800:HSP458802 ICL458800:ICL458802 IMH458800:IMH458802 IWD458800:IWD458802 JFZ458800:JFZ458802 JPV458800:JPV458802 JZR458800:JZR458802 KJN458800:KJN458802 KTJ458800:KTJ458802 LDF458800:LDF458802 LNB458800:LNB458802 LWX458800:LWX458802 MGT458800:MGT458802 MQP458800:MQP458802 NAL458800:NAL458802 NKH458800:NKH458802 NUD458800:NUD458802 ODZ458800:ODZ458802 ONV458800:ONV458802 OXR458800:OXR458802 PHN458800:PHN458802 PRJ458800:PRJ458802 QBF458800:QBF458802 QLB458800:QLB458802 QUX458800:QUX458802 RET458800:RET458802 ROP458800:ROP458802 RYL458800:RYL458802 SIH458800:SIH458802 SSD458800:SSD458802 TBZ458800:TBZ458802 TLV458800:TLV458802 TVR458800:TVR458802 UFN458800:UFN458802 UPJ458800:UPJ458802 UZF458800:UZF458802 VJB458800:VJB458802 VSX458800:VSX458802 WCT458800:WCT458802 WMP458800:WMP458802 WWL458800:WWL458802 AD524336:AD524338 JZ524336:JZ524338 TV524336:TV524338 ADR524336:ADR524338 ANN524336:ANN524338 AXJ524336:AXJ524338 BHF524336:BHF524338 BRB524336:BRB524338 CAX524336:CAX524338 CKT524336:CKT524338 CUP524336:CUP524338 DEL524336:DEL524338 DOH524336:DOH524338 DYD524336:DYD524338 EHZ524336:EHZ524338 ERV524336:ERV524338 FBR524336:FBR524338 FLN524336:FLN524338 FVJ524336:FVJ524338 GFF524336:GFF524338 GPB524336:GPB524338 GYX524336:GYX524338 HIT524336:HIT524338 HSP524336:HSP524338 ICL524336:ICL524338 IMH524336:IMH524338 IWD524336:IWD524338 JFZ524336:JFZ524338 JPV524336:JPV524338 JZR524336:JZR524338 KJN524336:KJN524338 KTJ524336:KTJ524338 LDF524336:LDF524338 LNB524336:LNB524338 LWX524336:LWX524338 MGT524336:MGT524338 MQP524336:MQP524338 NAL524336:NAL524338 NKH524336:NKH524338 NUD524336:NUD524338 ODZ524336:ODZ524338 ONV524336:ONV524338 OXR524336:OXR524338 PHN524336:PHN524338 PRJ524336:PRJ524338 QBF524336:QBF524338 QLB524336:QLB524338 QUX524336:QUX524338 RET524336:RET524338 ROP524336:ROP524338 RYL524336:RYL524338 SIH524336:SIH524338 SSD524336:SSD524338 TBZ524336:TBZ524338 TLV524336:TLV524338 TVR524336:TVR524338 UFN524336:UFN524338 UPJ524336:UPJ524338 UZF524336:UZF524338 VJB524336:VJB524338 VSX524336:VSX524338 WCT524336:WCT524338 WMP524336:WMP524338 WWL524336:WWL524338 AD589872:AD589874 JZ589872:JZ589874 TV589872:TV589874 ADR589872:ADR589874 ANN589872:ANN589874 AXJ589872:AXJ589874 BHF589872:BHF589874 BRB589872:BRB589874 CAX589872:CAX589874 CKT589872:CKT589874 CUP589872:CUP589874 DEL589872:DEL589874 DOH589872:DOH589874 DYD589872:DYD589874 EHZ589872:EHZ589874 ERV589872:ERV589874 FBR589872:FBR589874 FLN589872:FLN589874 FVJ589872:FVJ589874 GFF589872:GFF589874 GPB589872:GPB589874 GYX589872:GYX589874 HIT589872:HIT589874 HSP589872:HSP589874 ICL589872:ICL589874 IMH589872:IMH589874 IWD589872:IWD589874 JFZ589872:JFZ589874 JPV589872:JPV589874 JZR589872:JZR589874 KJN589872:KJN589874 KTJ589872:KTJ589874 LDF589872:LDF589874 LNB589872:LNB589874 LWX589872:LWX589874 MGT589872:MGT589874 MQP589872:MQP589874 NAL589872:NAL589874 NKH589872:NKH589874 NUD589872:NUD589874 ODZ589872:ODZ589874 ONV589872:ONV589874 OXR589872:OXR589874 PHN589872:PHN589874 PRJ589872:PRJ589874 QBF589872:QBF589874 QLB589872:QLB589874 QUX589872:QUX589874 RET589872:RET589874 ROP589872:ROP589874 RYL589872:RYL589874 SIH589872:SIH589874 SSD589872:SSD589874 TBZ589872:TBZ589874 TLV589872:TLV589874 TVR589872:TVR589874 UFN589872:UFN589874 UPJ589872:UPJ589874 UZF589872:UZF589874 VJB589872:VJB589874 VSX589872:VSX589874 WCT589872:WCT589874 WMP589872:WMP589874 WWL589872:WWL589874 AD655408:AD655410 JZ655408:JZ655410 TV655408:TV655410 ADR655408:ADR655410 ANN655408:ANN655410 AXJ655408:AXJ655410 BHF655408:BHF655410 BRB655408:BRB655410 CAX655408:CAX655410 CKT655408:CKT655410 CUP655408:CUP655410 DEL655408:DEL655410 DOH655408:DOH655410 DYD655408:DYD655410 EHZ655408:EHZ655410 ERV655408:ERV655410 FBR655408:FBR655410 FLN655408:FLN655410 FVJ655408:FVJ655410 GFF655408:GFF655410 GPB655408:GPB655410 GYX655408:GYX655410 HIT655408:HIT655410 HSP655408:HSP655410 ICL655408:ICL655410 IMH655408:IMH655410 IWD655408:IWD655410 JFZ655408:JFZ655410 JPV655408:JPV655410 JZR655408:JZR655410 KJN655408:KJN655410 KTJ655408:KTJ655410 LDF655408:LDF655410 LNB655408:LNB655410 LWX655408:LWX655410 MGT655408:MGT655410 MQP655408:MQP655410 NAL655408:NAL655410 NKH655408:NKH655410 NUD655408:NUD655410 ODZ655408:ODZ655410 ONV655408:ONV655410 OXR655408:OXR655410 PHN655408:PHN655410 PRJ655408:PRJ655410 QBF655408:QBF655410 QLB655408:QLB655410 QUX655408:QUX655410 RET655408:RET655410 ROP655408:ROP655410 RYL655408:RYL655410 SIH655408:SIH655410 SSD655408:SSD655410 TBZ655408:TBZ655410 TLV655408:TLV655410 TVR655408:TVR655410 UFN655408:UFN655410 UPJ655408:UPJ655410 UZF655408:UZF655410 VJB655408:VJB655410 VSX655408:VSX655410 WCT655408:WCT655410 WMP655408:WMP655410 WWL655408:WWL655410 AD720944:AD720946 JZ720944:JZ720946 TV720944:TV720946 ADR720944:ADR720946 ANN720944:ANN720946 AXJ720944:AXJ720946 BHF720944:BHF720946 BRB720944:BRB720946 CAX720944:CAX720946 CKT720944:CKT720946 CUP720944:CUP720946 DEL720944:DEL720946 DOH720944:DOH720946 DYD720944:DYD720946 EHZ720944:EHZ720946 ERV720944:ERV720946 FBR720944:FBR720946 FLN720944:FLN720946 FVJ720944:FVJ720946 GFF720944:GFF720946 GPB720944:GPB720946 GYX720944:GYX720946 HIT720944:HIT720946 HSP720944:HSP720946 ICL720944:ICL720946 IMH720944:IMH720946 IWD720944:IWD720946 JFZ720944:JFZ720946 JPV720944:JPV720946 JZR720944:JZR720946 KJN720944:KJN720946 KTJ720944:KTJ720946 LDF720944:LDF720946 LNB720944:LNB720946 LWX720944:LWX720946 MGT720944:MGT720946 MQP720944:MQP720946 NAL720944:NAL720946 NKH720944:NKH720946 NUD720944:NUD720946 ODZ720944:ODZ720946 ONV720944:ONV720946 OXR720944:OXR720946 PHN720944:PHN720946 PRJ720944:PRJ720946 QBF720944:QBF720946 QLB720944:QLB720946 QUX720944:QUX720946 RET720944:RET720946 ROP720944:ROP720946 RYL720944:RYL720946 SIH720944:SIH720946 SSD720944:SSD720946 TBZ720944:TBZ720946 TLV720944:TLV720946 TVR720944:TVR720946 UFN720944:UFN720946 UPJ720944:UPJ720946 UZF720944:UZF720946 VJB720944:VJB720946 VSX720944:VSX720946 WCT720944:WCT720946 WMP720944:WMP720946 WWL720944:WWL720946 AD786480:AD786482 JZ786480:JZ786482 TV786480:TV786482 ADR786480:ADR786482 ANN786480:ANN786482 AXJ786480:AXJ786482 BHF786480:BHF786482 BRB786480:BRB786482 CAX786480:CAX786482 CKT786480:CKT786482 CUP786480:CUP786482 DEL786480:DEL786482 DOH786480:DOH786482 DYD786480:DYD786482 EHZ786480:EHZ786482 ERV786480:ERV786482 FBR786480:FBR786482 FLN786480:FLN786482 FVJ786480:FVJ786482 GFF786480:GFF786482 GPB786480:GPB786482 GYX786480:GYX786482 HIT786480:HIT786482 HSP786480:HSP786482 ICL786480:ICL786482 IMH786480:IMH786482 IWD786480:IWD786482 JFZ786480:JFZ786482 JPV786480:JPV786482 JZR786480:JZR786482 KJN786480:KJN786482 KTJ786480:KTJ786482 LDF786480:LDF786482 LNB786480:LNB786482 LWX786480:LWX786482 MGT786480:MGT786482 MQP786480:MQP786482 NAL786480:NAL786482 NKH786480:NKH786482 NUD786480:NUD786482 ODZ786480:ODZ786482 ONV786480:ONV786482 OXR786480:OXR786482 PHN786480:PHN786482 PRJ786480:PRJ786482 QBF786480:QBF786482 QLB786480:QLB786482 QUX786480:QUX786482 RET786480:RET786482 ROP786480:ROP786482 RYL786480:RYL786482 SIH786480:SIH786482 SSD786480:SSD786482 TBZ786480:TBZ786482 TLV786480:TLV786482 TVR786480:TVR786482 UFN786480:UFN786482 UPJ786480:UPJ786482 UZF786480:UZF786482 VJB786480:VJB786482 VSX786480:VSX786482 WCT786480:WCT786482 WMP786480:WMP786482 WWL786480:WWL786482 AD852016:AD852018 JZ852016:JZ852018 TV852016:TV852018 ADR852016:ADR852018 ANN852016:ANN852018 AXJ852016:AXJ852018 BHF852016:BHF852018 BRB852016:BRB852018 CAX852016:CAX852018 CKT852016:CKT852018 CUP852016:CUP852018 DEL852016:DEL852018 DOH852016:DOH852018 DYD852016:DYD852018 EHZ852016:EHZ852018 ERV852016:ERV852018 FBR852016:FBR852018 FLN852016:FLN852018 FVJ852016:FVJ852018 GFF852016:GFF852018 GPB852016:GPB852018 GYX852016:GYX852018 HIT852016:HIT852018 HSP852016:HSP852018 ICL852016:ICL852018 IMH852016:IMH852018 IWD852016:IWD852018 JFZ852016:JFZ852018 JPV852016:JPV852018 JZR852016:JZR852018 KJN852016:KJN852018 KTJ852016:KTJ852018 LDF852016:LDF852018 LNB852016:LNB852018 LWX852016:LWX852018 MGT852016:MGT852018 MQP852016:MQP852018 NAL852016:NAL852018 NKH852016:NKH852018 NUD852016:NUD852018 ODZ852016:ODZ852018 ONV852016:ONV852018 OXR852016:OXR852018 PHN852016:PHN852018 PRJ852016:PRJ852018 QBF852016:QBF852018 QLB852016:QLB852018 QUX852016:QUX852018 RET852016:RET852018 ROP852016:ROP852018 RYL852016:RYL852018 SIH852016:SIH852018 SSD852016:SSD852018 TBZ852016:TBZ852018 TLV852016:TLV852018 TVR852016:TVR852018 UFN852016:UFN852018 UPJ852016:UPJ852018 UZF852016:UZF852018 VJB852016:VJB852018 VSX852016:VSX852018 WCT852016:WCT852018 WMP852016:WMP852018 WWL852016:WWL852018 AD917552:AD917554 JZ917552:JZ917554 TV917552:TV917554 ADR917552:ADR917554 ANN917552:ANN917554 AXJ917552:AXJ917554 BHF917552:BHF917554 BRB917552:BRB917554 CAX917552:CAX917554 CKT917552:CKT917554 CUP917552:CUP917554 DEL917552:DEL917554 DOH917552:DOH917554 DYD917552:DYD917554 EHZ917552:EHZ917554 ERV917552:ERV917554 FBR917552:FBR917554 FLN917552:FLN917554 FVJ917552:FVJ917554 GFF917552:GFF917554 GPB917552:GPB917554 GYX917552:GYX917554 HIT917552:HIT917554 HSP917552:HSP917554 ICL917552:ICL917554 IMH917552:IMH917554 IWD917552:IWD917554 JFZ917552:JFZ917554 JPV917552:JPV917554 JZR917552:JZR917554 KJN917552:KJN917554 KTJ917552:KTJ917554 LDF917552:LDF917554 LNB917552:LNB917554 LWX917552:LWX917554 MGT917552:MGT917554 MQP917552:MQP917554 NAL917552:NAL917554 NKH917552:NKH917554 NUD917552:NUD917554 ODZ917552:ODZ917554 ONV917552:ONV917554 OXR917552:OXR917554 PHN917552:PHN917554 PRJ917552:PRJ917554 QBF917552:QBF917554 QLB917552:QLB917554 QUX917552:QUX917554 RET917552:RET917554 ROP917552:ROP917554 RYL917552:RYL917554 SIH917552:SIH917554 SSD917552:SSD917554 TBZ917552:TBZ917554 TLV917552:TLV917554 TVR917552:TVR917554 UFN917552:UFN917554 UPJ917552:UPJ917554 UZF917552:UZF917554 VJB917552:VJB917554 VSX917552:VSX917554 WCT917552:WCT917554 WMP917552:WMP917554 WWL917552:WWL917554 AD983088:AD983090 JZ983088:JZ983090 TV983088:TV983090 ADR983088:ADR983090 ANN983088:ANN983090 AXJ983088:AXJ983090 BHF983088:BHF983090 BRB983088:BRB983090 CAX983088:CAX983090 CKT983088:CKT983090 CUP983088:CUP983090 DEL983088:DEL983090 DOH983088:DOH983090 DYD983088:DYD983090 EHZ983088:EHZ983090 ERV983088:ERV983090 FBR983088:FBR983090 FLN983088:FLN983090 FVJ983088:FVJ983090 GFF983088:GFF983090 GPB983088:GPB983090 GYX983088:GYX983090 HIT983088:HIT983090 HSP983088:HSP983090 ICL983088:ICL983090 IMH983088:IMH983090 IWD983088:IWD983090 JFZ983088:JFZ983090 JPV983088:JPV983090 JZR983088:JZR983090 KJN983088:KJN983090 KTJ983088:KTJ983090 LDF983088:LDF983090 LNB983088:LNB983090 LWX983088:LWX983090 MGT983088:MGT983090 MQP983088:MQP983090 NAL983088:NAL983090 NKH983088:NKH983090 NUD983088:NUD983090 ODZ983088:ODZ983090 ONV983088:ONV983090 OXR983088:OXR983090 PHN983088:PHN983090 PRJ983088:PRJ983090 QBF983088:QBF983090 QLB983088:QLB983090 QUX983088:QUX983090 RET983088:RET983090 ROP983088:ROP983090 RYL983088:RYL983090 SIH983088:SIH983090 SSD983088:SSD983090 TBZ983088:TBZ983090 TLV983088:TLV983090 TVR983088:TVR983090 UFN983088:UFN983090 UPJ983088:UPJ983090 UZF983088:UZF983090 VJB983088:VJB983090 VSX983088:VSX983090 WCT983088:WCT983090 WMP983088:WMP983090 WWL983088:WWL983090 AB48:AB50 JX48:JX50 TT48:TT50 ADP48:ADP50 ANL48:ANL50 AXH48:AXH50 BHD48:BHD50 BQZ48:BQZ50 CAV48:CAV50 CKR48:CKR50 CUN48:CUN50 DEJ48:DEJ50 DOF48:DOF50 DYB48:DYB50 EHX48:EHX50 ERT48:ERT50 FBP48:FBP50 FLL48:FLL50 FVH48:FVH50 GFD48:GFD50 GOZ48:GOZ50 GYV48:GYV50 HIR48:HIR50 HSN48:HSN50 ICJ48:ICJ50 IMF48:IMF50 IWB48:IWB50 JFX48:JFX50 JPT48:JPT50 JZP48:JZP50 KJL48:KJL50 KTH48:KTH50 LDD48:LDD50 LMZ48:LMZ50 LWV48:LWV50 MGR48:MGR50 MQN48:MQN50 NAJ48:NAJ50 NKF48:NKF50 NUB48:NUB50 ODX48:ODX50 ONT48:ONT50 OXP48:OXP50 PHL48:PHL50 PRH48:PRH50 QBD48:QBD50 QKZ48:QKZ50 QUV48:QUV50 RER48:RER50 RON48:RON50 RYJ48:RYJ50 SIF48:SIF50 SSB48:SSB50 TBX48:TBX50 TLT48:TLT50 TVP48:TVP50 UFL48:UFL50 UPH48:UPH50 UZD48:UZD50 VIZ48:VIZ50 VSV48:VSV50 WCR48:WCR50 WMN48:WMN50 WWJ48:WWJ50 AB65584:AB65586 JX65584:JX65586 TT65584:TT65586 ADP65584:ADP65586 ANL65584:ANL65586 AXH65584:AXH65586 BHD65584:BHD65586 BQZ65584:BQZ65586 CAV65584:CAV65586 CKR65584:CKR65586 CUN65584:CUN65586 DEJ65584:DEJ65586 DOF65584:DOF65586 DYB65584:DYB65586 EHX65584:EHX65586 ERT65584:ERT65586 FBP65584:FBP65586 FLL65584:FLL65586 FVH65584:FVH65586 GFD65584:GFD65586 GOZ65584:GOZ65586 GYV65584:GYV65586 HIR65584:HIR65586 HSN65584:HSN65586 ICJ65584:ICJ65586 IMF65584:IMF65586 IWB65584:IWB65586 JFX65584:JFX65586 JPT65584:JPT65586 JZP65584:JZP65586 KJL65584:KJL65586 KTH65584:KTH65586 LDD65584:LDD65586 LMZ65584:LMZ65586 LWV65584:LWV65586 MGR65584:MGR65586 MQN65584:MQN65586 NAJ65584:NAJ65586 NKF65584:NKF65586 NUB65584:NUB65586 ODX65584:ODX65586 ONT65584:ONT65586 OXP65584:OXP65586 PHL65584:PHL65586 PRH65584:PRH65586 QBD65584:QBD65586 QKZ65584:QKZ65586 QUV65584:QUV65586 RER65584:RER65586 RON65584:RON65586 RYJ65584:RYJ65586 SIF65584:SIF65586 SSB65584:SSB65586 TBX65584:TBX65586 TLT65584:TLT65586 TVP65584:TVP65586 UFL65584:UFL65586 UPH65584:UPH65586 UZD65584:UZD65586 VIZ65584:VIZ65586 VSV65584:VSV65586 WCR65584:WCR65586 WMN65584:WMN65586 WWJ65584:WWJ65586 AB131120:AB131122 JX131120:JX131122 TT131120:TT131122 ADP131120:ADP131122 ANL131120:ANL131122 AXH131120:AXH131122 BHD131120:BHD131122 BQZ131120:BQZ131122 CAV131120:CAV131122 CKR131120:CKR131122 CUN131120:CUN131122 DEJ131120:DEJ131122 DOF131120:DOF131122 DYB131120:DYB131122 EHX131120:EHX131122 ERT131120:ERT131122 FBP131120:FBP131122 FLL131120:FLL131122 FVH131120:FVH131122 GFD131120:GFD131122 GOZ131120:GOZ131122 GYV131120:GYV131122 HIR131120:HIR131122 HSN131120:HSN131122 ICJ131120:ICJ131122 IMF131120:IMF131122 IWB131120:IWB131122 JFX131120:JFX131122 JPT131120:JPT131122 JZP131120:JZP131122 KJL131120:KJL131122 KTH131120:KTH131122 LDD131120:LDD131122 LMZ131120:LMZ131122 LWV131120:LWV131122 MGR131120:MGR131122 MQN131120:MQN131122 NAJ131120:NAJ131122 NKF131120:NKF131122 NUB131120:NUB131122 ODX131120:ODX131122 ONT131120:ONT131122 OXP131120:OXP131122 PHL131120:PHL131122 PRH131120:PRH131122 QBD131120:QBD131122 QKZ131120:QKZ131122 QUV131120:QUV131122 RER131120:RER131122 RON131120:RON131122 RYJ131120:RYJ131122 SIF131120:SIF131122 SSB131120:SSB131122 TBX131120:TBX131122 TLT131120:TLT131122 TVP131120:TVP131122 UFL131120:UFL131122 UPH131120:UPH131122 UZD131120:UZD131122 VIZ131120:VIZ131122 VSV131120:VSV131122 WCR131120:WCR131122 WMN131120:WMN131122 WWJ131120:WWJ131122 AB196656:AB196658 JX196656:JX196658 TT196656:TT196658 ADP196656:ADP196658 ANL196656:ANL196658 AXH196656:AXH196658 BHD196656:BHD196658 BQZ196656:BQZ196658 CAV196656:CAV196658 CKR196656:CKR196658 CUN196656:CUN196658 DEJ196656:DEJ196658 DOF196656:DOF196658 DYB196656:DYB196658 EHX196656:EHX196658 ERT196656:ERT196658 FBP196656:FBP196658 FLL196656:FLL196658 FVH196656:FVH196658 GFD196656:GFD196658 GOZ196656:GOZ196658 GYV196656:GYV196658 HIR196656:HIR196658 HSN196656:HSN196658 ICJ196656:ICJ196658 IMF196656:IMF196658 IWB196656:IWB196658 JFX196656:JFX196658 JPT196656:JPT196658 JZP196656:JZP196658 KJL196656:KJL196658 KTH196656:KTH196658 LDD196656:LDD196658 LMZ196656:LMZ196658 LWV196656:LWV196658 MGR196656:MGR196658 MQN196656:MQN196658 NAJ196656:NAJ196658 NKF196656:NKF196658 NUB196656:NUB196658 ODX196656:ODX196658 ONT196656:ONT196658 OXP196656:OXP196658 PHL196656:PHL196658 PRH196656:PRH196658 QBD196656:QBD196658 QKZ196656:QKZ196658 QUV196656:QUV196658 RER196656:RER196658 RON196656:RON196658 RYJ196656:RYJ196658 SIF196656:SIF196658 SSB196656:SSB196658 TBX196656:TBX196658 TLT196656:TLT196658 TVP196656:TVP196658 UFL196656:UFL196658 UPH196656:UPH196658 UZD196656:UZD196658 VIZ196656:VIZ196658 VSV196656:VSV196658 WCR196656:WCR196658 WMN196656:WMN196658 WWJ196656:WWJ196658 AB262192:AB262194 JX262192:JX262194 TT262192:TT262194 ADP262192:ADP262194 ANL262192:ANL262194 AXH262192:AXH262194 BHD262192:BHD262194 BQZ262192:BQZ262194 CAV262192:CAV262194 CKR262192:CKR262194 CUN262192:CUN262194 DEJ262192:DEJ262194 DOF262192:DOF262194 DYB262192:DYB262194 EHX262192:EHX262194 ERT262192:ERT262194 FBP262192:FBP262194 FLL262192:FLL262194 FVH262192:FVH262194 GFD262192:GFD262194 GOZ262192:GOZ262194 GYV262192:GYV262194 HIR262192:HIR262194 HSN262192:HSN262194 ICJ262192:ICJ262194 IMF262192:IMF262194 IWB262192:IWB262194 JFX262192:JFX262194 JPT262192:JPT262194 JZP262192:JZP262194 KJL262192:KJL262194 KTH262192:KTH262194 LDD262192:LDD262194 LMZ262192:LMZ262194 LWV262192:LWV262194 MGR262192:MGR262194 MQN262192:MQN262194 NAJ262192:NAJ262194 NKF262192:NKF262194 NUB262192:NUB262194 ODX262192:ODX262194 ONT262192:ONT262194 OXP262192:OXP262194 PHL262192:PHL262194 PRH262192:PRH262194 QBD262192:QBD262194 QKZ262192:QKZ262194 QUV262192:QUV262194 RER262192:RER262194 RON262192:RON262194 RYJ262192:RYJ262194 SIF262192:SIF262194 SSB262192:SSB262194 TBX262192:TBX262194 TLT262192:TLT262194 TVP262192:TVP262194 UFL262192:UFL262194 UPH262192:UPH262194 UZD262192:UZD262194 VIZ262192:VIZ262194 VSV262192:VSV262194 WCR262192:WCR262194 WMN262192:WMN262194 WWJ262192:WWJ262194 AB327728:AB327730 JX327728:JX327730 TT327728:TT327730 ADP327728:ADP327730 ANL327728:ANL327730 AXH327728:AXH327730 BHD327728:BHD327730 BQZ327728:BQZ327730 CAV327728:CAV327730 CKR327728:CKR327730 CUN327728:CUN327730 DEJ327728:DEJ327730 DOF327728:DOF327730 DYB327728:DYB327730 EHX327728:EHX327730 ERT327728:ERT327730 FBP327728:FBP327730 FLL327728:FLL327730 FVH327728:FVH327730 GFD327728:GFD327730 GOZ327728:GOZ327730 GYV327728:GYV327730 HIR327728:HIR327730 HSN327728:HSN327730 ICJ327728:ICJ327730 IMF327728:IMF327730 IWB327728:IWB327730 JFX327728:JFX327730 JPT327728:JPT327730 JZP327728:JZP327730 KJL327728:KJL327730 KTH327728:KTH327730 LDD327728:LDD327730 LMZ327728:LMZ327730 LWV327728:LWV327730 MGR327728:MGR327730 MQN327728:MQN327730 NAJ327728:NAJ327730 NKF327728:NKF327730 NUB327728:NUB327730 ODX327728:ODX327730 ONT327728:ONT327730 OXP327728:OXP327730 PHL327728:PHL327730 PRH327728:PRH327730 QBD327728:QBD327730 QKZ327728:QKZ327730 QUV327728:QUV327730 RER327728:RER327730 RON327728:RON327730 RYJ327728:RYJ327730 SIF327728:SIF327730 SSB327728:SSB327730 TBX327728:TBX327730 TLT327728:TLT327730 TVP327728:TVP327730 UFL327728:UFL327730 UPH327728:UPH327730 UZD327728:UZD327730 VIZ327728:VIZ327730 VSV327728:VSV327730 WCR327728:WCR327730 WMN327728:WMN327730 WWJ327728:WWJ327730 AB393264:AB393266 JX393264:JX393266 TT393264:TT393266 ADP393264:ADP393266 ANL393264:ANL393266 AXH393264:AXH393266 BHD393264:BHD393266 BQZ393264:BQZ393266 CAV393264:CAV393266 CKR393264:CKR393266 CUN393264:CUN393266 DEJ393264:DEJ393266 DOF393264:DOF393266 DYB393264:DYB393266 EHX393264:EHX393266 ERT393264:ERT393266 FBP393264:FBP393266 FLL393264:FLL393266 FVH393264:FVH393266 GFD393264:GFD393266 GOZ393264:GOZ393266 GYV393264:GYV393266 HIR393264:HIR393266 HSN393264:HSN393266 ICJ393264:ICJ393266 IMF393264:IMF393266 IWB393264:IWB393266 JFX393264:JFX393266 JPT393264:JPT393266 JZP393264:JZP393266 KJL393264:KJL393266 KTH393264:KTH393266 LDD393264:LDD393266 LMZ393264:LMZ393266 LWV393264:LWV393266 MGR393264:MGR393266 MQN393264:MQN393266 NAJ393264:NAJ393266 NKF393264:NKF393266 NUB393264:NUB393266 ODX393264:ODX393266 ONT393264:ONT393266 OXP393264:OXP393266 PHL393264:PHL393266 PRH393264:PRH393266 QBD393264:QBD393266 QKZ393264:QKZ393266 QUV393264:QUV393266 RER393264:RER393266 RON393264:RON393266 RYJ393264:RYJ393266 SIF393264:SIF393266 SSB393264:SSB393266 TBX393264:TBX393266 TLT393264:TLT393266 TVP393264:TVP393266 UFL393264:UFL393266 UPH393264:UPH393266 UZD393264:UZD393266 VIZ393264:VIZ393266 VSV393264:VSV393266 WCR393264:WCR393266 WMN393264:WMN393266 WWJ393264:WWJ393266 AB458800:AB458802 JX458800:JX458802 TT458800:TT458802 ADP458800:ADP458802 ANL458800:ANL458802 AXH458800:AXH458802 BHD458800:BHD458802 BQZ458800:BQZ458802 CAV458800:CAV458802 CKR458800:CKR458802 CUN458800:CUN458802 DEJ458800:DEJ458802 DOF458800:DOF458802 DYB458800:DYB458802 EHX458800:EHX458802 ERT458800:ERT458802 FBP458800:FBP458802 FLL458800:FLL458802 FVH458800:FVH458802 GFD458800:GFD458802 GOZ458800:GOZ458802 GYV458800:GYV458802 HIR458800:HIR458802 HSN458800:HSN458802 ICJ458800:ICJ458802 IMF458800:IMF458802 IWB458800:IWB458802 JFX458800:JFX458802 JPT458800:JPT458802 JZP458800:JZP458802 KJL458800:KJL458802 KTH458800:KTH458802 LDD458800:LDD458802 LMZ458800:LMZ458802 LWV458800:LWV458802 MGR458800:MGR458802 MQN458800:MQN458802 NAJ458800:NAJ458802 NKF458800:NKF458802 NUB458800:NUB458802 ODX458800:ODX458802 ONT458800:ONT458802 OXP458800:OXP458802 PHL458800:PHL458802 PRH458800:PRH458802 QBD458800:QBD458802 QKZ458800:QKZ458802 QUV458800:QUV458802 RER458800:RER458802 RON458800:RON458802 RYJ458800:RYJ458802 SIF458800:SIF458802 SSB458800:SSB458802 TBX458800:TBX458802 TLT458800:TLT458802 TVP458800:TVP458802 UFL458800:UFL458802 UPH458800:UPH458802 UZD458800:UZD458802 VIZ458800:VIZ458802 VSV458800:VSV458802 WCR458800:WCR458802 WMN458800:WMN458802 WWJ458800:WWJ458802 AB524336:AB524338 JX524336:JX524338 TT524336:TT524338 ADP524336:ADP524338 ANL524336:ANL524338 AXH524336:AXH524338 BHD524336:BHD524338 BQZ524336:BQZ524338 CAV524336:CAV524338 CKR524336:CKR524338 CUN524336:CUN524338 DEJ524336:DEJ524338 DOF524336:DOF524338 DYB524336:DYB524338 EHX524336:EHX524338 ERT524336:ERT524338 FBP524336:FBP524338 FLL524336:FLL524338 FVH524336:FVH524338 GFD524336:GFD524338 GOZ524336:GOZ524338 GYV524336:GYV524338 HIR524336:HIR524338 HSN524336:HSN524338 ICJ524336:ICJ524338 IMF524336:IMF524338 IWB524336:IWB524338 JFX524336:JFX524338 JPT524336:JPT524338 JZP524336:JZP524338 KJL524336:KJL524338 KTH524336:KTH524338 LDD524336:LDD524338 LMZ524336:LMZ524338 LWV524336:LWV524338 MGR524336:MGR524338 MQN524336:MQN524338 NAJ524336:NAJ524338 NKF524336:NKF524338 NUB524336:NUB524338 ODX524336:ODX524338 ONT524336:ONT524338 OXP524336:OXP524338 PHL524336:PHL524338 PRH524336:PRH524338 QBD524336:QBD524338 QKZ524336:QKZ524338 QUV524336:QUV524338 RER524336:RER524338 RON524336:RON524338 RYJ524336:RYJ524338 SIF524336:SIF524338 SSB524336:SSB524338 TBX524336:TBX524338 TLT524336:TLT524338 TVP524336:TVP524338 UFL524336:UFL524338 UPH524336:UPH524338 UZD524336:UZD524338 VIZ524336:VIZ524338 VSV524336:VSV524338 WCR524336:WCR524338 WMN524336:WMN524338 WWJ524336:WWJ524338 AB589872:AB589874 JX589872:JX589874 TT589872:TT589874 ADP589872:ADP589874 ANL589872:ANL589874 AXH589872:AXH589874 BHD589872:BHD589874 BQZ589872:BQZ589874 CAV589872:CAV589874 CKR589872:CKR589874 CUN589872:CUN589874 DEJ589872:DEJ589874 DOF589872:DOF589874 DYB589872:DYB589874 EHX589872:EHX589874 ERT589872:ERT589874 FBP589872:FBP589874 FLL589872:FLL589874 FVH589872:FVH589874 GFD589872:GFD589874 GOZ589872:GOZ589874 GYV589872:GYV589874 HIR589872:HIR589874 HSN589872:HSN589874 ICJ589872:ICJ589874 IMF589872:IMF589874 IWB589872:IWB589874 JFX589872:JFX589874 JPT589872:JPT589874 JZP589872:JZP589874 KJL589872:KJL589874 KTH589872:KTH589874 LDD589872:LDD589874 LMZ589872:LMZ589874 LWV589872:LWV589874 MGR589872:MGR589874 MQN589872:MQN589874 NAJ589872:NAJ589874 NKF589872:NKF589874 NUB589872:NUB589874 ODX589872:ODX589874 ONT589872:ONT589874 OXP589872:OXP589874 PHL589872:PHL589874 PRH589872:PRH589874 QBD589872:QBD589874 QKZ589872:QKZ589874 QUV589872:QUV589874 RER589872:RER589874 RON589872:RON589874 RYJ589872:RYJ589874 SIF589872:SIF589874 SSB589872:SSB589874 TBX589872:TBX589874 TLT589872:TLT589874 TVP589872:TVP589874 UFL589872:UFL589874 UPH589872:UPH589874 UZD589872:UZD589874 VIZ589872:VIZ589874 VSV589872:VSV589874 WCR589872:WCR589874 WMN589872:WMN589874 WWJ589872:WWJ589874 AB655408:AB655410 JX655408:JX655410 TT655408:TT655410 ADP655408:ADP655410 ANL655408:ANL655410 AXH655408:AXH655410 BHD655408:BHD655410 BQZ655408:BQZ655410 CAV655408:CAV655410 CKR655408:CKR655410 CUN655408:CUN655410 DEJ655408:DEJ655410 DOF655408:DOF655410 DYB655408:DYB655410 EHX655408:EHX655410 ERT655408:ERT655410 FBP655408:FBP655410 FLL655408:FLL655410 FVH655408:FVH655410 GFD655408:GFD655410 GOZ655408:GOZ655410 GYV655408:GYV655410 HIR655408:HIR655410 HSN655408:HSN655410 ICJ655408:ICJ655410 IMF655408:IMF655410 IWB655408:IWB655410 JFX655408:JFX655410 JPT655408:JPT655410 JZP655408:JZP655410 KJL655408:KJL655410 KTH655408:KTH655410 LDD655408:LDD655410 LMZ655408:LMZ655410 LWV655408:LWV655410 MGR655408:MGR655410 MQN655408:MQN655410 NAJ655408:NAJ655410 NKF655408:NKF655410 NUB655408:NUB655410 ODX655408:ODX655410 ONT655408:ONT655410 OXP655408:OXP655410 PHL655408:PHL655410 PRH655408:PRH655410 QBD655408:QBD655410 QKZ655408:QKZ655410 QUV655408:QUV655410 RER655408:RER655410 RON655408:RON655410 RYJ655408:RYJ655410 SIF655408:SIF655410 SSB655408:SSB655410 TBX655408:TBX655410 TLT655408:TLT655410 TVP655408:TVP655410 UFL655408:UFL655410 UPH655408:UPH655410 UZD655408:UZD655410 VIZ655408:VIZ655410 VSV655408:VSV655410 WCR655408:WCR655410 WMN655408:WMN655410 WWJ655408:WWJ655410 AB720944:AB720946 JX720944:JX720946 TT720944:TT720946 ADP720944:ADP720946 ANL720944:ANL720946 AXH720944:AXH720946 BHD720944:BHD720946 BQZ720944:BQZ720946 CAV720944:CAV720946 CKR720944:CKR720946 CUN720944:CUN720946 DEJ720944:DEJ720946 DOF720944:DOF720946 DYB720944:DYB720946 EHX720944:EHX720946 ERT720944:ERT720946 FBP720944:FBP720946 FLL720944:FLL720946 FVH720944:FVH720946 GFD720944:GFD720946 GOZ720944:GOZ720946 GYV720944:GYV720946 HIR720944:HIR720946 HSN720944:HSN720946 ICJ720944:ICJ720946 IMF720944:IMF720946 IWB720944:IWB720946 JFX720944:JFX720946 JPT720944:JPT720946 JZP720944:JZP720946 KJL720944:KJL720946 KTH720944:KTH720946 LDD720944:LDD720946 LMZ720944:LMZ720946 LWV720944:LWV720946 MGR720944:MGR720946 MQN720944:MQN720946 NAJ720944:NAJ720946 NKF720944:NKF720946 NUB720944:NUB720946 ODX720944:ODX720946 ONT720944:ONT720946 OXP720944:OXP720946 PHL720944:PHL720946 PRH720944:PRH720946 QBD720944:QBD720946 QKZ720944:QKZ720946 QUV720944:QUV720946 RER720944:RER720946 RON720944:RON720946 RYJ720944:RYJ720946 SIF720944:SIF720946 SSB720944:SSB720946 TBX720944:TBX720946 TLT720944:TLT720946 TVP720944:TVP720946 UFL720944:UFL720946 UPH720944:UPH720946 UZD720944:UZD720946 VIZ720944:VIZ720946 VSV720944:VSV720946 WCR720944:WCR720946 WMN720944:WMN720946 WWJ720944:WWJ720946 AB786480:AB786482 JX786480:JX786482 TT786480:TT786482 ADP786480:ADP786482 ANL786480:ANL786482 AXH786480:AXH786482 BHD786480:BHD786482 BQZ786480:BQZ786482 CAV786480:CAV786482 CKR786480:CKR786482 CUN786480:CUN786482 DEJ786480:DEJ786482 DOF786480:DOF786482 DYB786480:DYB786482 EHX786480:EHX786482 ERT786480:ERT786482 FBP786480:FBP786482 FLL786480:FLL786482 FVH786480:FVH786482 GFD786480:GFD786482 GOZ786480:GOZ786482 GYV786480:GYV786482 HIR786480:HIR786482 HSN786480:HSN786482 ICJ786480:ICJ786482 IMF786480:IMF786482 IWB786480:IWB786482 JFX786480:JFX786482 JPT786480:JPT786482 JZP786480:JZP786482 KJL786480:KJL786482 KTH786480:KTH786482 LDD786480:LDD786482 LMZ786480:LMZ786482 LWV786480:LWV786482 MGR786480:MGR786482 MQN786480:MQN786482 NAJ786480:NAJ786482 NKF786480:NKF786482 NUB786480:NUB786482 ODX786480:ODX786482 ONT786480:ONT786482 OXP786480:OXP786482 PHL786480:PHL786482 PRH786480:PRH786482 QBD786480:QBD786482 QKZ786480:QKZ786482 QUV786480:QUV786482 RER786480:RER786482 RON786480:RON786482 RYJ786480:RYJ786482 SIF786480:SIF786482 SSB786480:SSB786482 TBX786480:TBX786482 TLT786480:TLT786482 TVP786480:TVP786482 UFL786480:UFL786482 UPH786480:UPH786482 UZD786480:UZD786482 VIZ786480:VIZ786482 VSV786480:VSV786482 WCR786480:WCR786482 WMN786480:WMN786482 WWJ786480:WWJ786482 AB852016:AB852018 JX852016:JX852018 TT852016:TT852018 ADP852016:ADP852018 ANL852016:ANL852018 AXH852016:AXH852018 BHD852016:BHD852018 BQZ852016:BQZ852018 CAV852016:CAV852018 CKR852016:CKR852018 CUN852016:CUN852018 DEJ852016:DEJ852018 DOF852016:DOF852018 DYB852016:DYB852018 EHX852016:EHX852018 ERT852016:ERT852018 FBP852016:FBP852018 FLL852016:FLL852018 FVH852016:FVH852018 GFD852016:GFD852018 GOZ852016:GOZ852018 GYV852016:GYV852018 HIR852016:HIR852018 HSN852016:HSN852018 ICJ852016:ICJ852018 IMF852016:IMF852018 IWB852016:IWB852018 JFX852016:JFX852018 JPT852016:JPT852018 JZP852016:JZP852018 KJL852016:KJL852018 KTH852016:KTH852018 LDD852016:LDD852018 LMZ852016:LMZ852018 LWV852016:LWV852018 MGR852016:MGR852018 MQN852016:MQN852018 NAJ852016:NAJ852018 NKF852016:NKF852018 NUB852016:NUB852018 ODX852016:ODX852018 ONT852016:ONT852018 OXP852016:OXP852018 PHL852016:PHL852018 PRH852016:PRH852018 QBD852016:QBD852018 QKZ852016:QKZ852018 QUV852016:QUV852018 RER852016:RER852018 RON852016:RON852018 RYJ852016:RYJ852018 SIF852016:SIF852018 SSB852016:SSB852018 TBX852016:TBX852018 TLT852016:TLT852018 TVP852016:TVP852018 UFL852016:UFL852018 UPH852016:UPH852018 UZD852016:UZD852018 VIZ852016:VIZ852018 VSV852016:VSV852018 WCR852016:WCR852018 WMN852016:WMN852018 WWJ852016:WWJ852018 AB917552:AB917554 JX917552:JX917554 TT917552:TT917554 ADP917552:ADP917554 ANL917552:ANL917554 AXH917552:AXH917554 BHD917552:BHD917554 BQZ917552:BQZ917554 CAV917552:CAV917554 CKR917552:CKR917554 CUN917552:CUN917554 DEJ917552:DEJ917554 DOF917552:DOF917554 DYB917552:DYB917554 EHX917552:EHX917554 ERT917552:ERT917554 FBP917552:FBP917554 FLL917552:FLL917554 FVH917552:FVH917554 GFD917552:GFD917554 GOZ917552:GOZ917554 GYV917552:GYV917554 HIR917552:HIR917554 HSN917552:HSN917554 ICJ917552:ICJ917554 IMF917552:IMF917554 IWB917552:IWB917554 JFX917552:JFX917554 JPT917552:JPT917554 JZP917552:JZP917554 KJL917552:KJL917554 KTH917552:KTH917554 LDD917552:LDD917554 LMZ917552:LMZ917554 LWV917552:LWV917554 MGR917552:MGR917554 MQN917552:MQN917554 NAJ917552:NAJ917554 NKF917552:NKF917554 NUB917552:NUB917554 ODX917552:ODX917554 ONT917552:ONT917554 OXP917552:OXP917554 PHL917552:PHL917554 PRH917552:PRH917554 QBD917552:QBD917554 QKZ917552:QKZ917554 QUV917552:QUV917554 RER917552:RER917554 RON917552:RON917554 RYJ917552:RYJ917554 SIF917552:SIF917554 SSB917552:SSB917554 TBX917552:TBX917554 TLT917552:TLT917554 TVP917552:TVP917554 UFL917552:UFL917554 UPH917552:UPH917554 UZD917552:UZD917554 VIZ917552:VIZ917554 VSV917552:VSV917554 WCR917552:WCR917554 WMN917552:WMN917554 WWJ917552:WWJ917554 AB983088:AB983090 JX983088:JX983090 TT983088:TT983090 ADP983088:ADP983090 ANL983088:ANL983090 AXH983088:AXH983090 BHD983088:BHD983090 BQZ983088:BQZ983090 CAV983088:CAV983090 CKR983088:CKR983090 CUN983088:CUN983090 DEJ983088:DEJ983090 DOF983088:DOF983090 DYB983088:DYB983090 EHX983088:EHX983090 ERT983088:ERT983090 FBP983088:FBP983090 FLL983088:FLL983090 FVH983088:FVH983090 GFD983088:GFD983090 GOZ983088:GOZ983090 GYV983088:GYV983090 HIR983088:HIR983090 HSN983088:HSN983090 ICJ983088:ICJ983090 IMF983088:IMF983090 IWB983088:IWB983090 JFX983088:JFX983090 JPT983088:JPT983090 JZP983088:JZP983090 KJL983088:KJL983090 KTH983088:KTH983090 LDD983088:LDD983090 LMZ983088:LMZ983090 LWV983088:LWV983090 MGR983088:MGR983090 MQN983088:MQN983090 NAJ983088:NAJ983090 NKF983088:NKF983090 NUB983088:NUB983090 ODX983088:ODX983090 ONT983088:ONT983090 OXP983088:OXP983090 PHL983088:PHL983090 PRH983088:PRH983090 QBD983088:QBD983090 QKZ983088:QKZ983090 QUV983088:QUV983090 RER983088:RER983090 RON983088:RON983090 RYJ983088:RYJ983090 SIF983088:SIF983090 SSB983088:SSB983090 TBX983088:TBX983090 TLT983088:TLT983090 TVP983088:TVP983090 UFL983088:UFL983090 UPH983088:UPH983090 UZD983088:UZD983090 VIZ983088:VIZ983090 VSV983088:VSV983090 WCR983088:WCR983090 WMN983088:WMN983090 WWJ983088:WWJ983090 AB38:AB40 JX38:JX40 TT38:TT40 ADP38:ADP40 ANL38:ANL40 AXH38:AXH40 BHD38:BHD40 BQZ38:BQZ40 CAV38:CAV40 CKR38:CKR40 CUN38:CUN40 DEJ38:DEJ40 DOF38:DOF40 DYB38:DYB40 EHX38:EHX40 ERT38:ERT40 FBP38:FBP40 FLL38:FLL40 FVH38:FVH40 GFD38:GFD40 GOZ38:GOZ40 GYV38:GYV40 HIR38:HIR40 HSN38:HSN40 ICJ38:ICJ40 IMF38:IMF40 IWB38:IWB40 JFX38:JFX40 JPT38:JPT40 JZP38:JZP40 KJL38:KJL40 KTH38:KTH40 LDD38:LDD40 LMZ38:LMZ40 LWV38:LWV40 MGR38:MGR40 MQN38:MQN40 NAJ38:NAJ40 NKF38:NKF40 NUB38:NUB40 ODX38:ODX40 ONT38:ONT40 OXP38:OXP40 PHL38:PHL40 PRH38:PRH40 QBD38:QBD40 QKZ38:QKZ40 QUV38:QUV40 RER38:RER40 RON38:RON40 RYJ38:RYJ40 SIF38:SIF40 SSB38:SSB40 TBX38:TBX40 TLT38:TLT40 TVP38:TVP40 UFL38:UFL40 UPH38:UPH40 UZD38:UZD40 VIZ38:VIZ40 VSV38:VSV40 WCR38:WCR40 WMN38:WMN40 WWJ38:WWJ40 AB65574:AB65576 JX65574:JX65576 TT65574:TT65576 ADP65574:ADP65576 ANL65574:ANL65576 AXH65574:AXH65576 BHD65574:BHD65576 BQZ65574:BQZ65576 CAV65574:CAV65576 CKR65574:CKR65576 CUN65574:CUN65576 DEJ65574:DEJ65576 DOF65574:DOF65576 DYB65574:DYB65576 EHX65574:EHX65576 ERT65574:ERT65576 FBP65574:FBP65576 FLL65574:FLL65576 FVH65574:FVH65576 GFD65574:GFD65576 GOZ65574:GOZ65576 GYV65574:GYV65576 HIR65574:HIR65576 HSN65574:HSN65576 ICJ65574:ICJ65576 IMF65574:IMF65576 IWB65574:IWB65576 JFX65574:JFX65576 JPT65574:JPT65576 JZP65574:JZP65576 KJL65574:KJL65576 KTH65574:KTH65576 LDD65574:LDD65576 LMZ65574:LMZ65576 LWV65574:LWV65576 MGR65574:MGR65576 MQN65574:MQN65576 NAJ65574:NAJ65576 NKF65574:NKF65576 NUB65574:NUB65576 ODX65574:ODX65576 ONT65574:ONT65576 OXP65574:OXP65576 PHL65574:PHL65576 PRH65574:PRH65576 QBD65574:QBD65576 QKZ65574:QKZ65576 QUV65574:QUV65576 RER65574:RER65576 RON65574:RON65576 RYJ65574:RYJ65576 SIF65574:SIF65576 SSB65574:SSB65576 TBX65574:TBX65576 TLT65574:TLT65576 TVP65574:TVP65576 UFL65574:UFL65576 UPH65574:UPH65576 UZD65574:UZD65576 VIZ65574:VIZ65576 VSV65574:VSV65576 WCR65574:WCR65576 WMN65574:WMN65576 WWJ65574:WWJ65576 AB131110:AB131112 JX131110:JX131112 TT131110:TT131112 ADP131110:ADP131112 ANL131110:ANL131112 AXH131110:AXH131112 BHD131110:BHD131112 BQZ131110:BQZ131112 CAV131110:CAV131112 CKR131110:CKR131112 CUN131110:CUN131112 DEJ131110:DEJ131112 DOF131110:DOF131112 DYB131110:DYB131112 EHX131110:EHX131112 ERT131110:ERT131112 FBP131110:FBP131112 FLL131110:FLL131112 FVH131110:FVH131112 GFD131110:GFD131112 GOZ131110:GOZ131112 GYV131110:GYV131112 HIR131110:HIR131112 HSN131110:HSN131112 ICJ131110:ICJ131112 IMF131110:IMF131112 IWB131110:IWB131112 JFX131110:JFX131112 JPT131110:JPT131112 JZP131110:JZP131112 KJL131110:KJL131112 KTH131110:KTH131112 LDD131110:LDD131112 LMZ131110:LMZ131112 LWV131110:LWV131112 MGR131110:MGR131112 MQN131110:MQN131112 NAJ131110:NAJ131112 NKF131110:NKF131112 NUB131110:NUB131112 ODX131110:ODX131112 ONT131110:ONT131112 OXP131110:OXP131112 PHL131110:PHL131112 PRH131110:PRH131112 QBD131110:QBD131112 QKZ131110:QKZ131112 QUV131110:QUV131112 RER131110:RER131112 RON131110:RON131112 RYJ131110:RYJ131112 SIF131110:SIF131112 SSB131110:SSB131112 TBX131110:TBX131112 TLT131110:TLT131112 TVP131110:TVP131112 UFL131110:UFL131112 UPH131110:UPH131112 UZD131110:UZD131112 VIZ131110:VIZ131112 VSV131110:VSV131112 WCR131110:WCR131112 WMN131110:WMN131112 WWJ131110:WWJ131112 AB196646:AB196648 JX196646:JX196648 TT196646:TT196648 ADP196646:ADP196648 ANL196646:ANL196648 AXH196646:AXH196648 BHD196646:BHD196648 BQZ196646:BQZ196648 CAV196646:CAV196648 CKR196646:CKR196648 CUN196646:CUN196648 DEJ196646:DEJ196648 DOF196646:DOF196648 DYB196646:DYB196648 EHX196646:EHX196648 ERT196646:ERT196648 FBP196646:FBP196648 FLL196646:FLL196648 FVH196646:FVH196648 GFD196646:GFD196648 GOZ196646:GOZ196648 GYV196646:GYV196648 HIR196646:HIR196648 HSN196646:HSN196648 ICJ196646:ICJ196648 IMF196646:IMF196648 IWB196646:IWB196648 JFX196646:JFX196648 JPT196646:JPT196648 JZP196646:JZP196648 KJL196646:KJL196648 KTH196646:KTH196648 LDD196646:LDD196648 LMZ196646:LMZ196648 LWV196646:LWV196648 MGR196646:MGR196648 MQN196646:MQN196648 NAJ196646:NAJ196648 NKF196646:NKF196648 NUB196646:NUB196648 ODX196646:ODX196648 ONT196646:ONT196648 OXP196646:OXP196648 PHL196646:PHL196648 PRH196646:PRH196648 QBD196646:QBD196648 QKZ196646:QKZ196648 QUV196646:QUV196648 RER196646:RER196648 RON196646:RON196648 RYJ196646:RYJ196648 SIF196646:SIF196648 SSB196646:SSB196648 TBX196646:TBX196648 TLT196646:TLT196648 TVP196646:TVP196648 UFL196646:UFL196648 UPH196646:UPH196648 UZD196646:UZD196648 VIZ196646:VIZ196648 VSV196646:VSV196648 WCR196646:WCR196648 WMN196646:WMN196648 WWJ196646:WWJ196648 AB262182:AB262184 JX262182:JX262184 TT262182:TT262184 ADP262182:ADP262184 ANL262182:ANL262184 AXH262182:AXH262184 BHD262182:BHD262184 BQZ262182:BQZ262184 CAV262182:CAV262184 CKR262182:CKR262184 CUN262182:CUN262184 DEJ262182:DEJ262184 DOF262182:DOF262184 DYB262182:DYB262184 EHX262182:EHX262184 ERT262182:ERT262184 FBP262182:FBP262184 FLL262182:FLL262184 FVH262182:FVH262184 GFD262182:GFD262184 GOZ262182:GOZ262184 GYV262182:GYV262184 HIR262182:HIR262184 HSN262182:HSN262184 ICJ262182:ICJ262184 IMF262182:IMF262184 IWB262182:IWB262184 JFX262182:JFX262184 JPT262182:JPT262184 JZP262182:JZP262184 KJL262182:KJL262184 KTH262182:KTH262184 LDD262182:LDD262184 LMZ262182:LMZ262184 LWV262182:LWV262184 MGR262182:MGR262184 MQN262182:MQN262184 NAJ262182:NAJ262184 NKF262182:NKF262184 NUB262182:NUB262184 ODX262182:ODX262184 ONT262182:ONT262184 OXP262182:OXP262184 PHL262182:PHL262184 PRH262182:PRH262184 QBD262182:QBD262184 QKZ262182:QKZ262184 QUV262182:QUV262184 RER262182:RER262184 RON262182:RON262184 RYJ262182:RYJ262184 SIF262182:SIF262184 SSB262182:SSB262184 TBX262182:TBX262184 TLT262182:TLT262184 TVP262182:TVP262184 UFL262182:UFL262184 UPH262182:UPH262184 UZD262182:UZD262184 VIZ262182:VIZ262184 VSV262182:VSV262184 WCR262182:WCR262184 WMN262182:WMN262184 WWJ262182:WWJ262184 AB327718:AB327720 JX327718:JX327720 TT327718:TT327720 ADP327718:ADP327720 ANL327718:ANL327720 AXH327718:AXH327720 BHD327718:BHD327720 BQZ327718:BQZ327720 CAV327718:CAV327720 CKR327718:CKR327720 CUN327718:CUN327720 DEJ327718:DEJ327720 DOF327718:DOF327720 DYB327718:DYB327720 EHX327718:EHX327720 ERT327718:ERT327720 FBP327718:FBP327720 FLL327718:FLL327720 FVH327718:FVH327720 GFD327718:GFD327720 GOZ327718:GOZ327720 GYV327718:GYV327720 HIR327718:HIR327720 HSN327718:HSN327720 ICJ327718:ICJ327720 IMF327718:IMF327720 IWB327718:IWB327720 JFX327718:JFX327720 JPT327718:JPT327720 JZP327718:JZP327720 KJL327718:KJL327720 KTH327718:KTH327720 LDD327718:LDD327720 LMZ327718:LMZ327720 LWV327718:LWV327720 MGR327718:MGR327720 MQN327718:MQN327720 NAJ327718:NAJ327720 NKF327718:NKF327720 NUB327718:NUB327720 ODX327718:ODX327720 ONT327718:ONT327720 OXP327718:OXP327720 PHL327718:PHL327720 PRH327718:PRH327720 QBD327718:QBD327720 QKZ327718:QKZ327720 QUV327718:QUV327720 RER327718:RER327720 RON327718:RON327720 RYJ327718:RYJ327720 SIF327718:SIF327720 SSB327718:SSB327720 TBX327718:TBX327720 TLT327718:TLT327720 TVP327718:TVP327720 UFL327718:UFL327720 UPH327718:UPH327720 UZD327718:UZD327720 VIZ327718:VIZ327720 VSV327718:VSV327720 WCR327718:WCR327720 WMN327718:WMN327720 WWJ327718:WWJ327720 AB393254:AB393256 JX393254:JX393256 TT393254:TT393256 ADP393254:ADP393256 ANL393254:ANL393256 AXH393254:AXH393256 BHD393254:BHD393256 BQZ393254:BQZ393256 CAV393254:CAV393256 CKR393254:CKR393256 CUN393254:CUN393256 DEJ393254:DEJ393256 DOF393254:DOF393256 DYB393254:DYB393256 EHX393254:EHX393256 ERT393254:ERT393256 FBP393254:FBP393256 FLL393254:FLL393256 FVH393254:FVH393256 GFD393254:GFD393256 GOZ393254:GOZ393256 GYV393254:GYV393256 HIR393254:HIR393256 HSN393254:HSN393256 ICJ393254:ICJ393256 IMF393254:IMF393256 IWB393254:IWB393256 JFX393254:JFX393256 JPT393254:JPT393256 JZP393254:JZP393256 KJL393254:KJL393256 KTH393254:KTH393256 LDD393254:LDD393256 LMZ393254:LMZ393256 LWV393254:LWV393256 MGR393254:MGR393256 MQN393254:MQN393256 NAJ393254:NAJ393256 NKF393254:NKF393256 NUB393254:NUB393256 ODX393254:ODX393256 ONT393254:ONT393256 OXP393254:OXP393256 PHL393254:PHL393256 PRH393254:PRH393256 QBD393254:QBD393256 QKZ393254:QKZ393256 QUV393254:QUV393256 RER393254:RER393256 RON393254:RON393256 RYJ393254:RYJ393256 SIF393254:SIF393256 SSB393254:SSB393256 TBX393254:TBX393256 TLT393254:TLT393256 TVP393254:TVP393256 UFL393254:UFL393256 UPH393254:UPH393256 UZD393254:UZD393256 VIZ393254:VIZ393256 VSV393254:VSV393256 WCR393254:WCR393256 WMN393254:WMN393256 WWJ393254:WWJ393256 AB458790:AB458792 JX458790:JX458792 TT458790:TT458792 ADP458790:ADP458792 ANL458790:ANL458792 AXH458790:AXH458792 BHD458790:BHD458792 BQZ458790:BQZ458792 CAV458790:CAV458792 CKR458790:CKR458792 CUN458790:CUN458792 DEJ458790:DEJ458792 DOF458790:DOF458792 DYB458790:DYB458792 EHX458790:EHX458792 ERT458790:ERT458792 FBP458790:FBP458792 FLL458790:FLL458792 FVH458790:FVH458792 GFD458790:GFD458792 GOZ458790:GOZ458792 GYV458790:GYV458792 HIR458790:HIR458792 HSN458790:HSN458792 ICJ458790:ICJ458792 IMF458790:IMF458792 IWB458790:IWB458792 JFX458790:JFX458792 JPT458790:JPT458792 JZP458790:JZP458792 KJL458790:KJL458792 KTH458790:KTH458792 LDD458790:LDD458792 LMZ458790:LMZ458792 LWV458790:LWV458792 MGR458790:MGR458792 MQN458790:MQN458792 NAJ458790:NAJ458792 NKF458790:NKF458792 NUB458790:NUB458792 ODX458790:ODX458792 ONT458790:ONT458792 OXP458790:OXP458792 PHL458790:PHL458792 PRH458790:PRH458792 QBD458790:QBD458792 QKZ458790:QKZ458792 QUV458790:QUV458792 RER458790:RER458792 RON458790:RON458792 RYJ458790:RYJ458792 SIF458790:SIF458792 SSB458790:SSB458792 TBX458790:TBX458792 TLT458790:TLT458792 TVP458790:TVP458792 UFL458790:UFL458792 UPH458790:UPH458792 UZD458790:UZD458792 VIZ458790:VIZ458792 VSV458790:VSV458792 WCR458790:WCR458792 WMN458790:WMN458792 WWJ458790:WWJ458792 AB524326:AB524328 JX524326:JX524328 TT524326:TT524328 ADP524326:ADP524328 ANL524326:ANL524328 AXH524326:AXH524328 BHD524326:BHD524328 BQZ524326:BQZ524328 CAV524326:CAV524328 CKR524326:CKR524328 CUN524326:CUN524328 DEJ524326:DEJ524328 DOF524326:DOF524328 DYB524326:DYB524328 EHX524326:EHX524328 ERT524326:ERT524328 FBP524326:FBP524328 FLL524326:FLL524328 FVH524326:FVH524328 GFD524326:GFD524328 GOZ524326:GOZ524328 GYV524326:GYV524328 HIR524326:HIR524328 HSN524326:HSN524328 ICJ524326:ICJ524328 IMF524326:IMF524328 IWB524326:IWB524328 JFX524326:JFX524328 JPT524326:JPT524328 JZP524326:JZP524328 KJL524326:KJL524328 KTH524326:KTH524328 LDD524326:LDD524328 LMZ524326:LMZ524328 LWV524326:LWV524328 MGR524326:MGR524328 MQN524326:MQN524328 NAJ524326:NAJ524328 NKF524326:NKF524328 NUB524326:NUB524328 ODX524326:ODX524328 ONT524326:ONT524328 OXP524326:OXP524328 PHL524326:PHL524328 PRH524326:PRH524328 QBD524326:QBD524328 QKZ524326:QKZ524328 QUV524326:QUV524328 RER524326:RER524328 RON524326:RON524328 RYJ524326:RYJ524328 SIF524326:SIF524328 SSB524326:SSB524328 TBX524326:TBX524328 TLT524326:TLT524328 TVP524326:TVP524328 UFL524326:UFL524328 UPH524326:UPH524328 UZD524326:UZD524328 VIZ524326:VIZ524328 VSV524326:VSV524328 WCR524326:WCR524328 WMN524326:WMN524328 WWJ524326:WWJ524328 AB589862:AB589864 JX589862:JX589864 TT589862:TT589864 ADP589862:ADP589864 ANL589862:ANL589864 AXH589862:AXH589864 BHD589862:BHD589864 BQZ589862:BQZ589864 CAV589862:CAV589864 CKR589862:CKR589864 CUN589862:CUN589864 DEJ589862:DEJ589864 DOF589862:DOF589864 DYB589862:DYB589864 EHX589862:EHX589864 ERT589862:ERT589864 FBP589862:FBP589864 FLL589862:FLL589864 FVH589862:FVH589864 GFD589862:GFD589864 GOZ589862:GOZ589864 GYV589862:GYV589864 HIR589862:HIR589864 HSN589862:HSN589864 ICJ589862:ICJ589864 IMF589862:IMF589864 IWB589862:IWB589864 JFX589862:JFX589864 JPT589862:JPT589864 JZP589862:JZP589864 KJL589862:KJL589864 KTH589862:KTH589864 LDD589862:LDD589864 LMZ589862:LMZ589864 LWV589862:LWV589864 MGR589862:MGR589864 MQN589862:MQN589864 NAJ589862:NAJ589864 NKF589862:NKF589864 NUB589862:NUB589864 ODX589862:ODX589864 ONT589862:ONT589864 OXP589862:OXP589864 PHL589862:PHL589864 PRH589862:PRH589864 QBD589862:QBD589864 QKZ589862:QKZ589864 QUV589862:QUV589864 RER589862:RER589864 RON589862:RON589864 RYJ589862:RYJ589864 SIF589862:SIF589864 SSB589862:SSB589864 TBX589862:TBX589864 TLT589862:TLT589864 TVP589862:TVP589864 UFL589862:UFL589864 UPH589862:UPH589864 UZD589862:UZD589864 VIZ589862:VIZ589864 VSV589862:VSV589864 WCR589862:WCR589864 WMN589862:WMN589864 WWJ589862:WWJ589864 AB655398:AB655400 JX655398:JX655400 TT655398:TT655400 ADP655398:ADP655400 ANL655398:ANL655400 AXH655398:AXH655400 BHD655398:BHD655400 BQZ655398:BQZ655400 CAV655398:CAV655400 CKR655398:CKR655400 CUN655398:CUN655400 DEJ655398:DEJ655400 DOF655398:DOF655400 DYB655398:DYB655400 EHX655398:EHX655400 ERT655398:ERT655400 FBP655398:FBP655400 FLL655398:FLL655400 FVH655398:FVH655400 GFD655398:GFD655400 GOZ655398:GOZ655400 GYV655398:GYV655400 HIR655398:HIR655400 HSN655398:HSN655400 ICJ655398:ICJ655400 IMF655398:IMF655400 IWB655398:IWB655400 JFX655398:JFX655400 JPT655398:JPT655400 JZP655398:JZP655400 KJL655398:KJL655400 KTH655398:KTH655400 LDD655398:LDD655400 LMZ655398:LMZ655400 LWV655398:LWV655400 MGR655398:MGR655400 MQN655398:MQN655400 NAJ655398:NAJ655400 NKF655398:NKF655400 NUB655398:NUB655400 ODX655398:ODX655400 ONT655398:ONT655400 OXP655398:OXP655400 PHL655398:PHL655400 PRH655398:PRH655400 QBD655398:QBD655400 QKZ655398:QKZ655400 QUV655398:QUV655400 RER655398:RER655400 RON655398:RON655400 RYJ655398:RYJ655400 SIF655398:SIF655400 SSB655398:SSB655400 TBX655398:TBX655400 TLT655398:TLT655400 TVP655398:TVP655400 UFL655398:UFL655400 UPH655398:UPH655400 UZD655398:UZD655400 VIZ655398:VIZ655400 VSV655398:VSV655400 WCR655398:WCR655400 WMN655398:WMN655400 WWJ655398:WWJ655400 AB720934:AB720936 JX720934:JX720936 TT720934:TT720936 ADP720934:ADP720936 ANL720934:ANL720936 AXH720934:AXH720936 BHD720934:BHD720936 BQZ720934:BQZ720936 CAV720934:CAV720936 CKR720934:CKR720936 CUN720934:CUN720936 DEJ720934:DEJ720936 DOF720934:DOF720936 DYB720934:DYB720936 EHX720934:EHX720936 ERT720934:ERT720936 FBP720934:FBP720936 FLL720934:FLL720936 FVH720934:FVH720936 GFD720934:GFD720936 GOZ720934:GOZ720936 GYV720934:GYV720936 HIR720934:HIR720936 HSN720934:HSN720936 ICJ720934:ICJ720936 IMF720934:IMF720936 IWB720934:IWB720936 JFX720934:JFX720936 JPT720934:JPT720936 JZP720934:JZP720936 KJL720934:KJL720936 KTH720934:KTH720936 LDD720934:LDD720936 LMZ720934:LMZ720936 LWV720934:LWV720936 MGR720934:MGR720936 MQN720934:MQN720936 NAJ720934:NAJ720936 NKF720934:NKF720936 NUB720934:NUB720936 ODX720934:ODX720936 ONT720934:ONT720936 OXP720934:OXP720936 PHL720934:PHL720936 PRH720934:PRH720936 QBD720934:QBD720936 QKZ720934:QKZ720936 QUV720934:QUV720936 RER720934:RER720936 RON720934:RON720936 RYJ720934:RYJ720936 SIF720934:SIF720936 SSB720934:SSB720936 TBX720934:TBX720936 TLT720934:TLT720936 TVP720934:TVP720936 UFL720934:UFL720936 UPH720934:UPH720936 UZD720934:UZD720936 VIZ720934:VIZ720936 VSV720934:VSV720936 WCR720934:WCR720936 WMN720934:WMN720936 WWJ720934:WWJ720936 AB786470:AB786472 JX786470:JX786472 TT786470:TT786472 ADP786470:ADP786472 ANL786470:ANL786472 AXH786470:AXH786472 BHD786470:BHD786472 BQZ786470:BQZ786472 CAV786470:CAV786472 CKR786470:CKR786472 CUN786470:CUN786472 DEJ786470:DEJ786472 DOF786470:DOF786472 DYB786470:DYB786472 EHX786470:EHX786472 ERT786470:ERT786472 FBP786470:FBP786472 FLL786470:FLL786472 FVH786470:FVH786472 GFD786470:GFD786472 GOZ786470:GOZ786472 GYV786470:GYV786472 HIR786470:HIR786472 HSN786470:HSN786472 ICJ786470:ICJ786472 IMF786470:IMF786472 IWB786470:IWB786472 JFX786470:JFX786472 JPT786470:JPT786472 JZP786470:JZP786472 KJL786470:KJL786472 KTH786470:KTH786472 LDD786470:LDD786472 LMZ786470:LMZ786472 LWV786470:LWV786472 MGR786470:MGR786472 MQN786470:MQN786472 NAJ786470:NAJ786472 NKF786470:NKF786472 NUB786470:NUB786472 ODX786470:ODX786472 ONT786470:ONT786472 OXP786470:OXP786472 PHL786470:PHL786472 PRH786470:PRH786472 QBD786470:QBD786472 QKZ786470:QKZ786472 QUV786470:QUV786472 RER786470:RER786472 RON786470:RON786472 RYJ786470:RYJ786472 SIF786470:SIF786472 SSB786470:SSB786472 TBX786470:TBX786472 TLT786470:TLT786472 TVP786470:TVP786472 UFL786470:UFL786472 UPH786470:UPH786472 UZD786470:UZD786472 VIZ786470:VIZ786472 VSV786470:VSV786472 WCR786470:WCR786472 WMN786470:WMN786472 WWJ786470:WWJ786472 AB852006:AB852008 JX852006:JX852008 TT852006:TT852008 ADP852006:ADP852008 ANL852006:ANL852008 AXH852006:AXH852008 BHD852006:BHD852008 BQZ852006:BQZ852008 CAV852006:CAV852008 CKR852006:CKR852008 CUN852006:CUN852008 DEJ852006:DEJ852008 DOF852006:DOF852008 DYB852006:DYB852008 EHX852006:EHX852008 ERT852006:ERT852008 FBP852006:FBP852008 FLL852006:FLL852008 FVH852006:FVH852008 GFD852006:GFD852008 GOZ852006:GOZ852008 GYV852006:GYV852008 HIR852006:HIR852008 HSN852006:HSN852008 ICJ852006:ICJ852008 IMF852006:IMF852008 IWB852006:IWB852008 JFX852006:JFX852008 JPT852006:JPT852008 JZP852006:JZP852008 KJL852006:KJL852008 KTH852006:KTH852008 LDD852006:LDD852008 LMZ852006:LMZ852008 LWV852006:LWV852008 MGR852006:MGR852008 MQN852006:MQN852008 NAJ852006:NAJ852008 NKF852006:NKF852008 NUB852006:NUB852008 ODX852006:ODX852008 ONT852006:ONT852008 OXP852006:OXP852008 PHL852006:PHL852008 PRH852006:PRH852008 QBD852006:QBD852008 QKZ852006:QKZ852008 QUV852006:QUV852008 RER852006:RER852008 RON852006:RON852008 RYJ852006:RYJ852008 SIF852006:SIF852008 SSB852006:SSB852008 TBX852006:TBX852008 TLT852006:TLT852008 TVP852006:TVP852008 UFL852006:UFL852008 UPH852006:UPH852008 UZD852006:UZD852008 VIZ852006:VIZ852008 VSV852006:VSV852008 WCR852006:WCR852008 WMN852006:WMN852008 WWJ852006:WWJ852008 AB917542:AB917544 JX917542:JX917544 TT917542:TT917544 ADP917542:ADP917544 ANL917542:ANL917544 AXH917542:AXH917544 BHD917542:BHD917544 BQZ917542:BQZ917544 CAV917542:CAV917544 CKR917542:CKR917544 CUN917542:CUN917544 DEJ917542:DEJ917544 DOF917542:DOF917544 DYB917542:DYB917544 EHX917542:EHX917544 ERT917542:ERT917544 FBP917542:FBP917544 FLL917542:FLL917544 FVH917542:FVH917544 GFD917542:GFD917544 GOZ917542:GOZ917544 GYV917542:GYV917544 HIR917542:HIR917544 HSN917542:HSN917544 ICJ917542:ICJ917544 IMF917542:IMF917544 IWB917542:IWB917544 JFX917542:JFX917544 JPT917542:JPT917544 JZP917542:JZP917544 KJL917542:KJL917544 KTH917542:KTH917544 LDD917542:LDD917544 LMZ917542:LMZ917544 LWV917542:LWV917544 MGR917542:MGR917544 MQN917542:MQN917544 NAJ917542:NAJ917544 NKF917542:NKF917544 NUB917542:NUB917544 ODX917542:ODX917544 ONT917542:ONT917544 OXP917542:OXP917544 PHL917542:PHL917544 PRH917542:PRH917544 QBD917542:QBD917544 QKZ917542:QKZ917544 QUV917542:QUV917544 RER917542:RER917544 RON917542:RON917544 RYJ917542:RYJ917544 SIF917542:SIF917544 SSB917542:SSB917544 TBX917542:TBX917544 TLT917542:TLT917544 TVP917542:TVP917544 UFL917542:UFL917544 UPH917542:UPH917544 UZD917542:UZD917544 VIZ917542:VIZ917544 VSV917542:VSV917544 WCR917542:WCR917544 WMN917542:WMN917544 WWJ917542:WWJ917544 AB983078:AB983080 JX983078:JX983080 TT983078:TT983080 ADP983078:ADP983080 ANL983078:ANL983080 AXH983078:AXH983080 BHD983078:BHD983080 BQZ983078:BQZ983080 CAV983078:CAV983080 CKR983078:CKR983080 CUN983078:CUN983080 DEJ983078:DEJ983080 DOF983078:DOF983080 DYB983078:DYB983080 EHX983078:EHX983080 ERT983078:ERT983080 FBP983078:FBP983080 FLL983078:FLL983080 FVH983078:FVH983080 GFD983078:GFD983080 GOZ983078:GOZ983080 GYV983078:GYV983080 HIR983078:HIR983080 HSN983078:HSN983080 ICJ983078:ICJ983080 IMF983078:IMF983080 IWB983078:IWB983080 JFX983078:JFX983080 JPT983078:JPT983080 JZP983078:JZP983080 KJL983078:KJL983080 KTH983078:KTH983080 LDD983078:LDD983080 LMZ983078:LMZ983080 LWV983078:LWV983080 MGR983078:MGR983080 MQN983078:MQN983080 NAJ983078:NAJ983080 NKF983078:NKF983080 NUB983078:NUB983080 ODX983078:ODX983080 ONT983078:ONT983080 OXP983078:OXP983080 PHL983078:PHL983080 PRH983078:PRH983080 QBD983078:QBD983080 QKZ983078:QKZ983080 QUV983078:QUV983080 RER983078:RER983080 RON983078:RON983080 RYJ983078:RYJ983080 SIF983078:SIF983080 SSB983078:SSB983080 TBX983078:TBX983080 TLT983078:TLT983080 TVP983078:TVP983080 UFL983078:UFL983080 UPH983078:UPH983080 UZD983078:UZD983080 VIZ983078:VIZ983080 VSV983078:VSV983080 WCR983078:WCR983080 WMN983078:WMN983080 WWJ983078:WWJ983080 AD38:AD40 JZ38:JZ40 TV38:TV40 ADR38:ADR40 ANN38:ANN40 AXJ38:AXJ40 BHF38:BHF40 BRB38:BRB40 CAX38:CAX40 CKT38:CKT40 CUP38:CUP40 DEL38:DEL40 DOH38:DOH40 DYD38:DYD40 EHZ38:EHZ40 ERV38:ERV40 FBR38:FBR40 FLN38:FLN40 FVJ38:FVJ40 GFF38:GFF40 GPB38:GPB40 GYX38:GYX40 HIT38:HIT40 HSP38:HSP40 ICL38:ICL40 IMH38:IMH40 IWD38:IWD40 JFZ38:JFZ40 JPV38:JPV40 JZR38:JZR40 KJN38:KJN40 KTJ38:KTJ40 LDF38:LDF40 LNB38:LNB40 LWX38:LWX40 MGT38:MGT40 MQP38:MQP40 NAL38:NAL40 NKH38:NKH40 NUD38:NUD40 ODZ38:ODZ40 ONV38:ONV40 OXR38:OXR40 PHN38:PHN40 PRJ38:PRJ40 QBF38:QBF40 QLB38:QLB40 QUX38:QUX40 RET38:RET40 ROP38:ROP40 RYL38:RYL40 SIH38:SIH40 SSD38:SSD40 TBZ38:TBZ40 TLV38:TLV40 TVR38:TVR40 UFN38:UFN40 UPJ38:UPJ40 UZF38:UZF40 VJB38:VJB40 VSX38:VSX40 WCT38:WCT40 WMP38:WMP40 WWL38:WWL40 AD65574:AD65576 JZ65574:JZ65576 TV65574:TV65576 ADR65574:ADR65576 ANN65574:ANN65576 AXJ65574:AXJ65576 BHF65574:BHF65576 BRB65574:BRB65576 CAX65574:CAX65576 CKT65574:CKT65576 CUP65574:CUP65576 DEL65574:DEL65576 DOH65574:DOH65576 DYD65574:DYD65576 EHZ65574:EHZ65576 ERV65574:ERV65576 FBR65574:FBR65576 FLN65574:FLN65576 FVJ65574:FVJ65576 GFF65574:GFF65576 GPB65574:GPB65576 GYX65574:GYX65576 HIT65574:HIT65576 HSP65574:HSP65576 ICL65574:ICL65576 IMH65574:IMH65576 IWD65574:IWD65576 JFZ65574:JFZ65576 JPV65574:JPV65576 JZR65574:JZR65576 KJN65574:KJN65576 KTJ65574:KTJ65576 LDF65574:LDF65576 LNB65574:LNB65576 LWX65574:LWX65576 MGT65574:MGT65576 MQP65574:MQP65576 NAL65574:NAL65576 NKH65574:NKH65576 NUD65574:NUD65576 ODZ65574:ODZ65576 ONV65574:ONV65576 OXR65574:OXR65576 PHN65574:PHN65576 PRJ65574:PRJ65576 QBF65574:QBF65576 QLB65574:QLB65576 QUX65574:QUX65576 RET65574:RET65576 ROP65574:ROP65576 RYL65574:RYL65576 SIH65574:SIH65576 SSD65574:SSD65576 TBZ65574:TBZ65576 TLV65574:TLV65576 TVR65574:TVR65576 UFN65574:UFN65576 UPJ65574:UPJ65576 UZF65574:UZF65576 VJB65574:VJB65576 VSX65574:VSX65576 WCT65574:WCT65576 WMP65574:WMP65576 WWL65574:WWL65576 AD131110:AD131112 JZ131110:JZ131112 TV131110:TV131112 ADR131110:ADR131112 ANN131110:ANN131112 AXJ131110:AXJ131112 BHF131110:BHF131112 BRB131110:BRB131112 CAX131110:CAX131112 CKT131110:CKT131112 CUP131110:CUP131112 DEL131110:DEL131112 DOH131110:DOH131112 DYD131110:DYD131112 EHZ131110:EHZ131112 ERV131110:ERV131112 FBR131110:FBR131112 FLN131110:FLN131112 FVJ131110:FVJ131112 GFF131110:GFF131112 GPB131110:GPB131112 GYX131110:GYX131112 HIT131110:HIT131112 HSP131110:HSP131112 ICL131110:ICL131112 IMH131110:IMH131112 IWD131110:IWD131112 JFZ131110:JFZ131112 JPV131110:JPV131112 JZR131110:JZR131112 KJN131110:KJN131112 KTJ131110:KTJ131112 LDF131110:LDF131112 LNB131110:LNB131112 LWX131110:LWX131112 MGT131110:MGT131112 MQP131110:MQP131112 NAL131110:NAL131112 NKH131110:NKH131112 NUD131110:NUD131112 ODZ131110:ODZ131112 ONV131110:ONV131112 OXR131110:OXR131112 PHN131110:PHN131112 PRJ131110:PRJ131112 QBF131110:QBF131112 QLB131110:QLB131112 QUX131110:QUX131112 RET131110:RET131112 ROP131110:ROP131112 RYL131110:RYL131112 SIH131110:SIH131112 SSD131110:SSD131112 TBZ131110:TBZ131112 TLV131110:TLV131112 TVR131110:TVR131112 UFN131110:UFN131112 UPJ131110:UPJ131112 UZF131110:UZF131112 VJB131110:VJB131112 VSX131110:VSX131112 WCT131110:WCT131112 WMP131110:WMP131112 WWL131110:WWL131112 AD196646:AD196648 JZ196646:JZ196648 TV196646:TV196648 ADR196646:ADR196648 ANN196646:ANN196648 AXJ196646:AXJ196648 BHF196646:BHF196648 BRB196646:BRB196648 CAX196646:CAX196648 CKT196646:CKT196648 CUP196646:CUP196648 DEL196646:DEL196648 DOH196646:DOH196648 DYD196646:DYD196648 EHZ196646:EHZ196648 ERV196646:ERV196648 FBR196646:FBR196648 FLN196646:FLN196648 FVJ196646:FVJ196648 GFF196646:GFF196648 GPB196646:GPB196648 GYX196646:GYX196648 HIT196646:HIT196648 HSP196646:HSP196648 ICL196646:ICL196648 IMH196646:IMH196648 IWD196646:IWD196648 JFZ196646:JFZ196648 JPV196646:JPV196648 JZR196646:JZR196648 KJN196646:KJN196648 KTJ196646:KTJ196648 LDF196646:LDF196648 LNB196646:LNB196648 LWX196646:LWX196648 MGT196646:MGT196648 MQP196646:MQP196648 NAL196646:NAL196648 NKH196646:NKH196648 NUD196646:NUD196648 ODZ196646:ODZ196648 ONV196646:ONV196648 OXR196646:OXR196648 PHN196646:PHN196648 PRJ196646:PRJ196648 QBF196646:QBF196648 QLB196646:QLB196648 QUX196646:QUX196648 RET196646:RET196648 ROP196646:ROP196648 RYL196646:RYL196648 SIH196646:SIH196648 SSD196646:SSD196648 TBZ196646:TBZ196648 TLV196646:TLV196648 TVR196646:TVR196648 UFN196646:UFN196648 UPJ196646:UPJ196648 UZF196646:UZF196648 VJB196646:VJB196648 VSX196646:VSX196648 WCT196646:WCT196648 WMP196646:WMP196648 WWL196646:WWL196648 AD262182:AD262184 JZ262182:JZ262184 TV262182:TV262184 ADR262182:ADR262184 ANN262182:ANN262184 AXJ262182:AXJ262184 BHF262182:BHF262184 BRB262182:BRB262184 CAX262182:CAX262184 CKT262182:CKT262184 CUP262182:CUP262184 DEL262182:DEL262184 DOH262182:DOH262184 DYD262182:DYD262184 EHZ262182:EHZ262184 ERV262182:ERV262184 FBR262182:FBR262184 FLN262182:FLN262184 FVJ262182:FVJ262184 GFF262182:GFF262184 GPB262182:GPB262184 GYX262182:GYX262184 HIT262182:HIT262184 HSP262182:HSP262184 ICL262182:ICL262184 IMH262182:IMH262184 IWD262182:IWD262184 JFZ262182:JFZ262184 JPV262182:JPV262184 JZR262182:JZR262184 KJN262182:KJN262184 KTJ262182:KTJ262184 LDF262182:LDF262184 LNB262182:LNB262184 LWX262182:LWX262184 MGT262182:MGT262184 MQP262182:MQP262184 NAL262182:NAL262184 NKH262182:NKH262184 NUD262182:NUD262184 ODZ262182:ODZ262184 ONV262182:ONV262184 OXR262182:OXR262184 PHN262182:PHN262184 PRJ262182:PRJ262184 QBF262182:QBF262184 QLB262182:QLB262184 QUX262182:QUX262184 RET262182:RET262184 ROP262182:ROP262184 RYL262182:RYL262184 SIH262182:SIH262184 SSD262182:SSD262184 TBZ262182:TBZ262184 TLV262182:TLV262184 TVR262182:TVR262184 UFN262182:UFN262184 UPJ262182:UPJ262184 UZF262182:UZF262184 VJB262182:VJB262184 VSX262182:VSX262184 WCT262182:WCT262184 WMP262182:WMP262184 WWL262182:WWL262184 AD327718:AD327720 JZ327718:JZ327720 TV327718:TV327720 ADR327718:ADR327720 ANN327718:ANN327720 AXJ327718:AXJ327720 BHF327718:BHF327720 BRB327718:BRB327720 CAX327718:CAX327720 CKT327718:CKT327720 CUP327718:CUP327720 DEL327718:DEL327720 DOH327718:DOH327720 DYD327718:DYD327720 EHZ327718:EHZ327720 ERV327718:ERV327720 FBR327718:FBR327720 FLN327718:FLN327720 FVJ327718:FVJ327720 GFF327718:GFF327720 GPB327718:GPB327720 GYX327718:GYX327720 HIT327718:HIT327720 HSP327718:HSP327720 ICL327718:ICL327720 IMH327718:IMH327720 IWD327718:IWD327720 JFZ327718:JFZ327720 JPV327718:JPV327720 JZR327718:JZR327720 KJN327718:KJN327720 KTJ327718:KTJ327720 LDF327718:LDF327720 LNB327718:LNB327720 LWX327718:LWX327720 MGT327718:MGT327720 MQP327718:MQP327720 NAL327718:NAL327720 NKH327718:NKH327720 NUD327718:NUD327720 ODZ327718:ODZ327720 ONV327718:ONV327720 OXR327718:OXR327720 PHN327718:PHN327720 PRJ327718:PRJ327720 QBF327718:QBF327720 QLB327718:QLB327720 QUX327718:QUX327720 RET327718:RET327720 ROP327718:ROP327720 RYL327718:RYL327720 SIH327718:SIH327720 SSD327718:SSD327720 TBZ327718:TBZ327720 TLV327718:TLV327720 TVR327718:TVR327720 UFN327718:UFN327720 UPJ327718:UPJ327720 UZF327718:UZF327720 VJB327718:VJB327720 VSX327718:VSX327720 WCT327718:WCT327720 WMP327718:WMP327720 WWL327718:WWL327720 AD393254:AD393256 JZ393254:JZ393256 TV393254:TV393256 ADR393254:ADR393256 ANN393254:ANN393256 AXJ393254:AXJ393256 BHF393254:BHF393256 BRB393254:BRB393256 CAX393254:CAX393256 CKT393254:CKT393256 CUP393254:CUP393256 DEL393254:DEL393256 DOH393254:DOH393256 DYD393254:DYD393256 EHZ393254:EHZ393256 ERV393254:ERV393256 FBR393254:FBR393256 FLN393254:FLN393256 FVJ393254:FVJ393256 GFF393254:GFF393256 GPB393254:GPB393256 GYX393254:GYX393256 HIT393254:HIT393256 HSP393254:HSP393256 ICL393254:ICL393256 IMH393254:IMH393256 IWD393254:IWD393256 JFZ393254:JFZ393256 JPV393254:JPV393256 JZR393254:JZR393256 KJN393254:KJN393256 KTJ393254:KTJ393256 LDF393254:LDF393256 LNB393254:LNB393256 LWX393254:LWX393256 MGT393254:MGT393256 MQP393254:MQP393256 NAL393254:NAL393256 NKH393254:NKH393256 NUD393254:NUD393256 ODZ393254:ODZ393256 ONV393254:ONV393256 OXR393254:OXR393256 PHN393254:PHN393256 PRJ393254:PRJ393256 QBF393254:QBF393256 QLB393254:QLB393256 QUX393254:QUX393256 RET393254:RET393256 ROP393254:ROP393256 RYL393254:RYL393256 SIH393254:SIH393256 SSD393254:SSD393256 TBZ393254:TBZ393256 TLV393254:TLV393256 TVR393254:TVR393256 UFN393254:UFN393256 UPJ393254:UPJ393256 UZF393254:UZF393256 VJB393254:VJB393256 VSX393254:VSX393256 WCT393254:WCT393256 WMP393254:WMP393256 WWL393254:WWL393256 AD458790:AD458792 JZ458790:JZ458792 TV458790:TV458792 ADR458790:ADR458792 ANN458790:ANN458792 AXJ458790:AXJ458792 BHF458790:BHF458792 BRB458790:BRB458792 CAX458790:CAX458792 CKT458790:CKT458792 CUP458790:CUP458792 DEL458790:DEL458792 DOH458790:DOH458792 DYD458790:DYD458792 EHZ458790:EHZ458792 ERV458790:ERV458792 FBR458790:FBR458792 FLN458790:FLN458792 FVJ458790:FVJ458792 GFF458790:GFF458792 GPB458790:GPB458792 GYX458790:GYX458792 HIT458790:HIT458792 HSP458790:HSP458792 ICL458790:ICL458792 IMH458790:IMH458792 IWD458790:IWD458792 JFZ458790:JFZ458792 JPV458790:JPV458792 JZR458790:JZR458792 KJN458790:KJN458792 KTJ458790:KTJ458792 LDF458790:LDF458792 LNB458790:LNB458792 LWX458790:LWX458792 MGT458790:MGT458792 MQP458790:MQP458792 NAL458790:NAL458792 NKH458790:NKH458792 NUD458790:NUD458792 ODZ458790:ODZ458792 ONV458790:ONV458792 OXR458790:OXR458792 PHN458790:PHN458792 PRJ458790:PRJ458792 QBF458790:QBF458792 QLB458790:QLB458792 QUX458790:QUX458792 RET458790:RET458792 ROP458790:ROP458792 RYL458790:RYL458792 SIH458790:SIH458792 SSD458790:SSD458792 TBZ458790:TBZ458792 TLV458790:TLV458792 TVR458790:TVR458792 UFN458790:UFN458792 UPJ458790:UPJ458792 UZF458790:UZF458792 VJB458790:VJB458792 VSX458790:VSX458792 WCT458790:WCT458792 WMP458790:WMP458792 WWL458790:WWL458792 AD524326:AD524328 JZ524326:JZ524328 TV524326:TV524328 ADR524326:ADR524328 ANN524326:ANN524328 AXJ524326:AXJ524328 BHF524326:BHF524328 BRB524326:BRB524328 CAX524326:CAX524328 CKT524326:CKT524328 CUP524326:CUP524328 DEL524326:DEL524328 DOH524326:DOH524328 DYD524326:DYD524328 EHZ524326:EHZ524328 ERV524326:ERV524328 FBR524326:FBR524328 FLN524326:FLN524328 FVJ524326:FVJ524328 GFF524326:GFF524328 GPB524326:GPB524328 GYX524326:GYX524328 HIT524326:HIT524328 HSP524326:HSP524328 ICL524326:ICL524328 IMH524326:IMH524328 IWD524326:IWD524328 JFZ524326:JFZ524328 JPV524326:JPV524328 JZR524326:JZR524328 KJN524326:KJN524328 KTJ524326:KTJ524328 LDF524326:LDF524328 LNB524326:LNB524328 LWX524326:LWX524328 MGT524326:MGT524328 MQP524326:MQP524328 NAL524326:NAL524328 NKH524326:NKH524328 NUD524326:NUD524328 ODZ524326:ODZ524328 ONV524326:ONV524328 OXR524326:OXR524328 PHN524326:PHN524328 PRJ524326:PRJ524328 QBF524326:QBF524328 QLB524326:QLB524328 QUX524326:QUX524328 RET524326:RET524328 ROP524326:ROP524328 RYL524326:RYL524328 SIH524326:SIH524328 SSD524326:SSD524328 TBZ524326:TBZ524328 TLV524326:TLV524328 TVR524326:TVR524328 UFN524326:UFN524328 UPJ524326:UPJ524328 UZF524326:UZF524328 VJB524326:VJB524328 VSX524326:VSX524328 WCT524326:WCT524328 WMP524326:WMP524328 WWL524326:WWL524328 AD589862:AD589864 JZ589862:JZ589864 TV589862:TV589864 ADR589862:ADR589864 ANN589862:ANN589864 AXJ589862:AXJ589864 BHF589862:BHF589864 BRB589862:BRB589864 CAX589862:CAX589864 CKT589862:CKT589864 CUP589862:CUP589864 DEL589862:DEL589864 DOH589862:DOH589864 DYD589862:DYD589864 EHZ589862:EHZ589864 ERV589862:ERV589864 FBR589862:FBR589864 FLN589862:FLN589864 FVJ589862:FVJ589864 GFF589862:GFF589864 GPB589862:GPB589864 GYX589862:GYX589864 HIT589862:HIT589864 HSP589862:HSP589864 ICL589862:ICL589864 IMH589862:IMH589864 IWD589862:IWD589864 JFZ589862:JFZ589864 JPV589862:JPV589864 JZR589862:JZR589864 KJN589862:KJN589864 KTJ589862:KTJ589864 LDF589862:LDF589864 LNB589862:LNB589864 LWX589862:LWX589864 MGT589862:MGT589864 MQP589862:MQP589864 NAL589862:NAL589864 NKH589862:NKH589864 NUD589862:NUD589864 ODZ589862:ODZ589864 ONV589862:ONV589864 OXR589862:OXR589864 PHN589862:PHN589864 PRJ589862:PRJ589864 QBF589862:QBF589864 QLB589862:QLB589864 QUX589862:QUX589864 RET589862:RET589864 ROP589862:ROP589864 RYL589862:RYL589864 SIH589862:SIH589864 SSD589862:SSD589864 TBZ589862:TBZ589864 TLV589862:TLV589864 TVR589862:TVR589864 UFN589862:UFN589864 UPJ589862:UPJ589864 UZF589862:UZF589864 VJB589862:VJB589864 VSX589862:VSX589864 WCT589862:WCT589864 WMP589862:WMP589864 WWL589862:WWL589864 AD655398:AD655400 JZ655398:JZ655400 TV655398:TV655400 ADR655398:ADR655400 ANN655398:ANN655400 AXJ655398:AXJ655400 BHF655398:BHF655400 BRB655398:BRB655400 CAX655398:CAX655400 CKT655398:CKT655400 CUP655398:CUP655400 DEL655398:DEL655400 DOH655398:DOH655400 DYD655398:DYD655400 EHZ655398:EHZ655400 ERV655398:ERV655400 FBR655398:FBR655400 FLN655398:FLN655400 FVJ655398:FVJ655400 GFF655398:GFF655400 GPB655398:GPB655400 GYX655398:GYX655400 HIT655398:HIT655400 HSP655398:HSP655400 ICL655398:ICL655400 IMH655398:IMH655400 IWD655398:IWD655400 JFZ655398:JFZ655400 JPV655398:JPV655400 JZR655398:JZR655400 KJN655398:KJN655400 KTJ655398:KTJ655400 LDF655398:LDF655400 LNB655398:LNB655400 LWX655398:LWX655400 MGT655398:MGT655400 MQP655398:MQP655400 NAL655398:NAL655400 NKH655398:NKH655400 NUD655398:NUD655400 ODZ655398:ODZ655400 ONV655398:ONV655400 OXR655398:OXR655400 PHN655398:PHN655400 PRJ655398:PRJ655400 QBF655398:QBF655400 QLB655398:QLB655400 QUX655398:QUX655400 RET655398:RET655400 ROP655398:ROP655400 RYL655398:RYL655400 SIH655398:SIH655400 SSD655398:SSD655400 TBZ655398:TBZ655400 TLV655398:TLV655400 TVR655398:TVR655400 UFN655398:UFN655400 UPJ655398:UPJ655400 UZF655398:UZF655400 VJB655398:VJB655400 VSX655398:VSX655400 WCT655398:WCT655400 WMP655398:WMP655400 WWL655398:WWL655400 AD720934:AD720936 JZ720934:JZ720936 TV720934:TV720936 ADR720934:ADR720936 ANN720934:ANN720936 AXJ720934:AXJ720936 BHF720934:BHF720936 BRB720934:BRB720936 CAX720934:CAX720936 CKT720934:CKT720936 CUP720934:CUP720936 DEL720934:DEL720936 DOH720934:DOH720936 DYD720934:DYD720936 EHZ720934:EHZ720936 ERV720934:ERV720936 FBR720934:FBR720936 FLN720934:FLN720936 FVJ720934:FVJ720936 GFF720934:GFF720936 GPB720934:GPB720936 GYX720934:GYX720936 HIT720934:HIT720936 HSP720934:HSP720936 ICL720934:ICL720936 IMH720934:IMH720936 IWD720934:IWD720936 JFZ720934:JFZ720936 JPV720934:JPV720936 JZR720934:JZR720936 KJN720934:KJN720936 KTJ720934:KTJ720936 LDF720934:LDF720936 LNB720934:LNB720936 LWX720934:LWX720936 MGT720934:MGT720936 MQP720934:MQP720936 NAL720934:NAL720936 NKH720934:NKH720936 NUD720934:NUD720936 ODZ720934:ODZ720936 ONV720934:ONV720936 OXR720934:OXR720936 PHN720934:PHN720936 PRJ720934:PRJ720936 QBF720934:QBF720936 QLB720934:QLB720936 QUX720934:QUX720936 RET720934:RET720936 ROP720934:ROP720936 RYL720934:RYL720936 SIH720934:SIH720936 SSD720934:SSD720936 TBZ720934:TBZ720936 TLV720934:TLV720936 TVR720934:TVR720936 UFN720934:UFN720936 UPJ720934:UPJ720936 UZF720934:UZF720936 VJB720934:VJB720936 VSX720934:VSX720936 WCT720934:WCT720936 WMP720934:WMP720936 WWL720934:WWL720936 AD786470:AD786472 JZ786470:JZ786472 TV786470:TV786472 ADR786470:ADR786472 ANN786470:ANN786472 AXJ786470:AXJ786472 BHF786470:BHF786472 BRB786470:BRB786472 CAX786470:CAX786472 CKT786470:CKT786472 CUP786470:CUP786472 DEL786470:DEL786472 DOH786470:DOH786472 DYD786470:DYD786472 EHZ786470:EHZ786472 ERV786470:ERV786472 FBR786470:FBR786472 FLN786470:FLN786472 FVJ786470:FVJ786472 GFF786470:GFF786472 GPB786470:GPB786472 GYX786470:GYX786472 HIT786470:HIT786472 HSP786470:HSP786472 ICL786470:ICL786472 IMH786470:IMH786472 IWD786470:IWD786472 JFZ786470:JFZ786472 JPV786470:JPV786472 JZR786470:JZR786472 KJN786470:KJN786472 KTJ786470:KTJ786472 LDF786470:LDF786472 LNB786470:LNB786472 LWX786470:LWX786472 MGT786470:MGT786472 MQP786470:MQP786472 NAL786470:NAL786472 NKH786470:NKH786472 NUD786470:NUD786472 ODZ786470:ODZ786472 ONV786470:ONV786472 OXR786470:OXR786472 PHN786470:PHN786472 PRJ786470:PRJ786472 QBF786470:QBF786472 QLB786470:QLB786472 QUX786470:QUX786472 RET786470:RET786472 ROP786470:ROP786472 RYL786470:RYL786472 SIH786470:SIH786472 SSD786470:SSD786472 TBZ786470:TBZ786472 TLV786470:TLV786472 TVR786470:TVR786472 UFN786470:UFN786472 UPJ786470:UPJ786472 UZF786470:UZF786472 VJB786470:VJB786472 VSX786470:VSX786472 WCT786470:WCT786472 WMP786470:WMP786472 WWL786470:WWL786472 AD852006:AD852008 JZ852006:JZ852008 TV852006:TV852008 ADR852006:ADR852008 ANN852006:ANN852008 AXJ852006:AXJ852008 BHF852006:BHF852008 BRB852006:BRB852008 CAX852006:CAX852008 CKT852006:CKT852008 CUP852006:CUP852008 DEL852006:DEL852008 DOH852006:DOH852008 DYD852006:DYD852008 EHZ852006:EHZ852008 ERV852006:ERV852008 FBR852006:FBR852008 FLN852006:FLN852008 FVJ852006:FVJ852008 GFF852006:GFF852008 GPB852006:GPB852008 GYX852006:GYX852008 HIT852006:HIT852008 HSP852006:HSP852008 ICL852006:ICL852008 IMH852006:IMH852008 IWD852006:IWD852008 JFZ852006:JFZ852008 JPV852006:JPV852008 JZR852006:JZR852008 KJN852006:KJN852008 KTJ852006:KTJ852008 LDF852006:LDF852008 LNB852006:LNB852008 LWX852006:LWX852008 MGT852006:MGT852008 MQP852006:MQP852008 NAL852006:NAL852008 NKH852006:NKH852008 NUD852006:NUD852008 ODZ852006:ODZ852008 ONV852006:ONV852008 OXR852006:OXR852008 PHN852006:PHN852008 PRJ852006:PRJ852008 QBF852006:QBF852008 QLB852006:QLB852008 QUX852006:QUX852008 RET852006:RET852008 ROP852006:ROP852008 RYL852006:RYL852008 SIH852006:SIH852008 SSD852006:SSD852008 TBZ852006:TBZ852008 TLV852006:TLV852008 TVR852006:TVR852008 UFN852006:UFN852008 UPJ852006:UPJ852008 UZF852006:UZF852008 VJB852006:VJB852008 VSX852006:VSX852008 WCT852006:WCT852008 WMP852006:WMP852008 WWL852006:WWL852008 AD917542:AD917544 JZ917542:JZ917544 TV917542:TV917544 ADR917542:ADR917544 ANN917542:ANN917544 AXJ917542:AXJ917544 BHF917542:BHF917544 BRB917542:BRB917544 CAX917542:CAX917544 CKT917542:CKT917544 CUP917542:CUP917544 DEL917542:DEL917544 DOH917542:DOH917544 DYD917542:DYD917544 EHZ917542:EHZ917544 ERV917542:ERV917544 FBR917542:FBR917544 FLN917542:FLN917544 FVJ917542:FVJ917544 GFF917542:GFF917544 GPB917542:GPB917544 GYX917542:GYX917544 HIT917542:HIT917544 HSP917542:HSP917544 ICL917542:ICL917544 IMH917542:IMH917544 IWD917542:IWD917544 JFZ917542:JFZ917544 JPV917542:JPV917544 JZR917542:JZR917544 KJN917542:KJN917544 KTJ917542:KTJ917544 LDF917542:LDF917544 LNB917542:LNB917544 LWX917542:LWX917544 MGT917542:MGT917544 MQP917542:MQP917544 NAL917542:NAL917544 NKH917542:NKH917544 NUD917542:NUD917544 ODZ917542:ODZ917544 ONV917542:ONV917544 OXR917542:OXR917544 PHN917542:PHN917544 PRJ917542:PRJ917544 QBF917542:QBF917544 QLB917542:QLB917544 QUX917542:QUX917544 RET917542:RET917544 ROP917542:ROP917544 RYL917542:RYL917544 SIH917542:SIH917544 SSD917542:SSD917544 TBZ917542:TBZ917544 TLV917542:TLV917544 TVR917542:TVR917544 UFN917542:UFN917544 UPJ917542:UPJ917544 UZF917542:UZF917544 VJB917542:VJB917544 VSX917542:VSX917544 WCT917542:WCT917544 WMP917542:WMP917544 WWL917542:WWL917544 AD983078:AD983080 JZ983078:JZ983080 TV983078:TV983080 ADR983078:ADR983080 ANN983078:ANN983080 AXJ983078:AXJ983080 BHF983078:BHF983080 BRB983078:BRB983080 CAX983078:CAX983080 CKT983078:CKT983080 CUP983078:CUP983080 DEL983078:DEL983080 DOH983078:DOH983080 DYD983078:DYD983080 EHZ983078:EHZ983080 ERV983078:ERV983080 FBR983078:FBR983080 FLN983078:FLN983080 FVJ983078:FVJ983080 GFF983078:GFF983080 GPB983078:GPB983080 GYX983078:GYX983080 HIT983078:HIT983080 HSP983078:HSP983080 ICL983078:ICL983080 IMH983078:IMH983080 IWD983078:IWD983080 JFZ983078:JFZ983080 JPV983078:JPV983080 JZR983078:JZR983080 KJN983078:KJN983080 KTJ983078:KTJ983080 LDF983078:LDF983080 LNB983078:LNB983080 LWX983078:LWX983080 MGT983078:MGT983080 MQP983078:MQP983080 NAL983078:NAL983080 NKH983078:NKH983080 NUD983078:NUD983080 ODZ983078:ODZ983080 ONV983078:ONV983080 OXR983078:OXR983080 PHN983078:PHN983080 PRJ983078:PRJ983080 QBF983078:QBF983080 QLB983078:QLB983080 QUX983078:QUX983080 RET983078:RET983080 ROP983078:ROP983080 RYL983078:RYL983080 SIH983078:SIH983080 SSD983078:SSD983080 TBZ983078:TBZ983080 TLV983078:TLV983080 TVR983078:TVR983080 UFN983078:UFN983080 UPJ983078:UPJ983080 UZF983078:UZF983080 VJB983078:VJB983080 VSX983078:VSX983080 WCT983078:WCT983080 WMP983078:WMP983080 WWL983078:WWL983080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F6D58-4AF1-4F64-A214-A277FB48CACC}">
  <sheetPr>
    <tabColor rgb="FFFFFF00"/>
    <pageSetUpPr fitToPage="1"/>
  </sheetPr>
  <dimension ref="B2:AD123"/>
  <sheetViews>
    <sheetView view="pageBreakPreview" zoomScaleNormal="100" zoomScaleSheetLayoutView="100" workbookViewId="0"/>
  </sheetViews>
  <sheetFormatPr defaultColWidth="3.44140625" defaultRowHeight="13.2"/>
  <cols>
    <col min="1" max="1" width="3.44140625" style="3"/>
    <col min="2" max="2" width="3" style="616" customWidth="1"/>
    <col min="3" max="7" width="3.44140625" style="3"/>
    <col min="8" max="8" width="2.44140625" style="3" customWidth="1"/>
    <col min="9" max="28" width="3.44140625" style="3"/>
    <col min="29" max="29" width="6.77734375" style="3" customWidth="1"/>
    <col min="30" max="257" width="3.44140625" style="3"/>
    <col min="258" max="258" width="3" style="3" customWidth="1"/>
    <col min="259" max="263" width="3.44140625" style="3"/>
    <col min="264" max="264" width="2.44140625" style="3" customWidth="1"/>
    <col min="265" max="284" width="3.44140625" style="3"/>
    <col min="285" max="285" width="6.77734375" style="3" customWidth="1"/>
    <col min="286" max="513" width="3.44140625" style="3"/>
    <col min="514" max="514" width="3" style="3" customWidth="1"/>
    <col min="515" max="519" width="3.44140625" style="3"/>
    <col min="520" max="520" width="2.44140625" style="3" customWidth="1"/>
    <col min="521" max="540" width="3.44140625" style="3"/>
    <col min="541" max="541" width="6.77734375" style="3" customWidth="1"/>
    <col min="542" max="769" width="3.44140625" style="3"/>
    <col min="770" max="770" width="3" style="3" customWidth="1"/>
    <col min="771" max="775" width="3.44140625" style="3"/>
    <col min="776" max="776" width="2.44140625" style="3" customWidth="1"/>
    <col min="777" max="796" width="3.44140625" style="3"/>
    <col min="797" max="797" width="6.77734375" style="3" customWidth="1"/>
    <col min="798" max="1025" width="3.44140625" style="3"/>
    <col min="1026" max="1026" width="3" style="3" customWidth="1"/>
    <col min="1027" max="1031" width="3.44140625" style="3"/>
    <col min="1032" max="1032" width="2.44140625" style="3" customWidth="1"/>
    <col min="1033" max="1052" width="3.44140625" style="3"/>
    <col min="1053" max="1053" width="6.77734375" style="3" customWidth="1"/>
    <col min="1054" max="1281" width="3.44140625" style="3"/>
    <col min="1282" max="1282" width="3" style="3" customWidth="1"/>
    <col min="1283" max="1287" width="3.44140625" style="3"/>
    <col min="1288" max="1288" width="2.44140625" style="3" customWidth="1"/>
    <col min="1289" max="1308" width="3.44140625" style="3"/>
    <col min="1309" max="1309" width="6.77734375" style="3" customWidth="1"/>
    <col min="1310" max="1537" width="3.44140625" style="3"/>
    <col min="1538" max="1538" width="3" style="3" customWidth="1"/>
    <col min="1539" max="1543" width="3.44140625" style="3"/>
    <col min="1544" max="1544" width="2.44140625" style="3" customWidth="1"/>
    <col min="1545" max="1564" width="3.44140625" style="3"/>
    <col min="1565" max="1565" width="6.77734375" style="3" customWidth="1"/>
    <col min="1566" max="1793" width="3.44140625" style="3"/>
    <col min="1794" max="1794" width="3" style="3" customWidth="1"/>
    <col min="1795" max="1799" width="3.44140625" style="3"/>
    <col min="1800" max="1800" width="2.44140625" style="3" customWidth="1"/>
    <col min="1801" max="1820" width="3.44140625" style="3"/>
    <col min="1821" max="1821" width="6.77734375" style="3" customWidth="1"/>
    <col min="1822" max="2049" width="3.44140625" style="3"/>
    <col min="2050" max="2050" width="3" style="3" customWidth="1"/>
    <col min="2051" max="2055" width="3.44140625" style="3"/>
    <col min="2056" max="2056" width="2.44140625" style="3" customWidth="1"/>
    <col min="2057" max="2076" width="3.44140625" style="3"/>
    <col min="2077" max="2077" width="6.77734375" style="3" customWidth="1"/>
    <col min="2078" max="2305" width="3.44140625" style="3"/>
    <col min="2306" max="2306" width="3" style="3" customWidth="1"/>
    <col min="2307" max="2311" width="3.44140625" style="3"/>
    <col min="2312" max="2312" width="2.44140625" style="3" customWidth="1"/>
    <col min="2313" max="2332" width="3.44140625" style="3"/>
    <col min="2333" max="2333" width="6.77734375" style="3" customWidth="1"/>
    <col min="2334" max="2561" width="3.44140625" style="3"/>
    <col min="2562" max="2562" width="3" style="3" customWidth="1"/>
    <col min="2563" max="2567" width="3.44140625" style="3"/>
    <col min="2568" max="2568" width="2.44140625" style="3" customWidth="1"/>
    <col min="2569" max="2588" width="3.44140625" style="3"/>
    <col min="2589" max="2589" width="6.77734375" style="3" customWidth="1"/>
    <col min="2590" max="2817" width="3.44140625" style="3"/>
    <col min="2818" max="2818" width="3" style="3" customWidth="1"/>
    <col min="2819" max="2823" width="3.44140625" style="3"/>
    <col min="2824" max="2824" width="2.44140625" style="3" customWidth="1"/>
    <col min="2825" max="2844" width="3.44140625" style="3"/>
    <col min="2845" max="2845" width="6.77734375" style="3" customWidth="1"/>
    <col min="2846" max="3073" width="3.44140625" style="3"/>
    <col min="3074" max="3074" width="3" style="3" customWidth="1"/>
    <col min="3075" max="3079" width="3.44140625" style="3"/>
    <col min="3080" max="3080" width="2.44140625" style="3" customWidth="1"/>
    <col min="3081" max="3100" width="3.44140625" style="3"/>
    <col min="3101" max="3101" width="6.77734375" style="3" customWidth="1"/>
    <col min="3102" max="3329" width="3.44140625" style="3"/>
    <col min="3330" max="3330" width="3" style="3" customWidth="1"/>
    <col min="3331" max="3335" width="3.44140625" style="3"/>
    <col min="3336" max="3336" width="2.44140625" style="3" customWidth="1"/>
    <col min="3337" max="3356" width="3.44140625" style="3"/>
    <col min="3357" max="3357" width="6.77734375" style="3" customWidth="1"/>
    <col min="3358" max="3585" width="3.44140625" style="3"/>
    <col min="3586" max="3586" width="3" style="3" customWidth="1"/>
    <col min="3587" max="3591" width="3.44140625" style="3"/>
    <col min="3592" max="3592" width="2.44140625" style="3" customWidth="1"/>
    <col min="3593" max="3612" width="3.44140625" style="3"/>
    <col min="3613" max="3613" width="6.77734375" style="3" customWidth="1"/>
    <col min="3614" max="3841" width="3.44140625" style="3"/>
    <col min="3842" max="3842" width="3" style="3" customWidth="1"/>
    <col min="3843" max="3847" width="3.44140625" style="3"/>
    <col min="3848" max="3848" width="2.44140625" style="3" customWidth="1"/>
    <col min="3849" max="3868" width="3.44140625" style="3"/>
    <col min="3869" max="3869" width="6.77734375" style="3" customWidth="1"/>
    <col min="3870" max="4097" width="3.44140625" style="3"/>
    <col min="4098" max="4098" width="3" style="3" customWidth="1"/>
    <col min="4099" max="4103" width="3.44140625" style="3"/>
    <col min="4104" max="4104" width="2.44140625" style="3" customWidth="1"/>
    <col min="4105" max="4124" width="3.44140625" style="3"/>
    <col min="4125" max="4125" width="6.77734375" style="3" customWidth="1"/>
    <col min="4126" max="4353" width="3.44140625" style="3"/>
    <col min="4354" max="4354" width="3" style="3" customWidth="1"/>
    <col min="4355" max="4359" width="3.44140625" style="3"/>
    <col min="4360" max="4360" width="2.44140625" style="3" customWidth="1"/>
    <col min="4361" max="4380" width="3.44140625" style="3"/>
    <col min="4381" max="4381" width="6.77734375" style="3" customWidth="1"/>
    <col min="4382" max="4609" width="3.44140625" style="3"/>
    <col min="4610" max="4610" width="3" style="3" customWidth="1"/>
    <col min="4611" max="4615" width="3.44140625" style="3"/>
    <col min="4616" max="4616" width="2.44140625" style="3" customWidth="1"/>
    <col min="4617" max="4636" width="3.44140625" style="3"/>
    <col min="4637" max="4637" width="6.77734375" style="3" customWidth="1"/>
    <col min="4638" max="4865" width="3.44140625" style="3"/>
    <col min="4866" max="4866" width="3" style="3" customWidth="1"/>
    <col min="4867" max="4871" width="3.44140625" style="3"/>
    <col min="4872" max="4872" width="2.44140625" style="3" customWidth="1"/>
    <col min="4873" max="4892" width="3.44140625" style="3"/>
    <col min="4893" max="4893" width="6.77734375" style="3" customWidth="1"/>
    <col min="4894" max="5121" width="3.44140625" style="3"/>
    <col min="5122" max="5122" width="3" style="3" customWidth="1"/>
    <col min="5123" max="5127" width="3.44140625" style="3"/>
    <col min="5128" max="5128" width="2.44140625" style="3" customWidth="1"/>
    <col min="5129" max="5148" width="3.44140625" style="3"/>
    <col min="5149" max="5149" width="6.77734375" style="3" customWidth="1"/>
    <col min="5150" max="5377" width="3.44140625" style="3"/>
    <col min="5378" max="5378" width="3" style="3" customWidth="1"/>
    <col min="5379" max="5383" width="3.44140625" style="3"/>
    <col min="5384" max="5384" width="2.44140625" style="3" customWidth="1"/>
    <col min="5385" max="5404" width="3.44140625" style="3"/>
    <col min="5405" max="5405" width="6.77734375" style="3" customWidth="1"/>
    <col min="5406" max="5633" width="3.44140625" style="3"/>
    <col min="5634" max="5634" width="3" style="3" customWidth="1"/>
    <col min="5635" max="5639" width="3.44140625" style="3"/>
    <col min="5640" max="5640" width="2.44140625" style="3" customWidth="1"/>
    <col min="5641" max="5660" width="3.44140625" style="3"/>
    <col min="5661" max="5661" width="6.77734375" style="3" customWidth="1"/>
    <col min="5662" max="5889" width="3.44140625" style="3"/>
    <col min="5890" max="5890" width="3" style="3" customWidth="1"/>
    <col min="5891" max="5895" width="3.44140625" style="3"/>
    <col min="5896" max="5896" width="2.44140625" style="3" customWidth="1"/>
    <col min="5897" max="5916" width="3.44140625" style="3"/>
    <col min="5917" max="5917" width="6.77734375" style="3" customWidth="1"/>
    <col min="5918" max="6145" width="3.44140625" style="3"/>
    <col min="6146" max="6146" width="3" style="3" customWidth="1"/>
    <col min="6147" max="6151" width="3.44140625" style="3"/>
    <col min="6152" max="6152" width="2.44140625" style="3" customWidth="1"/>
    <col min="6153" max="6172" width="3.44140625" style="3"/>
    <col min="6173" max="6173" width="6.77734375" style="3" customWidth="1"/>
    <col min="6174" max="6401" width="3.44140625" style="3"/>
    <col min="6402" max="6402" width="3" style="3" customWidth="1"/>
    <col min="6403" max="6407" width="3.44140625" style="3"/>
    <col min="6408" max="6408" width="2.44140625" style="3" customWidth="1"/>
    <col min="6409" max="6428" width="3.44140625" style="3"/>
    <col min="6429" max="6429" width="6.77734375" style="3" customWidth="1"/>
    <col min="6430" max="6657" width="3.44140625" style="3"/>
    <col min="6658" max="6658" width="3" style="3" customWidth="1"/>
    <col min="6659" max="6663" width="3.44140625" style="3"/>
    <col min="6664" max="6664" width="2.44140625" style="3" customWidth="1"/>
    <col min="6665" max="6684" width="3.44140625" style="3"/>
    <col min="6685" max="6685" width="6.77734375" style="3" customWidth="1"/>
    <col min="6686" max="6913" width="3.44140625" style="3"/>
    <col min="6914" max="6914" width="3" style="3" customWidth="1"/>
    <col min="6915" max="6919" width="3.44140625" style="3"/>
    <col min="6920" max="6920" width="2.44140625" style="3" customWidth="1"/>
    <col min="6921" max="6940" width="3.44140625" style="3"/>
    <col min="6941" max="6941" width="6.77734375" style="3" customWidth="1"/>
    <col min="6942" max="7169" width="3.44140625" style="3"/>
    <col min="7170" max="7170" width="3" style="3" customWidth="1"/>
    <col min="7171" max="7175" width="3.44140625" style="3"/>
    <col min="7176" max="7176" width="2.44140625" style="3" customWidth="1"/>
    <col min="7177" max="7196" width="3.44140625" style="3"/>
    <col min="7197" max="7197" width="6.77734375" style="3" customWidth="1"/>
    <col min="7198" max="7425" width="3.44140625" style="3"/>
    <col min="7426" max="7426" width="3" style="3" customWidth="1"/>
    <col min="7427" max="7431" width="3.44140625" style="3"/>
    <col min="7432" max="7432" width="2.44140625" style="3" customWidth="1"/>
    <col min="7433" max="7452" width="3.44140625" style="3"/>
    <col min="7453" max="7453" width="6.77734375" style="3" customWidth="1"/>
    <col min="7454" max="7681" width="3.44140625" style="3"/>
    <col min="7682" max="7682" width="3" style="3" customWidth="1"/>
    <col min="7683" max="7687" width="3.44140625" style="3"/>
    <col min="7688" max="7688" width="2.44140625" style="3" customWidth="1"/>
    <col min="7689" max="7708" width="3.44140625" style="3"/>
    <col min="7709" max="7709" width="6.77734375" style="3" customWidth="1"/>
    <col min="7710" max="7937" width="3.44140625" style="3"/>
    <col min="7938" max="7938" width="3" style="3" customWidth="1"/>
    <col min="7939" max="7943" width="3.44140625" style="3"/>
    <col min="7944" max="7944" width="2.44140625" style="3" customWidth="1"/>
    <col min="7945" max="7964" width="3.44140625" style="3"/>
    <col min="7965" max="7965" width="6.77734375" style="3" customWidth="1"/>
    <col min="7966" max="8193" width="3.44140625" style="3"/>
    <col min="8194" max="8194" width="3" style="3" customWidth="1"/>
    <col min="8195" max="8199" width="3.44140625" style="3"/>
    <col min="8200" max="8200" width="2.44140625" style="3" customWidth="1"/>
    <col min="8201" max="8220" width="3.44140625" style="3"/>
    <col min="8221" max="8221" width="6.77734375" style="3" customWidth="1"/>
    <col min="8222" max="8449" width="3.44140625" style="3"/>
    <col min="8450" max="8450" width="3" style="3" customWidth="1"/>
    <col min="8451" max="8455" width="3.44140625" style="3"/>
    <col min="8456" max="8456" width="2.44140625" style="3" customWidth="1"/>
    <col min="8457" max="8476" width="3.44140625" style="3"/>
    <col min="8477" max="8477" width="6.77734375" style="3" customWidth="1"/>
    <col min="8478" max="8705" width="3.44140625" style="3"/>
    <col min="8706" max="8706" width="3" style="3" customWidth="1"/>
    <col min="8707" max="8711" width="3.44140625" style="3"/>
    <col min="8712" max="8712" width="2.44140625" style="3" customWidth="1"/>
    <col min="8713" max="8732" width="3.44140625" style="3"/>
    <col min="8733" max="8733" width="6.77734375" style="3" customWidth="1"/>
    <col min="8734" max="8961" width="3.44140625" style="3"/>
    <col min="8962" max="8962" width="3" style="3" customWidth="1"/>
    <col min="8963" max="8967" width="3.44140625" style="3"/>
    <col min="8968" max="8968" width="2.44140625" style="3" customWidth="1"/>
    <col min="8969" max="8988" width="3.44140625" style="3"/>
    <col min="8989" max="8989" width="6.77734375" style="3" customWidth="1"/>
    <col min="8990" max="9217" width="3.44140625" style="3"/>
    <col min="9218" max="9218" width="3" style="3" customWidth="1"/>
    <col min="9219" max="9223" width="3.44140625" style="3"/>
    <col min="9224" max="9224" width="2.44140625" style="3" customWidth="1"/>
    <col min="9225" max="9244" width="3.44140625" style="3"/>
    <col min="9245" max="9245" width="6.77734375" style="3" customWidth="1"/>
    <col min="9246" max="9473" width="3.44140625" style="3"/>
    <col min="9474" max="9474" width="3" style="3" customWidth="1"/>
    <col min="9475" max="9479" width="3.44140625" style="3"/>
    <col min="9480" max="9480" width="2.44140625" style="3" customWidth="1"/>
    <col min="9481" max="9500" width="3.44140625" style="3"/>
    <col min="9501" max="9501" width="6.77734375" style="3" customWidth="1"/>
    <col min="9502" max="9729" width="3.44140625" style="3"/>
    <col min="9730" max="9730" width="3" style="3" customWidth="1"/>
    <col min="9731" max="9735" width="3.44140625" style="3"/>
    <col min="9736" max="9736" width="2.44140625" style="3" customWidth="1"/>
    <col min="9737" max="9756" width="3.44140625" style="3"/>
    <col min="9757" max="9757" width="6.77734375" style="3" customWidth="1"/>
    <col min="9758" max="9985" width="3.44140625" style="3"/>
    <col min="9986" max="9986" width="3" style="3" customWidth="1"/>
    <col min="9987" max="9991" width="3.44140625" style="3"/>
    <col min="9992" max="9992" width="2.44140625" style="3" customWidth="1"/>
    <col min="9993" max="10012" width="3.44140625" style="3"/>
    <col min="10013" max="10013" width="6.77734375" style="3" customWidth="1"/>
    <col min="10014" max="10241" width="3.44140625" style="3"/>
    <col min="10242" max="10242" width="3" style="3" customWidth="1"/>
    <col min="10243" max="10247" width="3.44140625" style="3"/>
    <col min="10248" max="10248" width="2.44140625" style="3" customWidth="1"/>
    <col min="10249" max="10268" width="3.44140625" style="3"/>
    <col min="10269" max="10269" width="6.77734375" style="3" customWidth="1"/>
    <col min="10270" max="10497" width="3.44140625" style="3"/>
    <col min="10498" max="10498" width="3" style="3" customWidth="1"/>
    <col min="10499" max="10503" width="3.44140625" style="3"/>
    <col min="10504" max="10504" width="2.44140625" style="3" customWidth="1"/>
    <col min="10505" max="10524" width="3.44140625" style="3"/>
    <col min="10525" max="10525" width="6.77734375" style="3" customWidth="1"/>
    <col min="10526" max="10753" width="3.44140625" style="3"/>
    <col min="10754" max="10754" width="3" style="3" customWidth="1"/>
    <col min="10755" max="10759" width="3.44140625" style="3"/>
    <col min="10760" max="10760" width="2.44140625" style="3" customWidth="1"/>
    <col min="10761" max="10780" width="3.44140625" style="3"/>
    <col min="10781" max="10781" width="6.77734375" style="3" customWidth="1"/>
    <col min="10782" max="11009" width="3.44140625" style="3"/>
    <col min="11010" max="11010" width="3" style="3" customWidth="1"/>
    <col min="11011" max="11015" width="3.44140625" style="3"/>
    <col min="11016" max="11016" width="2.44140625" style="3" customWidth="1"/>
    <col min="11017" max="11036" width="3.44140625" style="3"/>
    <col min="11037" max="11037" width="6.77734375" style="3" customWidth="1"/>
    <col min="11038" max="11265" width="3.44140625" style="3"/>
    <col min="11266" max="11266" width="3" style="3" customWidth="1"/>
    <col min="11267" max="11271" width="3.44140625" style="3"/>
    <col min="11272" max="11272" width="2.44140625" style="3" customWidth="1"/>
    <col min="11273" max="11292" width="3.44140625" style="3"/>
    <col min="11293" max="11293" width="6.77734375" style="3" customWidth="1"/>
    <col min="11294" max="11521" width="3.44140625" style="3"/>
    <col min="11522" max="11522" width="3" style="3" customWidth="1"/>
    <col min="11523" max="11527" width="3.44140625" style="3"/>
    <col min="11528" max="11528" width="2.44140625" style="3" customWidth="1"/>
    <col min="11529" max="11548" width="3.44140625" style="3"/>
    <col min="11549" max="11549" width="6.77734375" style="3" customWidth="1"/>
    <col min="11550" max="11777" width="3.44140625" style="3"/>
    <col min="11778" max="11778" width="3" style="3" customWidth="1"/>
    <col min="11779" max="11783" width="3.44140625" style="3"/>
    <col min="11784" max="11784" width="2.44140625" style="3" customWidth="1"/>
    <col min="11785" max="11804" width="3.44140625" style="3"/>
    <col min="11805" max="11805" width="6.77734375" style="3" customWidth="1"/>
    <col min="11806" max="12033" width="3.44140625" style="3"/>
    <col min="12034" max="12034" width="3" style="3" customWidth="1"/>
    <col min="12035" max="12039" width="3.44140625" style="3"/>
    <col min="12040" max="12040" width="2.44140625" style="3" customWidth="1"/>
    <col min="12041" max="12060" width="3.44140625" style="3"/>
    <col min="12061" max="12061" width="6.77734375" style="3" customWidth="1"/>
    <col min="12062" max="12289" width="3.44140625" style="3"/>
    <col min="12290" max="12290" width="3" style="3" customWidth="1"/>
    <col min="12291" max="12295" width="3.44140625" style="3"/>
    <col min="12296" max="12296" width="2.44140625" style="3" customWidth="1"/>
    <col min="12297" max="12316" width="3.44140625" style="3"/>
    <col min="12317" max="12317" width="6.77734375" style="3" customWidth="1"/>
    <col min="12318" max="12545" width="3.44140625" style="3"/>
    <col min="12546" max="12546" width="3" style="3" customWidth="1"/>
    <col min="12547" max="12551" width="3.44140625" style="3"/>
    <col min="12552" max="12552" width="2.44140625" style="3" customWidth="1"/>
    <col min="12553" max="12572" width="3.44140625" style="3"/>
    <col min="12573" max="12573" width="6.77734375" style="3" customWidth="1"/>
    <col min="12574" max="12801" width="3.44140625" style="3"/>
    <col min="12802" max="12802" width="3" style="3" customWidth="1"/>
    <col min="12803" max="12807" width="3.44140625" style="3"/>
    <col min="12808" max="12808" width="2.44140625" style="3" customWidth="1"/>
    <col min="12809" max="12828" width="3.44140625" style="3"/>
    <col min="12829" max="12829" width="6.77734375" style="3" customWidth="1"/>
    <col min="12830" max="13057" width="3.44140625" style="3"/>
    <col min="13058" max="13058" width="3" style="3" customWidth="1"/>
    <col min="13059" max="13063" width="3.44140625" style="3"/>
    <col min="13064" max="13064" width="2.44140625" style="3" customWidth="1"/>
    <col min="13065" max="13084" width="3.44140625" style="3"/>
    <col min="13085" max="13085" width="6.77734375" style="3" customWidth="1"/>
    <col min="13086" max="13313" width="3.44140625" style="3"/>
    <col min="13314" max="13314" width="3" style="3" customWidth="1"/>
    <col min="13315" max="13319" width="3.44140625" style="3"/>
    <col min="13320" max="13320" width="2.44140625" style="3" customWidth="1"/>
    <col min="13321" max="13340" width="3.44140625" style="3"/>
    <col min="13341" max="13341" width="6.77734375" style="3" customWidth="1"/>
    <col min="13342" max="13569" width="3.44140625" style="3"/>
    <col min="13570" max="13570" width="3" style="3" customWidth="1"/>
    <col min="13571" max="13575" width="3.44140625" style="3"/>
    <col min="13576" max="13576" width="2.44140625" style="3" customWidth="1"/>
    <col min="13577" max="13596" width="3.44140625" style="3"/>
    <col min="13597" max="13597" width="6.77734375" style="3" customWidth="1"/>
    <col min="13598" max="13825" width="3.44140625" style="3"/>
    <col min="13826" max="13826" width="3" style="3" customWidth="1"/>
    <col min="13827" max="13831" width="3.44140625" style="3"/>
    <col min="13832" max="13832" width="2.44140625" style="3" customWidth="1"/>
    <col min="13833" max="13852" width="3.44140625" style="3"/>
    <col min="13853" max="13853" width="6.77734375" style="3" customWidth="1"/>
    <col min="13854" max="14081" width="3.44140625" style="3"/>
    <col min="14082" max="14082" width="3" style="3" customWidth="1"/>
    <col min="14083" max="14087" width="3.44140625" style="3"/>
    <col min="14088" max="14088" width="2.44140625" style="3" customWidth="1"/>
    <col min="14089" max="14108" width="3.44140625" style="3"/>
    <col min="14109" max="14109" width="6.77734375" style="3" customWidth="1"/>
    <col min="14110" max="14337" width="3.44140625" style="3"/>
    <col min="14338" max="14338" width="3" style="3" customWidth="1"/>
    <col min="14339" max="14343" width="3.44140625" style="3"/>
    <col min="14344" max="14344" width="2.44140625" style="3" customWidth="1"/>
    <col min="14345" max="14364" width="3.44140625" style="3"/>
    <col min="14365" max="14365" width="6.77734375" style="3" customWidth="1"/>
    <col min="14366" max="14593" width="3.44140625" style="3"/>
    <col min="14594" max="14594" width="3" style="3" customWidth="1"/>
    <col min="14595" max="14599" width="3.44140625" style="3"/>
    <col min="14600" max="14600" width="2.44140625" style="3" customWidth="1"/>
    <col min="14601" max="14620" width="3.44140625" style="3"/>
    <col min="14621" max="14621" width="6.77734375" style="3" customWidth="1"/>
    <col min="14622" max="14849" width="3.44140625" style="3"/>
    <col min="14850" max="14850" width="3" style="3" customWidth="1"/>
    <col min="14851" max="14855" width="3.44140625" style="3"/>
    <col min="14856" max="14856" width="2.44140625" style="3" customWidth="1"/>
    <col min="14857" max="14876" width="3.44140625" style="3"/>
    <col min="14877" max="14877" width="6.77734375" style="3" customWidth="1"/>
    <col min="14878" max="15105" width="3.44140625" style="3"/>
    <col min="15106" max="15106" width="3" style="3" customWidth="1"/>
    <col min="15107" max="15111" width="3.44140625" style="3"/>
    <col min="15112" max="15112" width="2.44140625" style="3" customWidth="1"/>
    <col min="15113" max="15132" width="3.44140625" style="3"/>
    <col min="15133" max="15133" width="6.77734375" style="3" customWidth="1"/>
    <col min="15134" max="15361" width="3.44140625" style="3"/>
    <col min="15362" max="15362" width="3" style="3" customWidth="1"/>
    <col min="15363" max="15367" width="3.44140625" style="3"/>
    <col min="15368" max="15368" width="2.44140625" style="3" customWidth="1"/>
    <col min="15369" max="15388" width="3.44140625" style="3"/>
    <col min="15389" max="15389" width="6.77734375" style="3" customWidth="1"/>
    <col min="15390" max="15617" width="3.44140625" style="3"/>
    <col min="15618" max="15618" width="3" style="3" customWidth="1"/>
    <col min="15619" max="15623" width="3.44140625" style="3"/>
    <col min="15624" max="15624" width="2.44140625" style="3" customWidth="1"/>
    <col min="15625" max="15644" width="3.44140625" style="3"/>
    <col min="15645" max="15645" width="6.77734375" style="3" customWidth="1"/>
    <col min="15646" max="15873" width="3.44140625" style="3"/>
    <col min="15874" max="15874" width="3" style="3" customWidth="1"/>
    <col min="15875" max="15879" width="3.44140625" style="3"/>
    <col min="15880" max="15880" width="2.44140625" style="3" customWidth="1"/>
    <col min="15881" max="15900" width="3.44140625" style="3"/>
    <col min="15901" max="15901" width="6.77734375" style="3" customWidth="1"/>
    <col min="15902" max="16129" width="3.44140625" style="3"/>
    <col min="16130" max="16130" width="3" style="3" customWidth="1"/>
    <col min="16131" max="16135" width="3.44140625" style="3"/>
    <col min="16136" max="16136" width="2.44140625" style="3" customWidth="1"/>
    <col min="16137" max="16156" width="3.44140625" style="3"/>
    <col min="16157" max="16157" width="6.77734375" style="3" customWidth="1"/>
    <col min="16158" max="16384" width="3.44140625" style="3"/>
  </cols>
  <sheetData>
    <row r="2" spans="2:29">
      <c r="B2" s="3" t="s">
        <v>1517</v>
      </c>
    </row>
    <row r="3" spans="2:29">
      <c r="D3" s="1704"/>
      <c r="E3" s="1704"/>
      <c r="F3" s="1704"/>
      <c r="G3" s="1704"/>
      <c r="H3" s="1704"/>
      <c r="I3" s="1704"/>
      <c r="J3" s="1704"/>
      <c r="K3" s="1704"/>
      <c r="L3" s="1704"/>
      <c r="M3" s="1704"/>
      <c r="N3" s="1704"/>
      <c r="O3" s="1704"/>
      <c r="P3" s="1704"/>
      <c r="Q3" s="1704"/>
      <c r="R3" s="1704"/>
      <c r="S3" s="1704"/>
      <c r="T3" s="1704"/>
      <c r="U3" s="1704"/>
      <c r="V3" s="1704"/>
      <c r="W3" s="1704"/>
      <c r="X3" s="1704"/>
      <c r="Y3" s="1704"/>
      <c r="Z3" s="1704"/>
      <c r="AA3" s="1704"/>
      <c r="AB3" s="1704"/>
      <c r="AC3" s="1704"/>
    </row>
    <row r="4" spans="2:29">
      <c r="B4" s="1788" t="s">
        <v>1518</v>
      </c>
      <c r="C4" s="1788"/>
      <c r="D4" s="1788"/>
      <c r="E4" s="1788"/>
      <c r="F4" s="1788"/>
      <c r="G4" s="1788"/>
      <c r="H4" s="1788"/>
      <c r="I4" s="1788"/>
      <c r="J4" s="1788"/>
      <c r="K4" s="1788"/>
      <c r="L4" s="1788"/>
      <c r="M4" s="1788"/>
      <c r="N4" s="1788"/>
      <c r="O4" s="1788"/>
      <c r="P4" s="1788"/>
      <c r="Q4" s="1788"/>
      <c r="R4" s="1788"/>
      <c r="S4" s="1788"/>
      <c r="T4" s="1788"/>
      <c r="U4" s="1788"/>
      <c r="V4" s="1788"/>
      <c r="W4" s="1788"/>
      <c r="X4" s="1788"/>
      <c r="Y4" s="1788"/>
      <c r="Z4" s="1788"/>
      <c r="AA4" s="1788"/>
      <c r="AB4" s="1788"/>
      <c r="AC4" s="1788"/>
    </row>
    <row r="6" spans="2:29" ht="30" customHeight="1">
      <c r="B6" s="663">
        <v>1</v>
      </c>
      <c r="C6" s="1790" t="s">
        <v>92</v>
      </c>
      <c r="D6" s="1790"/>
      <c r="E6" s="1790"/>
      <c r="F6" s="1790"/>
      <c r="G6" s="1791"/>
      <c r="H6" s="1697"/>
      <c r="I6" s="1698"/>
      <c r="J6" s="1698"/>
      <c r="K6" s="1698"/>
      <c r="L6" s="1698"/>
      <c r="M6" s="1698"/>
      <c r="N6" s="1698"/>
      <c r="O6" s="1698"/>
      <c r="P6" s="1698"/>
      <c r="Q6" s="1698"/>
      <c r="R6" s="1698"/>
      <c r="S6" s="1698"/>
      <c r="T6" s="1698"/>
      <c r="U6" s="1698"/>
      <c r="V6" s="1698"/>
      <c r="W6" s="1698"/>
      <c r="X6" s="1698"/>
      <c r="Y6" s="1698"/>
      <c r="Z6" s="1698"/>
      <c r="AA6" s="1698"/>
      <c r="AB6" s="1698"/>
      <c r="AC6" s="1699"/>
    </row>
    <row r="7" spans="2:29" ht="30" customHeight="1">
      <c r="B7" s="602">
        <v>2</v>
      </c>
      <c r="C7" s="1804" t="s">
        <v>62</v>
      </c>
      <c r="D7" s="1804"/>
      <c r="E7" s="1804"/>
      <c r="F7" s="1804"/>
      <c r="G7" s="1805"/>
      <c r="H7" s="15"/>
      <c r="I7" s="640" t="s">
        <v>121</v>
      </c>
      <c r="J7" s="639" t="s">
        <v>1173</v>
      </c>
      <c r="K7" s="639"/>
      <c r="L7" s="639"/>
      <c r="M7" s="639"/>
      <c r="N7" s="640" t="s">
        <v>121</v>
      </c>
      <c r="O7" s="639" t="s">
        <v>1174</v>
      </c>
      <c r="P7" s="639"/>
      <c r="Q7" s="639"/>
      <c r="R7" s="639"/>
      <c r="S7" s="640" t="s">
        <v>121</v>
      </c>
      <c r="T7" s="639" t="s">
        <v>1175</v>
      </c>
      <c r="U7" s="639"/>
      <c r="V7" s="16"/>
      <c r="W7" s="16"/>
      <c r="X7" s="16"/>
      <c r="Y7" s="16"/>
      <c r="Z7" s="16"/>
      <c r="AC7" s="430"/>
    </row>
    <row r="8" spans="2:29" ht="30" customHeight="1">
      <c r="B8" s="1795">
        <v>3</v>
      </c>
      <c r="C8" s="2087" t="s">
        <v>63</v>
      </c>
      <c r="D8" s="2087"/>
      <c r="E8" s="2087"/>
      <c r="F8" s="2087"/>
      <c r="G8" s="2088"/>
      <c r="H8" s="433"/>
      <c r="I8" s="641" t="s">
        <v>121</v>
      </c>
      <c r="J8" s="2" t="s">
        <v>1519</v>
      </c>
      <c r="K8" s="2"/>
      <c r="L8" s="2"/>
      <c r="M8" s="2"/>
      <c r="N8" s="2"/>
      <c r="O8" s="2"/>
      <c r="P8" s="2"/>
      <c r="Q8" s="641" t="s">
        <v>121</v>
      </c>
      <c r="R8" s="22" t="s">
        <v>1520</v>
      </c>
      <c r="U8" s="2"/>
      <c r="AA8" s="57"/>
      <c r="AB8" s="57"/>
      <c r="AC8" s="58"/>
    </row>
    <row r="9" spans="2:29" ht="30" customHeight="1">
      <c r="B9" s="1798"/>
      <c r="C9" s="1875"/>
      <c r="D9" s="1875"/>
      <c r="E9" s="1875"/>
      <c r="F9" s="1875"/>
      <c r="G9" s="2089"/>
      <c r="H9" s="432"/>
      <c r="I9" s="646" t="s">
        <v>121</v>
      </c>
      <c r="J9" s="645" t="s">
        <v>1521</v>
      </c>
      <c r="K9" s="645"/>
      <c r="L9" s="645"/>
      <c r="M9" s="645"/>
      <c r="N9" s="645"/>
      <c r="O9" s="645"/>
      <c r="P9" s="645"/>
      <c r="Q9" s="646" t="s">
        <v>121</v>
      </c>
      <c r="R9" s="645" t="s">
        <v>1522</v>
      </c>
      <c r="S9" s="59"/>
      <c r="T9" s="59"/>
      <c r="U9" s="645"/>
      <c r="V9" s="59"/>
      <c r="W9" s="59"/>
      <c r="X9" s="59"/>
      <c r="Y9" s="59"/>
      <c r="Z9" s="59"/>
      <c r="AA9" s="59"/>
      <c r="AB9" s="59"/>
      <c r="AC9" s="60"/>
    </row>
    <row r="10" spans="2:29">
      <c r="B10" s="680"/>
      <c r="C10" s="57"/>
      <c r="D10" s="57"/>
      <c r="E10" s="57"/>
      <c r="F10" s="57"/>
      <c r="G10" s="58"/>
      <c r="H10" s="433"/>
      <c r="AC10" s="430"/>
    </row>
    <row r="11" spans="2:29">
      <c r="B11" s="429">
        <v>4</v>
      </c>
      <c r="C11" s="1704" t="s">
        <v>105</v>
      </c>
      <c r="D11" s="1704"/>
      <c r="E11" s="1704"/>
      <c r="F11" s="1704"/>
      <c r="G11" s="1705"/>
      <c r="H11" s="433"/>
      <c r="I11" s="3" t="s">
        <v>106</v>
      </c>
      <c r="AC11" s="430"/>
    </row>
    <row r="12" spans="2:29">
      <c r="B12" s="429"/>
      <c r="C12" s="1704"/>
      <c r="D12" s="1704"/>
      <c r="E12" s="1704"/>
      <c r="F12" s="1704"/>
      <c r="G12" s="1705"/>
      <c r="H12" s="433"/>
      <c r="AC12" s="430"/>
    </row>
    <row r="13" spans="2:29">
      <c r="B13" s="429"/>
      <c r="C13" s="1704"/>
      <c r="D13" s="1704"/>
      <c r="E13" s="1704"/>
      <c r="F13" s="1704"/>
      <c r="G13" s="1705"/>
      <c r="H13" s="433"/>
      <c r="I13" s="1794" t="s">
        <v>64</v>
      </c>
      <c r="J13" s="1794"/>
      <c r="K13" s="1794"/>
      <c r="L13" s="1794"/>
      <c r="M13" s="1794"/>
      <c r="N13" s="1794"/>
      <c r="O13" s="1795" t="s">
        <v>65</v>
      </c>
      <c r="P13" s="1796"/>
      <c r="Q13" s="1796"/>
      <c r="R13" s="1796"/>
      <c r="S13" s="1796"/>
      <c r="T13" s="1796"/>
      <c r="U13" s="1796"/>
      <c r="V13" s="1796"/>
      <c r="W13" s="1797"/>
      <c r="AC13" s="430"/>
    </row>
    <row r="14" spans="2:29">
      <c r="B14" s="429"/>
      <c r="G14" s="430"/>
      <c r="H14" s="433"/>
      <c r="I14" s="1794"/>
      <c r="J14" s="1794"/>
      <c r="K14" s="1794"/>
      <c r="L14" s="1794"/>
      <c r="M14" s="1794"/>
      <c r="N14" s="1794"/>
      <c r="O14" s="1798"/>
      <c r="P14" s="1799"/>
      <c r="Q14" s="1799"/>
      <c r="R14" s="1799"/>
      <c r="S14" s="1799"/>
      <c r="T14" s="1799"/>
      <c r="U14" s="1799"/>
      <c r="V14" s="1799"/>
      <c r="W14" s="1800"/>
      <c r="AC14" s="430"/>
    </row>
    <row r="15" spans="2:29" ht="13.5" customHeight="1">
      <c r="B15" s="429"/>
      <c r="G15" s="430"/>
      <c r="H15" s="433"/>
      <c r="I15" s="1795" t="s">
        <v>69</v>
      </c>
      <c r="J15" s="1796"/>
      <c r="K15" s="1796"/>
      <c r="L15" s="1796"/>
      <c r="M15" s="1796"/>
      <c r="N15" s="1797"/>
      <c r="O15" s="1795"/>
      <c r="P15" s="1796"/>
      <c r="Q15" s="1796"/>
      <c r="R15" s="1796"/>
      <c r="S15" s="1796"/>
      <c r="T15" s="1796"/>
      <c r="U15" s="1796"/>
      <c r="V15" s="1796"/>
      <c r="W15" s="1797"/>
      <c r="AC15" s="430"/>
    </row>
    <row r="16" spans="2:29">
      <c r="B16" s="429"/>
      <c r="G16" s="430"/>
      <c r="H16" s="433"/>
      <c r="I16" s="1798"/>
      <c r="J16" s="1799"/>
      <c r="K16" s="1799"/>
      <c r="L16" s="1799"/>
      <c r="M16" s="1799"/>
      <c r="N16" s="1800"/>
      <c r="O16" s="1798"/>
      <c r="P16" s="1799"/>
      <c r="Q16" s="1799"/>
      <c r="R16" s="1799"/>
      <c r="S16" s="1799"/>
      <c r="T16" s="1799"/>
      <c r="U16" s="1799"/>
      <c r="V16" s="1799"/>
      <c r="W16" s="1800"/>
      <c r="AC16" s="430"/>
    </row>
    <row r="17" spans="2:29">
      <c r="B17" s="429"/>
      <c r="G17" s="430"/>
      <c r="H17" s="433"/>
      <c r="I17" s="1795" t="s">
        <v>102</v>
      </c>
      <c r="J17" s="1796"/>
      <c r="K17" s="1796"/>
      <c r="L17" s="1796"/>
      <c r="M17" s="1796"/>
      <c r="N17" s="1797"/>
      <c r="O17" s="1795"/>
      <c r="P17" s="1796"/>
      <c r="Q17" s="1796"/>
      <c r="R17" s="1796"/>
      <c r="S17" s="1796"/>
      <c r="T17" s="1796"/>
      <c r="U17" s="1796"/>
      <c r="V17" s="1796"/>
      <c r="W17" s="1797"/>
      <c r="AC17" s="430"/>
    </row>
    <row r="18" spans="2:29">
      <c r="B18" s="429"/>
      <c r="G18" s="430"/>
      <c r="H18" s="433"/>
      <c r="I18" s="1798"/>
      <c r="J18" s="1799"/>
      <c r="K18" s="1799"/>
      <c r="L18" s="1799"/>
      <c r="M18" s="1799"/>
      <c r="N18" s="1800"/>
      <c r="O18" s="1798"/>
      <c r="P18" s="1799"/>
      <c r="Q18" s="1799"/>
      <c r="R18" s="1799"/>
      <c r="S18" s="1799"/>
      <c r="T18" s="1799"/>
      <c r="U18" s="1799"/>
      <c r="V18" s="1799"/>
      <c r="W18" s="1800"/>
      <c r="AC18" s="430"/>
    </row>
    <row r="19" spans="2:29">
      <c r="B19" s="429"/>
      <c r="G19" s="430"/>
      <c r="H19" s="433"/>
      <c r="I19" s="1794" t="s">
        <v>850</v>
      </c>
      <c r="J19" s="1794"/>
      <c r="K19" s="1794"/>
      <c r="L19" s="1794"/>
      <c r="M19" s="1794"/>
      <c r="N19" s="1794"/>
      <c r="O19" s="1795"/>
      <c r="P19" s="1796"/>
      <c r="Q19" s="1796"/>
      <c r="R19" s="1796"/>
      <c r="S19" s="1796"/>
      <c r="T19" s="1796"/>
      <c r="U19" s="1796"/>
      <c r="V19" s="1796"/>
      <c r="W19" s="1797"/>
      <c r="AC19" s="430"/>
    </row>
    <row r="20" spans="2:29">
      <c r="B20" s="429"/>
      <c r="G20" s="430"/>
      <c r="H20" s="433"/>
      <c r="I20" s="1794"/>
      <c r="J20" s="1794"/>
      <c r="K20" s="1794"/>
      <c r="L20" s="1794"/>
      <c r="M20" s="1794"/>
      <c r="N20" s="1794"/>
      <c r="O20" s="1798"/>
      <c r="P20" s="1799"/>
      <c r="Q20" s="1799"/>
      <c r="R20" s="1799"/>
      <c r="S20" s="1799"/>
      <c r="T20" s="1799"/>
      <c r="U20" s="1799"/>
      <c r="V20" s="1799"/>
      <c r="W20" s="1800"/>
      <c r="AC20" s="430"/>
    </row>
    <row r="21" spans="2:29">
      <c r="B21" s="429"/>
      <c r="G21" s="430"/>
      <c r="H21" s="433"/>
      <c r="I21" s="1794" t="s">
        <v>851</v>
      </c>
      <c r="J21" s="1794"/>
      <c r="K21" s="1794"/>
      <c r="L21" s="1794"/>
      <c r="M21" s="1794"/>
      <c r="N21" s="1794"/>
      <c r="O21" s="1795"/>
      <c r="P21" s="1796"/>
      <c r="Q21" s="1796"/>
      <c r="R21" s="1796"/>
      <c r="S21" s="1796"/>
      <c r="T21" s="1796"/>
      <c r="U21" s="1796"/>
      <c r="V21" s="1796"/>
      <c r="W21" s="1797"/>
      <c r="AC21" s="430"/>
    </row>
    <row r="22" spans="2:29">
      <c r="B22" s="429"/>
      <c r="G22" s="430"/>
      <c r="H22" s="433"/>
      <c r="I22" s="1794"/>
      <c r="J22" s="1794"/>
      <c r="K22" s="1794"/>
      <c r="L22" s="1794"/>
      <c r="M22" s="1794"/>
      <c r="N22" s="1794"/>
      <c r="O22" s="1798"/>
      <c r="P22" s="1799"/>
      <c r="Q22" s="1799"/>
      <c r="R22" s="1799"/>
      <c r="S22" s="1799"/>
      <c r="T22" s="1799"/>
      <c r="U22" s="1799"/>
      <c r="V22" s="1799"/>
      <c r="W22" s="1800"/>
      <c r="AC22" s="430"/>
    </row>
    <row r="23" spans="2:29">
      <c r="B23" s="429"/>
      <c r="G23" s="430"/>
      <c r="H23" s="433"/>
      <c r="I23" s="1794" t="s">
        <v>67</v>
      </c>
      <c r="J23" s="1794"/>
      <c r="K23" s="1794"/>
      <c r="L23" s="1794"/>
      <c r="M23" s="1794"/>
      <c r="N23" s="1794"/>
      <c r="O23" s="1795"/>
      <c r="P23" s="1796"/>
      <c r="Q23" s="1796"/>
      <c r="R23" s="1796"/>
      <c r="S23" s="1796"/>
      <c r="T23" s="1796"/>
      <c r="U23" s="1796"/>
      <c r="V23" s="1796"/>
      <c r="W23" s="1797"/>
      <c r="AC23" s="430"/>
    </row>
    <row r="24" spans="2:29">
      <c r="B24" s="429"/>
      <c r="G24" s="430"/>
      <c r="H24" s="433"/>
      <c r="I24" s="1794"/>
      <c r="J24" s="1794"/>
      <c r="K24" s="1794"/>
      <c r="L24" s="1794"/>
      <c r="M24" s="1794"/>
      <c r="N24" s="1794"/>
      <c r="O24" s="1798"/>
      <c r="P24" s="1799"/>
      <c r="Q24" s="1799"/>
      <c r="R24" s="1799"/>
      <c r="S24" s="1799"/>
      <c r="T24" s="1799"/>
      <c r="U24" s="1799"/>
      <c r="V24" s="1799"/>
      <c r="W24" s="1800"/>
      <c r="AC24" s="430"/>
    </row>
    <row r="25" spans="2:29">
      <c r="B25" s="429"/>
      <c r="G25" s="430"/>
      <c r="H25" s="433"/>
      <c r="I25" s="1794"/>
      <c r="J25" s="1794"/>
      <c r="K25" s="1794"/>
      <c r="L25" s="1794"/>
      <c r="M25" s="1794"/>
      <c r="N25" s="1794"/>
      <c r="O25" s="1795"/>
      <c r="P25" s="1796"/>
      <c r="Q25" s="1796"/>
      <c r="R25" s="1796"/>
      <c r="S25" s="1796"/>
      <c r="T25" s="1796"/>
      <c r="U25" s="1796"/>
      <c r="V25" s="1796"/>
      <c r="W25" s="1797"/>
      <c r="AC25" s="430"/>
    </row>
    <row r="26" spans="2:29">
      <c r="B26" s="429"/>
      <c r="G26" s="430"/>
      <c r="H26" s="433"/>
      <c r="I26" s="1794"/>
      <c r="J26" s="1794"/>
      <c r="K26" s="1794"/>
      <c r="L26" s="1794"/>
      <c r="M26" s="1794"/>
      <c r="N26" s="1794"/>
      <c r="O26" s="1798"/>
      <c r="P26" s="1799"/>
      <c r="Q26" s="1799"/>
      <c r="R26" s="1799"/>
      <c r="S26" s="1799"/>
      <c r="T26" s="1799"/>
      <c r="U26" s="1799"/>
      <c r="V26" s="1799"/>
      <c r="W26" s="1800"/>
      <c r="AC26" s="430"/>
    </row>
    <row r="27" spans="2:29">
      <c r="B27" s="429"/>
      <c r="G27" s="430"/>
      <c r="H27" s="433"/>
      <c r="I27" s="1794"/>
      <c r="J27" s="1794"/>
      <c r="K27" s="1794"/>
      <c r="L27" s="1794"/>
      <c r="M27" s="1794"/>
      <c r="N27" s="1794"/>
      <c r="O27" s="1795"/>
      <c r="P27" s="1796"/>
      <c r="Q27" s="1796"/>
      <c r="R27" s="1796"/>
      <c r="S27" s="1796"/>
      <c r="T27" s="1796"/>
      <c r="U27" s="1796"/>
      <c r="V27" s="1796"/>
      <c r="W27" s="1797"/>
      <c r="AC27" s="430"/>
    </row>
    <row r="28" spans="2:29">
      <c r="B28" s="429"/>
      <c r="G28" s="430"/>
      <c r="H28" s="433"/>
      <c r="I28" s="1794"/>
      <c r="J28" s="1794"/>
      <c r="K28" s="1794"/>
      <c r="L28" s="1794"/>
      <c r="M28" s="1794"/>
      <c r="N28" s="1794"/>
      <c r="O28" s="1798"/>
      <c r="P28" s="1799"/>
      <c r="Q28" s="1799"/>
      <c r="R28" s="1799"/>
      <c r="S28" s="1799"/>
      <c r="T28" s="1799"/>
      <c r="U28" s="1799"/>
      <c r="V28" s="1799"/>
      <c r="W28" s="1800"/>
      <c r="AC28" s="430"/>
    </row>
    <row r="29" spans="2:29">
      <c r="B29" s="429"/>
      <c r="G29" s="430"/>
      <c r="H29" s="433"/>
      <c r="I29" s="1794"/>
      <c r="J29" s="1794"/>
      <c r="K29" s="1794"/>
      <c r="L29" s="1794"/>
      <c r="M29" s="1794"/>
      <c r="N29" s="1794"/>
      <c r="O29" s="1795"/>
      <c r="P29" s="1796"/>
      <c r="Q29" s="1796"/>
      <c r="R29" s="1796"/>
      <c r="S29" s="1796"/>
      <c r="T29" s="1796"/>
      <c r="U29" s="1796"/>
      <c r="V29" s="1796"/>
      <c r="W29" s="1797"/>
      <c r="AC29" s="430"/>
    </row>
    <row r="30" spans="2:29">
      <c r="B30" s="429"/>
      <c r="G30" s="430"/>
      <c r="H30" s="433"/>
      <c r="I30" s="1794"/>
      <c r="J30" s="1794"/>
      <c r="K30" s="1794"/>
      <c r="L30" s="1794"/>
      <c r="M30" s="1794"/>
      <c r="N30" s="1794"/>
      <c r="O30" s="1798"/>
      <c r="P30" s="1799"/>
      <c r="Q30" s="1799"/>
      <c r="R30" s="1799"/>
      <c r="S30" s="1799"/>
      <c r="T30" s="1799"/>
      <c r="U30" s="1799"/>
      <c r="V30" s="1799"/>
      <c r="W30" s="1800"/>
      <c r="AC30" s="430"/>
    </row>
    <row r="31" spans="2:29">
      <c r="B31" s="429"/>
      <c r="G31" s="430"/>
      <c r="H31" s="433"/>
      <c r="I31" s="1794"/>
      <c r="J31" s="1794"/>
      <c r="K31" s="1794"/>
      <c r="L31" s="1794"/>
      <c r="M31" s="1794"/>
      <c r="N31" s="1794"/>
      <c r="O31" s="1795"/>
      <c r="P31" s="1796"/>
      <c r="Q31" s="1796"/>
      <c r="R31" s="1796"/>
      <c r="S31" s="1796"/>
      <c r="T31" s="1796"/>
      <c r="U31" s="1796"/>
      <c r="V31" s="1796"/>
      <c r="W31" s="1797"/>
      <c r="AC31" s="430"/>
    </row>
    <row r="32" spans="2:29">
      <c r="B32" s="429"/>
      <c r="G32" s="430"/>
      <c r="H32" s="433"/>
      <c r="I32" s="1794"/>
      <c r="J32" s="1794"/>
      <c r="K32" s="1794"/>
      <c r="L32" s="1794"/>
      <c r="M32" s="1794"/>
      <c r="N32" s="1794"/>
      <c r="O32" s="1798"/>
      <c r="P32" s="1799"/>
      <c r="Q32" s="1799"/>
      <c r="R32" s="1799"/>
      <c r="S32" s="1799"/>
      <c r="T32" s="1799"/>
      <c r="U32" s="1799"/>
      <c r="V32" s="1799"/>
      <c r="W32" s="1800"/>
      <c r="AC32" s="430"/>
    </row>
    <row r="33" spans="2:30">
      <c r="B33" s="679"/>
      <c r="C33" s="59"/>
      <c r="D33" s="59"/>
      <c r="E33" s="59"/>
      <c r="F33" s="59"/>
      <c r="G33" s="60"/>
      <c r="H33" s="432"/>
      <c r="I33" s="59"/>
      <c r="J33" s="59"/>
      <c r="K33" s="59"/>
      <c r="L33" s="59"/>
      <c r="M33" s="59"/>
      <c r="N33" s="59"/>
      <c r="O33" s="59"/>
      <c r="P33" s="59"/>
      <c r="Q33" s="59"/>
      <c r="R33" s="59"/>
      <c r="S33" s="59"/>
      <c r="T33" s="59"/>
      <c r="U33" s="59"/>
      <c r="V33" s="59"/>
      <c r="W33" s="59"/>
      <c r="X33" s="59"/>
      <c r="Y33" s="59"/>
      <c r="Z33" s="59"/>
      <c r="AA33" s="59"/>
      <c r="AB33" s="59"/>
      <c r="AC33" s="60"/>
    </row>
    <row r="34" spans="2:30">
      <c r="H34" s="668"/>
      <c r="I34" s="668"/>
      <c r="J34" s="668"/>
      <c r="K34" s="668"/>
      <c r="L34" s="668"/>
      <c r="M34" s="668"/>
      <c r="N34" s="668"/>
      <c r="O34" s="668"/>
      <c r="P34" s="668"/>
      <c r="Q34" s="668"/>
      <c r="R34" s="668"/>
      <c r="S34" s="668"/>
      <c r="T34" s="668"/>
      <c r="U34" s="668"/>
      <c r="V34" s="668"/>
      <c r="W34" s="668"/>
      <c r="X34" s="668"/>
      <c r="Y34" s="668"/>
      <c r="Z34" s="668"/>
      <c r="AA34" s="668"/>
      <c r="AB34" s="668"/>
      <c r="AC34" s="668"/>
    </row>
    <row r="35" spans="2:30" ht="6" customHeight="1"/>
    <row r="36" spans="2:30" ht="13.5" customHeight="1">
      <c r="B36" s="3" t="s">
        <v>301</v>
      </c>
      <c r="C36" s="1704" t="s">
        <v>1057</v>
      </c>
      <c r="D36" s="1704"/>
      <c r="E36" s="1704"/>
      <c r="F36" s="1704"/>
      <c r="G36" s="1704"/>
      <c r="H36" s="1704"/>
      <c r="I36" s="1704"/>
      <c r="J36" s="1704"/>
      <c r="K36" s="1704"/>
      <c r="L36" s="1704"/>
      <c r="M36" s="1704"/>
      <c r="N36" s="1704"/>
      <c r="O36" s="1704"/>
      <c r="P36" s="1704"/>
      <c r="Q36" s="1704"/>
      <c r="R36" s="1704"/>
      <c r="S36" s="1704"/>
      <c r="T36" s="1704"/>
      <c r="U36" s="1704"/>
      <c r="V36" s="1704"/>
      <c r="W36" s="1704"/>
      <c r="X36" s="1704"/>
      <c r="Y36" s="1704"/>
      <c r="Z36" s="1704"/>
      <c r="AA36" s="1704"/>
      <c r="AB36" s="1704"/>
      <c r="AC36" s="1704"/>
      <c r="AD36" s="724"/>
    </row>
    <row r="37" spans="2:30">
      <c r="C37" s="1704"/>
      <c r="D37" s="1704"/>
      <c r="E37" s="1704"/>
      <c r="F37" s="1704"/>
      <c r="G37" s="1704"/>
      <c r="H37" s="1704"/>
      <c r="I37" s="1704"/>
      <c r="J37" s="1704"/>
      <c r="K37" s="1704"/>
      <c r="L37" s="1704"/>
      <c r="M37" s="1704"/>
      <c r="N37" s="1704"/>
      <c r="O37" s="1704"/>
      <c r="P37" s="1704"/>
      <c r="Q37" s="1704"/>
      <c r="R37" s="1704"/>
      <c r="S37" s="1704"/>
      <c r="T37" s="1704"/>
      <c r="U37" s="1704"/>
      <c r="V37" s="1704"/>
      <c r="W37" s="1704"/>
      <c r="X37" s="1704"/>
      <c r="Y37" s="1704"/>
      <c r="Z37" s="1704"/>
      <c r="AA37" s="1704"/>
      <c r="AB37" s="1704"/>
      <c r="AC37" s="1704"/>
      <c r="AD37" s="724"/>
    </row>
    <row r="122" spans="3:7">
      <c r="C122" s="59"/>
      <c r="D122" s="59"/>
      <c r="E122" s="59"/>
      <c r="F122" s="59"/>
      <c r="G122" s="59"/>
    </row>
    <row r="123" spans="3:7">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3"/>
  <dataValidations count="1">
    <dataValidation type="list" allowBlank="1" showInputMessage="1" showErrorMessage="1" sqref="I7:I9 JE7:JE9 TA7:TA9 ACW7:ACW9 AMS7:AMS9 AWO7:AWO9 BGK7:BGK9 BQG7:BQG9 CAC7:CAC9 CJY7:CJY9 CTU7:CTU9 DDQ7:DDQ9 DNM7:DNM9 DXI7:DXI9 EHE7:EHE9 ERA7:ERA9 FAW7:FAW9 FKS7:FKS9 FUO7:FUO9 GEK7:GEK9 GOG7:GOG9 GYC7:GYC9 HHY7:HHY9 HRU7:HRU9 IBQ7:IBQ9 ILM7:ILM9 IVI7:IVI9 JFE7:JFE9 JPA7:JPA9 JYW7:JYW9 KIS7:KIS9 KSO7:KSO9 LCK7:LCK9 LMG7:LMG9 LWC7:LWC9 MFY7:MFY9 MPU7:MPU9 MZQ7:MZQ9 NJM7:NJM9 NTI7:NTI9 ODE7:ODE9 ONA7:ONA9 OWW7:OWW9 PGS7:PGS9 PQO7:PQO9 QAK7:QAK9 QKG7:QKG9 QUC7:QUC9 RDY7:RDY9 RNU7:RNU9 RXQ7:RXQ9 SHM7:SHM9 SRI7:SRI9 TBE7:TBE9 TLA7:TLA9 TUW7:TUW9 UES7:UES9 UOO7:UOO9 UYK7:UYK9 VIG7:VIG9 VSC7:VSC9 WBY7:WBY9 WLU7:WLU9 WVQ7:WVQ9 I65543:I65545 JE65543:JE65545 TA65543:TA65545 ACW65543:ACW65545 AMS65543:AMS65545 AWO65543:AWO65545 BGK65543:BGK65545 BQG65543:BQG65545 CAC65543:CAC65545 CJY65543:CJY65545 CTU65543:CTU65545 DDQ65543:DDQ65545 DNM65543:DNM65545 DXI65543:DXI65545 EHE65543:EHE65545 ERA65543:ERA65545 FAW65543:FAW65545 FKS65543:FKS65545 FUO65543:FUO65545 GEK65543:GEK65545 GOG65543:GOG65545 GYC65543:GYC65545 HHY65543:HHY65545 HRU65543:HRU65545 IBQ65543:IBQ65545 ILM65543:ILM65545 IVI65543:IVI65545 JFE65543:JFE65545 JPA65543:JPA65545 JYW65543:JYW65545 KIS65543:KIS65545 KSO65543:KSO65545 LCK65543:LCK65545 LMG65543:LMG65545 LWC65543:LWC65545 MFY65543:MFY65545 MPU65543:MPU65545 MZQ65543:MZQ65545 NJM65543:NJM65545 NTI65543:NTI65545 ODE65543:ODE65545 ONA65543:ONA65545 OWW65543:OWW65545 PGS65543:PGS65545 PQO65543:PQO65545 QAK65543:QAK65545 QKG65543:QKG65545 QUC65543:QUC65545 RDY65543:RDY65545 RNU65543:RNU65545 RXQ65543:RXQ65545 SHM65543:SHM65545 SRI65543:SRI65545 TBE65543:TBE65545 TLA65543:TLA65545 TUW65543:TUW65545 UES65543:UES65545 UOO65543:UOO65545 UYK65543:UYK65545 VIG65543:VIG65545 VSC65543:VSC65545 WBY65543:WBY65545 WLU65543:WLU65545 WVQ65543:WVQ65545 I131079:I131081 JE131079:JE131081 TA131079:TA131081 ACW131079:ACW131081 AMS131079:AMS131081 AWO131079:AWO131081 BGK131079:BGK131081 BQG131079:BQG131081 CAC131079:CAC131081 CJY131079:CJY131081 CTU131079:CTU131081 DDQ131079:DDQ131081 DNM131079:DNM131081 DXI131079:DXI131081 EHE131079:EHE131081 ERA131079:ERA131081 FAW131079:FAW131081 FKS131079:FKS131081 FUO131079:FUO131081 GEK131079:GEK131081 GOG131079:GOG131081 GYC131079:GYC131081 HHY131079:HHY131081 HRU131079:HRU131081 IBQ131079:IBQ131081 ILM131079:ILM131081 IVI131079:IVI131081 JFE131079:JFE131081 JPA131079:JPA131081 JYW131079:JYW131081 KIS131079:KIS131081 KSO131079:KSO131081 LCK131079:LCK131081 LMG131079:LMG131081 LWC131079:LWC131081 MFY131079:MFY131081 MPU131079:MPU131081 MZQ131079:MZQ131081 NJM131079:NJM131081 NTI131079:NTI131081 ODE131079:ODE131081 ONA131079:ONA131081 OWW131079:OWW131081 PGS131079:PGS131081 PQO131079:PQO131081 QAK131079:QAK131081 QKG131079:QKG131081 QUC131079:QUC131081 RDY131079:RDY131081 RNU131079:RNU131081 RXQ131079:RXQ131081 SHM131079:SHM131081 SRI131079:SRI131081 TBE131079:TBE131081 TLA131079:TLA131081 TUW131079:TUW131081 UES131079:UES131081 UOO131079:UOO131081 UYK131079:UYK131081 VIG131079:VIG131081 VSC131079:VSC131081 WBY131079:WBY131081 WLU131079:WLU131081 WVQ131079:WVQ131081 I196615:I196617 JE196615:JE196617 TA196615:TA196617 ACW196615:ACW196617 AMS196615:AMS196617 AWO196615:AWO196617 BGK196615:BGK196617 BQG196615:BQG196617 CAC196615:CAC196617 CJY196615:CJY196617 CTU196615:CTU196617 DDQ196615:DDQ196617 DNM196615:DNM196617 DXI196615:DXI196617 EHE196615:EHE196617 ERA196615:ERA196617 FAW196615:FAW196617 FKS196615:FKS196617 FUO196615:FUO196617 GEK196615:GEK196617 GOG196615:GOG196617 GYC196615:GYC196617 HHY196615:HHY196617 HRU196615:HRU196617 IBQ196615:IBQ196617 ILM196615:ILM196617 IVI196615:IVI196617 JFE196615:JFE196617 JPA196615:JPA196617 JYW196615:JYW196617 KIS196615:KIS196617 KSO196615:KSO196617 LCK196615:LCK196617 LMG196615:LMG196617 LWC196615:LWC196617 MFY196615:MFY196617 MPU196615:MPU196617 MZQ196615:MZQ196617 NJM196615:NJM196617 NTI196615:NTI196617 ODE196615:ODE196617 ONA196615:ONA196617 OWW196615:OWW196617 PGS196615:PGS196617 PQO196615:PQO196617 QAK196615:QAK196617 QKG196615:QKG196617 QUC196615:QUC196617 RDY196615:RDY196617 RNU196615:RNU196617 RXQ196615:RXQ196617 SHM196615:SHM196617 SRI196615:SRI196617 TBE196615:TBE196617 TLA196615:TLA196617 TUW196615:TUW196617 UES196615:UES196617 UOO196615:UOO196617 UYK196615:UYK196617 VIG196615:VIG196617 VSC196615:VSC196617 WBY196615:WBY196617 WLU196615:WLU196617 WVQ196615:WVQ196617 I262151:I262153 JE262151:JE262153 TA262151:TA262153 ACW262151:ACW262153 AMS262151:AMS262153 AWO262151:AWO262153 BGK262151:BGK262153 BQG262151:BQG262153 CAC262151:CAC262153 CJY262151:CJY262153 CTU262151:CTU262153 DDQ262151:DDQ262153 DNM262151:DNM262153 DXI262151:DXI262153 EHE262151:EHE262153 ERA262151:ERA262153 FAW262151:FAW262153 FKS262151:FKS262153 FUO262151:FUO262153 GEK262151:GEK262153 GOG262151:GOG262153 GYC262151:GYC262153 HHY262151:HHY262153 HRU262151:HRU262153 IBQ262151:IBQ262153 ILM262151:ILM262153 IVI262151:IVI262153 JFE262151:JFE262153 JPA262151:JPA262153 JYW262151:JYW262153 KIS262151:KIS262153 KSO262151:KSO262153 LCK262151:LCK262153 LMG262151:LMG262153 LWC262151:LWC262153 MFY262151:MFY262153 MPU262151:MPU262153 MZQ262151:MZQ262153 NJM262151:NJM262153 NTI262151:NTI262153 ODE262151:ODE262153 ONA262151:ONA262153 OWW262151:OWW262153 PGS262151:PGS262153 PQO262151:PQO262153 QAK262151:QAK262153 QKG262151:QKG262153 QUC262151:QUC262153 RDY262151:RDY262153 RNU262151:RNU262153 RXQ262151:RXQ262153 SHM262151:SHM262153 SRI262151:SRI262153 TBE262151:TBE262153 TLA262151:TLA262153 TUW262151:TUW262153 UES262151:UES262153 UOO262151:UOO262153 UYK262151:UYK262153 VIG262151:VIG262153 VSC262151:VSC262153 WBY262151:WBY262153 WLU262151:WLU262153 WVQ262151:WVQ262153 I327687:I327689 JE327687:JE327689 TA327687:TA327689 ACW327687:ACW327689 AMS327687:AMS327689 AWO327687:AWO327689 BGK327687:BGK327689 BQG327687:BQG327689 CAC327687:CAC327689 CJY327687:CJY327689 CTU327687:CTU327689 DDQ327687:DDQ327689 DNM327687:DNM327689 DXI327687:DXI327689 EHE327687:EHE327689 ERA327687:ERA327689 FAW327687:FAW327689 FKS327687:FKS327689 FUO327687:FUO327689 GEK327687:GEK327689 GOG327687:GOG327689 GYC327687:GYC327689 HHY327687:HHY327689 HRU327687:HRU327689 IBQ327687:IBQ327689 ILM327687:ILM327689 IVI327687:IVI327689 JFE327687:JFE327689 JPA327687:JPA327689 JYW327687:JYW327689 KIS327687:KIS327689 KSO327687:KSO327689 LCK327687:LCK327689 LMG327687:LMG327689 LWC327687:LWC327689 MFY327687:MFY327689 MPU327687:MPU327689 MZQ327687:MZQ327689 NJM327687:NJM327689 NTI327687:NTI327689 ODE327687:ODE327689 ONA327687:ONA327689 OWW327687:OWW327689 PGS327687:PGS327689 PQO327687:PQO327689 QAK327687:QAK327689 QKG327687:QKG327689 QUC327687:QUC327689 RDY327687:RDY327689 RNU327687:RNU327689 RXQ327687:RXQ327689 SHM327687:SHM327689 SRI327687:SRI327689 TBE327687:TBE327689 TLA327687:TLA327689 TUW327687:TUW327689 UES327687:UES327689 UOO327687:UOO327689 UYK327687:UYK327689 VIG327687:VIG327689 VSC327687:VSC327689 WBY327687:WBY327689 WLU327687:WLU327689 WVQ327687:WVQ327689 I393223:I393225 JE393223:JE393225 TA393223:TA393225 ACW393223:ACW393225 AMS393223:AMS393225 AWO393223:AWO393225 BGK393223:BGK393225 BQG393223:BQG393225 CAC393223:CAC393225 CJY393223:CJY393225 CTU393223:CTU393225 DDQ393223:DDQ393225 DNM393223:DNM393225 DXI393223:DXI393225 EHE393223:EHE393225 ERA393223:ERA393225 FAW393223:FAW393225 FKS393223:FKS393225 FUO393223:FUO393225 GEK393223:GEK393225 GOG393223:GOG393225 GYC393223:GYC393225 HHY393223:HHY393225 HRU393223:HRU393225 IBQ393223:IBQ393225 ILM393223:ILM393225 IVI393223:IVI393225 JFE393223:JFE393225 JPA393223:JPA393225 JYW393223:JYW393225 KIS393223:KIS393225 KSO393223:KSO393225 LCK393223:LCK393225 LMG393223:LMG393225 LWC393223:LWC393225 MFY393223:MFY393225 MPU393223:MPU393225 MZQ393223:MZQ393225 NJM393223:NJM393225 NTI393223:NTI393225 ODE393223:ODE393225 ONA393223:ONA393225 OWW393223:OWW393225 PGS393223:PGS393225 PQO393223:PQO393225 QAK393223:QAK393225 QKG393223:QKG393225 QUC393223:QUC393225 RDY393223:RDY393225 RNU393223:RNU393225 RXQ393223:RXQ393225 SHM393223:SHM393225 SRI393223:SRI393225 TBE393223:TBE393225 TLA393223:TLA393225 TUW393223:TUW393225 UES393223:UES393225 UOO393223:UOO393225 UYK393223:UYK393225 VIG393223:VIG393225 VSC393223:VSC393225 WBY393223:WBY393225 WLU393223:WLU393225 WVQ393223:WVQ393225 I458759:I458761 JE458759:JE458761 TA458759:TA458761 ACW458759:ACW458761 AMS458759:AMS458761 AWO458759:AWO458761 BGK458759:BGK458761 BQG458759:BQG458761 CAC458759:CAC458761 CJY458759:CJY458761 CTU458759:CTU458761 DDQ458759:DDQ458761 DNM458759:DNM458761 DXI458759:DXI458761 EHE458759:EHE458761 ERA458759:ERA458761 FAW458759:FAW458761 FKS458759:FKS458761 FUO458759:FUO458761 GEK458759:GEK458761 GOG458759:GOG458761 GYC458759:GYC458761 HHY458759:HHY458761 HRU458759:HRU458761 IBQ458759:IBQ458761 ILM458759:ILM458761 IVI458759:IVI458761 JFE458759:JFE458761 JPA458759:JPA458761 JYW458759:JYW458761 KIS458759:KIS458761 KSO458759:KSO458761 LCK458759:LCK458761 LMG458759:LMG458761 LWC458759:LWC458761 MFY458759:MFY458761 MPU458759:MPU458761 MZQ458759:MZQ458761 NJM458759:NJM458761 NTI458759:NTI458761 ODE458759:ODE458761 ONA458759:ONA458761 OWW458759:OWW458761 PGS458759:PGS458761 PQO458759:PQO458761 QAK458759:QAK458761 QKG458759:QKG458761 QUC458759:QUC458761 RDY458759:RDY458761 RNU458759:RNU458761 RXQ458759:RXQ458761 SHM458759:SHM458761 SRI458759:SRI458761 TBE458759:TBE458761 TLA458759:TLA458761 TUW458759:TUW458761 UES458759:UES458761 UOO458759:UOO458761 UYK458759:UYK458761 VIG458759:VIG458761 VSC458759:VSC458761 WBY458759:WBY458761 WLU458759:WLU458761 WVQ458759:WVQ458761 I524295:I524297 JE524295:JE524297 TA524295:TA524297 ACW524295:ACW524297 AMS524295:AMS524297 AWO524295:AWO524297 BGK524295:BGK524297 BQG524295:BQG524297 CAC524295:CAC524297 CJY524295:CJY524297 CTU524295:CTU524297 DDQ524295:DDQ524297 DNM524295:DNM524297 DXI524295:DXI524297 EHE524295:EHE524297 ERA524295:ERA524297 FAW524295:FAW524297 FKS524295:FKS524297 FUO524295:FUO524297 GEK524295:GEK524297 GOG524295:GOG524297 GYC524295:GYC524297 HHY524295:HHY524297 HRU524295:HRU524297 IBQ524295:IBQ524297 ILM524295:ILM524297 IVI524295:IVI524297 JFE524295:JFE524297 JPA524295:JPA524297 JYW524295:JYW524297 KIS524295:KIS524297 KSO524295:KSO524297 LCK524295:LCK524297 LMG524295:LMG524297 LWC524295:LWC524297 MFY524295:MFY524297 MPU524295:MPU524297 MZQ524295:MZQ524297 NJM524295:NJM524297 NTI524295:NTI524297 ODE524295:ODE524297 ONA524295:ONA524297 OWW524295:OWW524297 PGS524295:PGS524297 PQO524295:PQO524297 QAK524295:QAK524297 QKG524295:QKG524297 QUC524295:QUC524297 RDY524295:RDY524297 RNU524295:RNU524297 RXQ524295:RXQ524297 SHM524295:SHM524297 SRI524295:SRI524297 TBE524295:TBE524297 TLA524295:TLA524297 TUW524295:TUW524297 UES524295:UES524297 UOO524295:UOO524297 UYK524295:UYK524297 VIG524295:VIG524297 VSC524295:VSC524297 WBY524295:WBY524297 WLU524295:WLU524297 WVQ524295:WVQ524297 I589831:I589833 JE589831:JE589833 TA589831:TA589833 ACW589831:ACW589833 AMS589831:AMS589833 AWO589831:AWO589833 BGK589831:BGK589833 BQG589831:BQG589833 CAC589831:CAC589833 CJY589831:CJY589833 CTU589831:CTU589833 DDQ589831:DDQ589833 DNM589831:DNM589833 DXI589831:DXI589833 EHE589831:EHE589833 ERA589831:ERA589833 FAW589831:FAW589833 FKS589831:FKS589833 FUO589831:FUO589833 GEK589831:GEK589833 GOG589831:GOG589833 GYC589831:GYC589833 HHY589831:HHY589833 HRU589831:HRU589833 IBQ589831:IBQ589833 ILM589831:ILM589833 IVI589831:IVI589833 JFE589831:JFE589833 JPA589831:JPA589833 JYW589831:JYW589833 KIS589831:KIS589833 KSO589831:KSO589833 LCK589831:LCK589833 LMG589831:LMG589833 LWC589831:LWC589833 MFY589831:MFY589833 MPU589831:MPU589833 MZQ589831:MZQ589833 NJM589831:NJM589833 NTI589831:NTI589833 ODE589831:ODE589833 ONA589831:ONA589833 OWW589831:OWW589833 PGS589831:PGS589833 PQO589831:PQO589833 QAK589831:QAK589833 QKG589831:QKG589833 QUC589831:QUC589833 RDY589831:RDY589833 RNU589831:RNU589833 RXQ589831:RXQ589833 SHM589831:SHM589833 SRI589831:SRI589833 TBE589831:TBE589833 TLA589831:TLA589833 TUW589831:TUW589833 UES589831:UES589833 UOO589831:UOO589833 UYK589831:UYK589833 VIG589831:VIG589833 VSC589831:VSC589833 WBY589831:WBY589833 WLU589831:WLU589833 WVQ589831:WVQ589833 I655367:I655369 JE655367:JE655369 TA655367:TA655369 ACW655367:ACW655369 AMS655367:AMS655369 AWO655367:AWO655369 BGK655367:BGK655369 BQG655367:BQG655369 CAC655367:CAC655369 CJY655367:CJY655369 CTU655367:CTU655369 DDQ655367:DDQ655369 DNM655367:DNM655369 DXI655367:DXI655369 EHE655367:EHE655369 ERA655367:ERA655369 FAW655367:FAW655369 FKS655367:FKS655369 FUO655367:FUO655369 GEK655367:GEK655369 GOG655367:GOG655369 GYC655367:GYC655369 HHY655367:HHY655369 HRU655367:HRU655369 IBQ655367:IBQ655369 ILM655367:ILM655369 IVI655367:IVI655369 JFE655367:JFE655369 JPA655367:JPA655369 JYW655367:JYW655369 KIS655367:KIS655369 KSO655367:KSO655369 LCK655367:LCK655369 LMG655367:LMG655369 LWC655367:LWC655369 MFY655367:MFY655369 MPU655367:MPU655369 MZQ655367:MZQ655369 NJM655367:NJM655369 NTI655367:NTI655369 ODE655367:ODE655369 ONA655367:ONA655369 OWW655367:OWW655369 PGS655367:PGS655369 PQO655367:PQO655369 QAK655367:QAK655369 QKG655367:QKG655369 QUC655367:QUC655369 RDY655367:RDY655369 RNU655367:RNU655369 RXQ655367:RXQ655369 SHM655367:SHM655369 SRI655367:SRI655369 TBE655367:TBE655369 TLA655367:TLA655369 TUW655367:TUW655369 UES655367:UES655369 UOO655367:UOO655369 UYK655367:UYK655369 VIG655367:VIG655369 VSC655367:VSC655369 WBY655367:WBY655369 WLU655367:WLU655369 WVQ655367:WVQ655369 I720903:I720905 JE720903:JE720905 TA720903:TA720905 ACW720903:ACW720905 AMS720903:AMS720905 AWO720903:AWO720905 BGK720903:BGK720905 BQG720903:BQG720905 CAC720903:CAC720905 CJY720903:CJY720905 CTU720903:CTU720905 DDQ720903:DDQ720905 DNM720903:DNM720905 DXI720903:DXI720905 EHE720903:EHE720905 ERA720903:ERA720905 FAW720903:FAW720905 FKS720903:FKS720905 FUO720903:FUO720905 GEK720903:GEK720905 GOG720903:GOG720905 GYC720903:GYC720905 HHY720903:HHY720905 HRU720903:HRU720905 IBQ720903:IBQ720905 ILM720903:ILM720905 IVI720903:IVI720905 JFE720903:JFE720905 JPA720903:JPA720905 JYW720903:JYW720905 KIS720903:KIS720905 KSO720903:KSO720905 LCK720903:LCK720905 LMG720903:LMG720905 LWC720903:LWC720905 MFY720903:MFY720905 MPU720903:MPU720905 MZQ720903:MZQ720905 NJM720903:NJM720905 NTI720903:NTI720905 ODE720903:ODE720905 ONA720903:ONA720905 OWW720903:OWW720905 PGS720903:PGS720905 PQO720903:PQO720905 QAK720903:QAK720905 QKG720903:QKG720905 QUC720903:QUC720905 RDY720903:RDY720905 RNU720903:RNU720905 RXQ720903:RXQ720905 SHM720903:SHM720905 SRI720903:SRI720905 TBE720903:TBE720905 TLA720903:TLA720905 TUW720903:TUW720905 UES720903:UES720905 UOO720903:UOO720905 UYK720903:UYK720905 VIG720903:VIG720905 VSC720903:VSC720905 WBY720903:WBY720905 WLU720903:WLU720905 WVQ720903:WVQ720905 I786439:I786441 JE786439:JE786441 TA786439:TA786441 ACW786439:ACW786441 AMS786439:AMS786441 AWO786439:AWO786441 BGK786439:BGK786441 BQG786439:BQG786441 CAC786439:CAC786441 CJY786439:CJY786441 CTU786439:CTU786441 DDQ786439:DDQ786441 DNM786439:DNM786441 DXI786439:DXI786441 EHE786439:EHE786441 ERA786439:ERA786441 FAW786439:FAW786441 FKS786439:FKS786441 FUO786439:FUO786441 GEK786439:GEK786441 GOG786439:GOG786441 GYC786439:GYC786441 HHY786439:HHY786441 HRU786439:HRU786441 IBQ786439:IBQ786441 ILM786439:ILM786441 IVI786439:IVI786441 JFE786439:JFE786441 JPA786439:JPA786441 JYW786439:JYW786441 KIS786439:KIS786441 KSO786439:KSO786441 LCK786439:LCK786441 LMG786439:LMG786441 LWC786439:LWC786441 MFY786439:MFY786441 MPU786439:MPU786441 MZQ786439:MZQ786441 NJM786439:NJM786441 NTI786439:NTI786441 ODE786439:ODE786441 ONA786439:ONA786441 OWW786439:OWW786441 PGS786439:PGS786441 PQO786439:PQO786441 QAK786439:QAK786441 QKG786439:QKG786441 QUC786439:QUC786441 RDY786439:RDY786441 RNU786439:RNU786441 RXQ786439:RXQ786441 SHM786439:SHM786441 SRI786439:SRI786441 TBE786439:TBE786441 TLA786439:TLA786441 TUW786439:TUW786441 UES786439:UES786441 UOO786439:UOO786441 UYK786439:UYK786441 VIG786439:VIG786441 VSC786439:VSC786441 WBY786439:WBY786441 WLU786439:WLU786441 WVQ786439:WVQ786441 I851975:I851977 JE851975:JE851977 TA851975:TA851977 ACW851975:ACW851977 AMS851975:AMS851977 AWO851975:AWO851977 BGK851975:BGK851977 BQG851975:BQG851977 CAC851975:CAC851977 CJY851975:CJY851977 CTU851975:CTU851977 DDQ851975:DDQ851977 DNM851975:DNM851977 DXI851975:DXI851977 EHE851975:EHE851977 ERA851975:ERA851977 FAW851975:FAW851977 FKS851975:FKS851977 FUO851975:FUO851977 GEK851975:GEK851977 GOG851975:GOG851977 GYC851975:GYC851977 HHY851975:HHY851977 HRU851975:HRU851977 IBQ851975:IBQ851977 ILM851975:ILM851977 IVI851975:IVI851977 JFE851975:JFE851977 JPA851975:JPA851977 JYW851975:JYW851977 KIS851975:KIS851977 KSO851975:KSO851977 LCK851975:LCK851977 LMG851975:LMG851977 LWC851975:LWC851977 MFY851975:MFY851977 MPU851975:MPU851977 MZQ851975:MZQ851977 NJM851975:NJM851977 NTI851975:NTI851977 ODE851975:ODE851977 ONA851975:ONA851977 OWW851975:OWW851977 PGS851975:PGS851977 PQO851975:PQO851977 QAK851975:QAK851977 QKG851975:QKG851977 QUC851975:QUC851977 RDY851975:RDY851977 RNU851975:RNU851977 RXQ851975:RXQ851977 SHM851975:SHM851977 SRI851975:SRI851977 TBE851975:TBE851977 TLA851975:TLA851977 TUW851975:TUW851977 UES851975:UES851977 UOO851975:UOO851977 UYK851975:UYK851977 VIG851975:VIG851977 VSC851975:VSC851977 WBY851975:WBY851977 WLU851975:WLU851977 WVQ851975:WVQ851977 I917511:I917513 JE917511:JE917513 TA917511:TA917513 ACW917511:ACW917513 AMS917511:AMS917513 AWO917511:AWO917513 BGK917511:BGK917513 BQG917511:BQG917513 CAC917511:CAC917513 CJY917511:CJY917513 CTU917511:CTU917513 DDQ917511:DDQ917513 DNM917511:DNM917513 DXI917511:DXI917513 EHE917511:EHE917513 ERA917511:ERA917513 FAW917511:FAW917513 FKS917511:FKS917513 FUO917511:FUO917513 GEK917511:GEK917513 GOG917511:GOG917513 GYC917511:GYC917513 HHY917511:HHY917513 HRU917511:HRU917513 IBQ917511:IBQ917513 ILM917511:ILM917513 IVI917511:IVI917513 JFE917511:JFE917513 JPA917511:JPA917513 JYW917511:JYW917513 KIS917511:KIS917513 KSO917511:KSO917513 LCK917511:LCK917513 LMG917511:LMG917513 LWC917511:LWC917513 MFY917511:MFY917513 MPU917511:MPU917513 MZQ917511:MZQ917513 NJM917511:NJM917513 NTI917511:NTI917513 ODE917511:ODE917513 ONA917511:ONA917513 OWW917511:OWW917513 PGS917511:PGS917513 PQO917511:PQO917513 QAK917511:QAK917513 QKG917511:QKG917513 QUC917511:QUC917513 RDY917511:RDY917513 RNU917511:RNU917513 RXQ917511:RXQ917513 SHM917511:SHM917513 SRI917511:SRI917513 TBE917511:TBE917513 TLA917511:TLA917513 TUW917511:TUW917513 UES917511:UES917513 UOO917511:UOO917513 UYK917511:UYK917513 VIG917511:VIG917513 VSC917511:VSC917513 WBY917511:WBY917513 WLU917511:WLU917513 WVQ917511:WVQ917513 I983047:I983049 JE983047:JE983049 TA983047:TA983049 ACW983047:ACW983049 AMS983047:AMS983049 AWO983047:AWO983049 BGK983047:BGK983049 BQG983047:BQG983049 CAC983047:CAC983049 CJY983047:CJY983049 CTU983047:CTU983049 DDQ983047:DDQ983049 DNM983047:DNM983049 DXI983047:DXI983049 EHE983047:EHE983049 ERA983047:ERA983049 FAW983047:FAW983049 FKS983047:FKS983049 FUO983047:FUO983049 GEK983047:GEK983049 GOG983047:GOG983049 GYC983047:GYC983049 HHY983047:HHY983049 HRU983047:HRU983049 IBQ983047:IBQ983049 ILM983047:ILM983049 IVI983047:IVI983049 JFE983047:JFE983049 JPA983047:JPA983049 JYW983047:JYW983049 KIS983047:KIS983049 KSO983047:KSO983049 LCK983047:LCK983049 LMG983047:LMG983049 LWC983047:LWC983049 MFY983047:MFY983049 MPU983047:MPU983049 MZQ983047:MZQ983049 NJM983047:NJM983049 NTI983047:NTI983049 ODE983047:ODE983049 ONA983047:ONA983049 OWW983047:OWW983049 PGS983047:PGS983049 PQO983047:PQO983049 QAK983047:QAK983049 QKG983047:QKG983049 QUC983047:QUC983049 RDY983047:RDY983049 RNU983047:RNU983049 RXQ983047:RXQ983049 SHM983047:SHM983049 SRI983047:SRI983049 TBE983047:TBE983049 TLA983047:TLA983049 TUW983047:TUW983049 UES983047:UES983049 UOO983047:UOO983049 UYK983047:UYK983049 VIG983047:VIG983049 VSC983047:VSC983049 WBY983047:WBY983049 WLU983047:WLU983049 WVQ983047:WVQ983049 N7 JJ7 TF7 ADB7 AMX7 AWT7 BGP7 BQL7 CAH7 CKD7 CTZ7 DDV7 DNR7 DXN7 EHJ7 ERF7 FBB7 FKX7 FUT7 GEP7 GOL7 GYH7 HID7 HRZ7 IBV7 ILR7 IVN7 JFJ7 JPF7 JZB7 KIX7 KST7 LCP7 LML7 LWH7 MGD7 MPZ7 MZV7 NJR7 NTN7 ODJ7 ONF7 OXB7 PGX7 PQT7 QAP7 QKL7 QUH7 RED7 RNZ7 RXV7 SHR7 SRN7 TBJ7 TLF7 TVB7 UEX7 UOT7 UYP7 VIL7 VSH7 WCD7 WLZ7 WVV7 N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N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N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N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N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N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N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N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N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N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N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N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N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N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N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xr:uid="{3D085763-E5D1-422D-9FAC-F4C6059DA453}">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33CC"/>
  </sheetPr>
  <dimension ref="A1:AK152"/>
  <sheetViews>
    <sheetView view="pageBreakPreview" zoomScaleNormal="100" zoomScaleSheetLayoutView="100" workbookViewId="0">
      <selection sqref="A1:AG1"/>
    </sheetView>
  </sheetViews>
  <sheetFormatPr defaultColWidth="9" defaultRowHeight="18.600000000000001"/>
  <cols>
    <col min="1" max="34" width="3.77734375" style="434" customWidth="1"/>
    <col min="35" max="35" width="41.77734375" style="434" bestFit="1" customWidth="1"/>
    <col min="36" max="36" width="13.21875" style="434" customWidth="1"/>
    <col min="37" max="37" width="14.77734375" style="434" customWidth="1"/>
    <col min="38" max="16384" width="9" style="434"/>
  </cols>
  <sheetData>
    <row r="1" spans="1:37" ht="22.8">
      <c r="A1" s="2153" t="s">
        <v>853</v>
      </c>
      <c r="B1" s="2153"/>
      <c r="C1" s="2153"/>
      <c r="D1" s="2153"/>
      <c r="E1" s="2153"/>
      <c r="F1" s="2153"/>
      <c r="G1" s="2153"/>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row>
    <row r="2" spans="1:37" ht="22.2" customHeight="1">
      <c r="AI2" s="434" t="s">
        <v>854</v>
      </c>
      <c r="AJ2" s="435" t="str">
        <f>IF(G11="","",VLOOKUP(G11,AI3:AJ7,2,FALSE))</f>
        <v/>
      </c>
    </row>
    <row r="3" spans="1:37" ht="26.25" customHeight="1">
      <c r="B3" s="2154" t="s">
        <v>855</v>
      </c>
      <c r="C3" s="2155"/>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6"/>
      <c r="AI3" s="434" t="s">
        <v>856</v>
      </c>
      <c r="AJ3" s="436">
        <v>1</v>
      </c>
    </row>
    <row r="4" spans="1:37" ht="26.25" customHeight="1">
      <c r="B4" s="2157"/>
      <c r="C4" s="2158"/>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9"/>
      <c r="AI4" s="434" t="s">
        <v>857</v>
      </c>
      <c r="AJ4" s="436">
        <v>2</v>
      </c>
    </row>
    <row r="5" spans="1:37" ht="26.25" customHeight="1">
      <c r="B5" s="2160"/>
      <c r="C5" s="2158"/>
      <c r="D5" s="2158"/>
      <c r="E5" s="2158"/>
      <c r="F5" s="2158"/>
      <c r="G5" s="2158"/>
      <c r="H5" s="2158"/>
      <c r="I5" s="2158"/>
      <c r="J5" s="2158"/>
      <c r="K5" s="2158"/>
      <c r="L5" s="2158"/>
      <c r="M5" s="2158"/>
      <c r="N5" s="2158"/>
      <c r="O5" s="2158"/>
      <c r="P5" s="2158"/>
      <c r="Q5" s="2158"/>
      <c r="R5" s="2158"/>
      <c r="S5" s="2158"/>
      <c r="T5" s="2158"/>
      <c r="U5" s="2158"/>
      <c r="V5" s="2158"/>
      <c r="W5" s="2158"/>
      <c r="X5" s="2158"/>
      <c r="Y5" s="2158"/>
      <c r="Z5" s="2158"/>
      <c r="AA5" s="2158"/>
      <c r="AB5" s="2158"/>
      <c r="AC5" s="2158"/>
      <c r="AD5" s="2158"/>
      <c r="AE5" s="2158"/>
      <c r="AF5" s="2159"/>
      <c r="AI5" s="434" t="s">
        <v>858</v>
      </c>
      <c r="AJ5" s="436">
        <v>3</v>
      </c>
    </row>
    <row r="6" spans="1:37" ht="26.25" customHeight="1">
      <c r="B6" s="2161"/>
      <c r="C6" s="2162"/>
      <c r="D6" s="2162"/>
      <c r="E6" s="2162"/>
      <c r="F6" s="2162"/>
      <c r="G6" s="2162"/>
      <c r="H6" s="2162"/>
      <c r="I6" s="2162"/>
      <c r="J6" s="2162"/>
      <c r="K6" s="2162"/>
      <c r="L6" s="2162"/>
      <c r="M6" s="2162"/>
      <c r="N6" s="2162"/>
      <c r="O6" s="2162"/>
      <c r="P6" s="2162"/>
      <c r="Q6" s="2162"/>
      <c r="R6" s="2162"/>
      <c r="S6" s="2162"/>
      <c r="T6" s="2162"/>
      <c r="U6" s="2162"/>
      <c r="V6" s="2162"/>
      <c r="W6" s="2162"/>
      <c r="X6" s="2162"/>
      <c r="Y6" s="2162"/>
      <c r="Z6" s="2162"/>
      <c r="AA6" s="2162"/>
      <c r="AB6" s="2162"/>
      <c r="AC6" s="2162"/>
      <c r="AD6" s="2162"/>
      <c r="AE6" s="2162"/>
      <c r="AF6" s="2163"/>
      <c r="AI6" s="434" t="s">
        <v>859</v>
      </c>
      <c r="AJ6" s="436">
        <v>4</v>
      </c>
    </row>
    <row r="7" spans="1:37" ht="22.2" customHeight="1">
      <c r="AI7" s="434" t="s">
        <v>860</v>
      </c>
      <c r="AJ7" s="436">
        <v>5</v>
      </c>
    </row>
    <row r="8" spans="1:37" ht="22.2" customHeight="1">
      <c r="B8" s="437" t="s">
        <v>861</v>
      </c>
      <c r="AI8" s="438" t="s">
        <v>862</v>
      </c>
      <c r="AJ8" s="439" t="str">
        <f>IF(AND(COUNTIF(V11,"*")=1,OR(AJ2=1,AJ2=2,)),VLOOKUP(V11,AI9:AJ11,2,FALSE),"")</f>
        <v/>
      </c>
    </row>
    <row r="9" spans="1:37" ht="22.2" customHeight="1">
      <c r="B9" s="2107" t="s">
        <v>863</v>
      </c>
      <c r="C9" s="2107"/>
      <c r="D9" s="2107"/>
      <c r="E9" s="2107"/>
      <c r="F9" s="2107"/>
      <c r="G9" s="2096"/>
      <c r="H9" s="2096"/>
      <c r="I9" s="2096"/>
      <c r="J9" s="2096"/>
      <c r="K9" s="2107" t="s">
        <v>864</v>
      </c>
      <c r="L9" s="2107"/>
      <c r="M9" s="2107"/>
      <c r="N9" s="2107"/>
      <c r="O9" s="2164"/>
      <c r="P9" s="2164"/>
      <c r="Q9" s="2164"/>
      <c r="R9" s="2164"/>
      <c r="S9" s="2164"/>
      <c r="T9" s="2164"/>
      <c r="U9" s="2164"/>
      <c r="V9" s="2164"/>
      <c r="W9" s="2164"/>
      <c r="X9" s="2164"/>
      <c r="Y9" s="2165"/>
      <c r="Z9" s="2165"/>
      <c r="AA9" s="2165"/>
      <c r="AB9" s="2165"/>
      <c r="AI9" s="438" t="s">
        <v>865</v>
      </c>
      <c r="AJ9" s="436">
        <v>6</v>
      </c>
    </row>
    <row r="10" spans="1:37" ht="22.2" customHeight="1">
      <c r="B10" s="2146" t="s">
        <v>866</v>
      </c>
      <c r="C10" s="2147"/>
      <c r="D10" s="2147"/>
      <c r="E10" s="2147"/>
      <c r="F10" s="2148"/>
      <c r="G10" s="2151"/>
      <c r="H10" s="2150"/>
      <c r="I10" s="2150"/>
      <c r="J10" s="2152"/>
      <c r="K10" s="2146" t="s">
        <v>867</v>
      </c>
      <c r="L10" s="2147"/>
      <c r="M10" s="2147"/>
      <c r="N10" s="2148"/>
      <c r="O10" s="2151"/>
      <c r="P10" s="2150"/>
      <c r="Q10" s="2150"/>
      <c r="R10" s="2150"/>
      <c r="S10" s="2150"/>
      <c r="T10" s="2152"/>
      <c r="U10" s="2146" t="s">
        <v>868</v>
      </c>
      <c r="V10" s="2147"/>
      <c r="W10" s="2147"/>
      <c r="X10" s="2148"/>
      <c r="Y10" s="2151"/>
      <c r="Z10" s="2150"/>
      <c r="AA10" s="2150"/>
      <c r="AB10" s="2150"/>
      <c r="AC10" s="2150"/>
      <c r="AD10" s="2150"/>
      <c r="AE10" s="2150"/>
      <c r="AF10" s="2152"/>
      <c r="AI10" s="438" t="s">
        <v>869</v>
      </c>
      <c r="AJ10" s="436">
        <v>7</v>
      </c>
    </row>
    <row r="11" spans="1:37" ht="22.2" customHeight="1">
      <c r="B11" s="2107" t="s">
        <v>870</v>
      </c>
      <c r="C11" s="2107"/>
      <c r="D11" s="2107"/>
      <c r="E11" s="2107"/>
      <c r="F11" s="2107"/>
      <c r="G11" s="2143"/>
      <c r="H11" s="2144"/>
      <c r="I11" s="2144"/>
      <c r="J11" s="2144"/>
      <c r="K11" s="2144"/>
      <c r="L11" s="2144"/>
      <c r="M11" s="2144"/>
      <c r="N11" s="2144"/>
      <c r="O11" s="2144"/>
      <c r="P11" s="2144"/>
      <c r="Q11" s="2145"/>
      <c r="R11" s="2146" t="s">
        <v>871</v>
      </c>
      <c r="S11" s="2147"/>
      <c r="T11" s="2147"/>
      <c r="U11" s="2148"/>
      <c r="V11" s="2143"/>
      <c r="W11" s="2144"/>
      <c r="X11" s="2144"/>
      <c r="Y11" s="2144"/>
      <c r="Z11" s="2144"/>
      <c r="AA11" s="2144"/>
      <c r="AB11" s="2145"/>
      <c r="AI11" s="438" t="s">
        <v>872</v>
      </c>
      <c r="AJ11" s="436">
        <v>8</v>
      </c>
    </row>
    <row r="12" spans="1:37" ht="17.25" customHeight="1">
      <c r="B12" s="2149" t="s">
        <v>873</v>
      </c>
      <c r="C12" s="2149"/>
      <c r="D12" s="2149"/>
      <c r="E12" s="2149"/>
      <c r="F12" s="2149"/>
      <c r="G12" s="2149"/>
      <c r="H12" s="2149"/>
      <c r="I12" s="2149"/>
      <c r="J12" s="2149"/>
      <c r="K12" s="2149"/>
      <c r="L12" s="2149"/>
      <c r="M12" s="2149"/>
      <c r="N12" s="2149"/>
      <c r="O12" s="2149"/>
      <c r="P12" s="2149"/>
      <c r="Q12" s="2149"/>
      <c r="R12" s="2149"/>
      <c r="S12" s="2149"/>
      <c r="T12" s="2149"/>
      <c r="U12" s="2149"/>
      <c r="V12" s="2149"/>
      <c r="W12" s="2149"/>
      <c r="X12" s="2149"/>
      <c r="Y12" s="2149"/>
      <c r="Z12" s="2149"/>
      <c r="AA12" s="2149"/>
      <c r="AB12" s="2149"/>
      <c r="AC12" s="2149"/>
      <c r="AD12" s="2149"/>
      <c r="AE12" s="2149"/>
      <c r="AF12" s="2149"/>
      <c r="AJ12" s="436"/>
    </row>
    <row r="13" spans="1:37" ht="17.25" customHeight="1">
      <c r="B13" s="2149"/>
      <c r="C13" s="2149"/>
      <c r="D13" s="2149"/>
      <c r="E13" s="2149"/>
      <c r="F13" s="2149"/>
      <c r="G13" s="2149"/>
      <c r="H13" s="2149"/>
      <c r="I13" s="2149"/>
      <c r="J13" s="2149"/>
      <c r="K13" s="2149"/>
      <c r="L13" s="2149"/>
      <c r="M13" s="2149"/>
      <c r="N13" s="2149"/>
      <c r="O13" s="2149"/>
      <c r="P13" s="2149"/>
      <c r="Q13" s="2149"/>
      <c r="R13" s="2149"/>
      <c r="S13" s="2149"/>
      <c r="T13" s="2149"/>
      <c r="U13" s="2149"/>
      <c r="V13" s="2149"/>
      <c r="W13" s="2149"/>
      <c r="X13" s="2149"/>
      <c r="Y13" s="2149"/>
      <c r="Z13" s="2149"/>
      <c r="AA13" s="2149"/>
      <c r="AB13" s="2149"/>
      <c r="AC13" s="2149"/>
      <c r="AD13" s="2149"/>
      <c r="AE13" s="2149"/>
      <c r="AF13" s="2149"/>
      <c r="AI13" s="438"/>
    </row>
    <row r="14" spans="1:37" ht="18" customHeight="1">
      <c r="AI14" s="438"/>
    </row>
    <row r="15" spans="1:37" ht="22.2" customHeight="1">
      <c r="B15" s="437" t="s">
        <v>874</v>
      </c>
      <c r="AI15" s="438" t="s">
        <v>875</v>
      </c>
    </row>
    <row r="16" spans="1:37" ht="22.2" customHeight="1">
      <c r="B16" s="2092" t="s">
        <v>876</v>
      </c>
      <c r="C16" s="2093"/>
      <c r="D16" s="2093"/>
      <c r="E16" s="2093"/>
      <c r="F16" s="2093"/>
      <c r="G16" s="2093"/>
      <c r="H16" s="2093"/>
      <c r="I16" s="2093"/>
      <c r="J16" s="2093"/>
      <c r="K16" s="2094"/>
      <c r="L16" s="2146" t="s">
        <v>877</v>
      </c>
      <c r="M16" s="2147"/>
      <c r="N16" s="2150"/>
      <c r="O16" s="2150"/>
      <c r="P16" s="440" t="s">
        <v>878</v>
      </c>
      <c r="Q16" s="2150"/>
      <c r="R16" s="2150"/>
      <c r="S16" s="441" t="s">
        <v>879</v>
      </c>
      <c r="T16"/>
      <c r="U16"/>
      <c r="AD16"/>
      <c r="AE16"/>
      <c r="AI16" s="442" t="str">
        <f>L16&amp;N16&amp;P16&amp;Q16&amp;S16&amp;"１日"</f>
        <v>令和年月１日</v>
      </c>
      <c r="AJ16" s="443"/>
      <c r="AK16" s="443"/>
    </row>
    <row r="17" spans="2:37" ht="22.2" customHeight="1">
      <c r="B17" s="2092" t="s">
        <v>880</v>
      </c>
      <c r="C17" s="2093"/>
      <c r="D17" s="2093"/>
      <c r="E17" s="2093"/>
      <c r="F17" s="2093"/>
      <c r="G17" s="2093"/>
      <c r="H17" s="2093"/>
      <c r="I17" s="2093"/>
      <c r="J17" s="2093"/>
      <c r="K17" s="2093"/>
      <c r="L17" s="2093"/>
      <c r="M17" s="2093"/>
      <c r="N17" s="2093"/>
      <c r="O17" s="2094"/>
      <c r="P17" s="2133"/>
      <c r="Q17" s="2134"/>
      <c r="R17" s="2134"/>
      <c r="S17" s="444" t="s">
        <v>881</v>
      </c>
      <c r="AI17" s="438" t="s">
        <v>882</v>
      </c>
      <c r="AJ17" s="445" t="s">
        <v>883</v>
      </c>
    </row>
    <row r="18" spans="2:37" ht="22.2" customHeight="1">
      <c r="B18" s="2135" t="s">
        <v>852</v>
      </c>
      <c r="C18" s="2135"/>
      <c r="D18" s="2135"/>
      <c r="E18" s="2135"/>
      <c r="F18" s="2135"/>
      <c r="G18" s="2135"/>
      <c r="H18" s="2135"/>
      <c r="I18" s="2135"/>
      <c r="J18" s="2135"/>
      <c r="K18" s="2135"/>
      <c r="L18" s="2135"/>
      <c r="M18" s="2135"/>
      <c r="N18" s="2135"/>
      <c r="O18" s="2135"/>
      <c r="P18" s="2135"/>
      <c r="Q18" s="2135"/>
      <c r="R18" s="2135"/>
      <c r="S18" s="2135"/>
      <c r="T18" s="2135"/>
      <c r="U18" s="2135"/>
      <c r="V18" s="2135"/>
      <c r="W18" s="2135"/>
      <c r="X18" s="2135"/>
      <c r="Y18" s="2135"/>
      <c r="Z18" s="2136"/>
      <c r="AA18" s="2137"/>
      <c r="AB18" s="2137"/>
      <c r="AC18" s="446" t="s">
        <v>881</v>
      </c>
      <c r="AI18" s="447" t="e">
        <f>(Z18-P17)/Z18</f>
        <v>#DIV/0!</v>
      </c>
      <c r="AJ18" s="448" t="e">
        <f>AI18</f>
        <v>#DIV/0!</v>
      </c>
    </row>
    <row r="19" spans="2:37" ht="22.2" customHeight="1">
      <c r="B19" s="2138" t="s">
        <v>884</v>
      </c>
      <c r="C19" s="2139"/>
      <c r="D19" s="2139"/>
      <c r="E19" s="2139"/>
      <c r="F19" s="2139"/>
      <c r="G19" s="2139"/>
      <c r="H19" s="2140" t="str">
        <f>IF(P17="","",IF(AND(H20="否",ROUND(AI18,4)&gt;=0.05),"可","否"))</f>
        <v/>
      </c>
      <c r="I19" s="2141"/>
      <c r="J19" s="2142"/>
      <c r="N19" s="449"/>
      <c r="O19" s="449"/>
      <c r="P19" s="449"/>
      <c r="Q19" s="449"/>
      <c r="R19" s="449"/>
      <c r="S19" s="449"/>
      <c r="T19" s="449"/>
      <c r="U19" s="449"/>
      <c r="V19" s="449"/>
      <c r="W19" s="449"/>
      <c r="X19" s="449"/>
      <c r="Y19" s="449"/>
      <c r="Z19" s="449"/>
      <c r="AA19" s="449"/>
      <c r="AB19" s="449"/>
      <c r="AC19" s="449"/>
      <c r="AD19" s="449"/>
      <c r="AE19" s="449"/>
      <c r="AF19" s="449"/>
      <c r="AI19" s="450" t="s">
        <v>885</v>
      </c>
      <c r="AJ19" s="451" t="s">
        <v>886</v>
      </c>
    </row>
    <row r="20" spans="2:37" ht="22.2" customHeight="1">
      <c r="B20" s="2092" t="s">
        <v>887</v>
      </c>
      <c r="C20" s="2093"/>
      <c r="D20" s="2093"/>
      <c r="E20" s="2093"/>
      <c r="F20" s="2093"/>
      <c r="G20" s="2093"/>
      <c r="H20" s="2130" t="str">
        <f>IF(N16="","",IF(AND(AI20="可",AJ20="可"),"可","否"))</f>
        <v/>
      </c>
      <c r="I20" s="2131"/>
      <c r="J20" s="2132"/>
      <c r="N20" s="449"/>
      <c r="O20" s="449"/>
      <c r="P20" s="449"/>
      <c r="Q20" s="449"/>
      <c r="R20" s="449"/>
      <c r="S20" s="449"/>
      <c r="T20" s="449"/>
      <c r="U20" s="449"/>
      <c r="V20" s="449"/>
      <c r="W20" s="449"/>
      <c r="X20" s="449"/>
      <c r="Y20" s="449"/>
      <c r="Z20" s="449"/>
      <c r="AE20" s="449"/>
      <c r="AF20" s="449"/>
      <c r="AI20" s="450" t="str">
        <f>IF(P17="","",IF(OR(AND(AJ8=7,P17&lt;=750),(AND(AJ8=8,P17&lt;=900))),"可","否"))</f>
        <v/>
      </c>
      <c r="AJ20" s="452" t="str">
        <f>IF(AND(N16=3,OR(Q16=2,Q16=3)),"否","可")</f>
        <v>可</v>
      </c>
      <c r="AK20"/>
    </row>
    <row r="21" spans="2:37" ht="20.25" customHeight="1">
      <c r="B21" s="2090" t="s">
        <v>888</v>
      </c>
      <c r="C21" s="2091"/>
      <c r="D21" s="2091"/>
      <c r="E21" s="2091"/>
      <c r="F21" s="2091"/>
      <c r="G21" s="2091"/>
      <c r="H21" s="2091"/>
      <c r="I21" s="2091"/>
      <c r="J21" s="2091"/>
      <c r="K21" s="2091"/>
      <c r="L21" s="2091"/>
      <c r="M21" s="2091"/>
      <c r="N21" s="2091"/>
      <c r="O21" s="2091"/>
      <c r="P21" s="2091"/>
      <c r="Q21" s="2091"/>
      <c r="R21" s="2091"/>
      <c r="S21" s="2091"/>
      <c r="T21" s="2091"/>
      <c r="U21" s="2091"/>
      <c r="V21" s="2091"/>
      <c r="W21" s="2091"/>
      <c r="X21" s="2091"/>
      <c r="Y21" s="2091"/>
      <c r="Z21" s="2091"/>
      <c r="AA21" s="2091"/>
      <c r="AB21" s="2091"/>
      <c r="AC21" s="2091"/>
      <c r="AD21" s="2091"/>
      <c r="AE21" s="2091"/>
      <c r="AF21" s="2091"/>
    </row>
    <row r="22" spans="2:37" ht="20.25" customHeight="1">
      <c r="B22" s="2090"/>
      <c r="C22" s="2091"/>
      <c r="D22" s="2091"/>
      <c r="E22" s="2091"/>
      <c r="F22" s="2091"/>
      <c r="G22" s="2091"/>
      <c r="H22" s="2091"/>
      <c r="I22" s="2091"/>
      <c r="J22" s="2091"/>
      <c r="K22" s="2091"/>
      <c r="L22" s="2091"/>
      <c r="M22" s="2091"/>
      <c r="N22" s="2091"/>
      <c r="O22" s="2091"/>
      <c r="P22" s="2091"/>
      <c r="Q22" s="2091"/>
      <c r="R22" s="2091"/>
      <c r="S22" s="2091"/>
      <c r="T22" s="2091"/>
      <c r="U22" s="2091"/>
      <c r="V22" s="2091"/>
      <c r="W22" s="2091"/>
      <c r="X22" s="2091"/>
      <c r="Y22" s="2091"/>
      <c r="Z22" s="2091"/>
      <c r="AA22" s="2091"/>
      <c r="AB22" s="2091"/>
      <c r="AC22" s="2091"/>
      <c r="AD22" s="2091"/>
      <c r="AE22" s="2091"/>
      <c r="AF22" s="2091"/>
    </row>
    <row r="23" spans="2:37" ht="20.25" customHeight="1">
      <c r="B23" s="2090"/>
      <c r="C23" s="2091"/>
      <c r="D23" s="2091"/>
      <c r="E23" s="2091"/>
      <c r="F23" s="2091"/>
      <c r="G23" s="2091"/>
      <c r="H23" s="2091"/>
      <c r="I23" s="2091"/>
      <c r="J23" s="2091"/>
      <c r="K23" s="2091"/>
      <c r="L23" s="2091"/>
      <c r="M23" s="2091"/>
      <c r="N23" s="2091"/>
      <c r="O23" s="2091"/>
      <c r="P23" s="2091"/>
      <c r="Q23" s="2091"/>
      <c r="R23" s="2091"/>
      <c r="S23" s="2091"/>
      <c r="T23" s="2091"/>
      <c r="U23" s="2091"/>
      <c r="V23" s="2091"/>
      <c r="W23" s="2091"/>
      <c r="X23" s="2091"/>
      <c r="Y23" s="2091"/>
      <c r="Z23" s="2091"/>
      <c r="AA23" s="2091"/>
      <c r="AB23" s="2091"/>
      <c r="AC23" s="2091"/>
      <c r="AD23" s="2091"/>
      <c r="AE23" s="2091"/>
      <c r="AF23" s="2091"/>
    </row>
    <row r="24" spans="2:37" ht="20.25" customHeight="1">
      <c r="B24" s="2090"/>
      <c r="C24" s="2091"/>
      <c r="D24" s="2091"/>
      <c r="E24" s="2091"/>
      <c r="F24" s="2091"/>
      <c r="G24" s="2091"/>
      <c r="H24" s="2091"/>
      <c r="I24" s="2091"/>
      <c r="J24" s="2091"/>
      <c r="K24" s="2091"/>
      <c r="L24" s="2091"/>
      <c r="M24" s="2091"/>
      <c r="N24" s="2091"/>
      <c r="O24" s="2091"/>
      <c r="P24" s="2091"/>
      <c r="Q24" s="2091"/>
      <c r="R24" s="2091"/>
      <c r="S24" s="2091"/>
      <c r="T24" s="2091"/>
      <c r="U24" s="2091"/>
      <c r="V24" s="2091"/>
      <c r="W24" s="2091"/>
      <c r="X24" s="2091"/>
      <c r="Y24" s="2091"/>
      <c r="Z24" s="2091"/>
      <c r="AA24" s="2091"/>
      <c r="AB24" s="2091"/>
      <c r="AC24" s="2091"/>
      <c r="AD24" s="2091"/>
      <c r="AE24" s="2091"/>
      <c r="AF24" s="2091"/>
    </row>
    <row r="25" spans="2:37" ht="20.25" customHeight="1">
      <c r="B25" s="2090"/>
      <c r="C25" s="2091"/>
      <c r="D25" s="2091"/>
      <c r="E25" s="2091"/>
      <c r="F25" s="2091"/>
      <c r="G25" s="2091"/>
      <c r="H25" s="2091"/>
      <c r="I25" s="2091"/>
      <c r="J25" s="2091"/>
      <c r="K25" s="2091"/>
      <c r="L25" s="2091"/>
      <c r="M25" s="2091"/>
      <c r="N25" s="2091"/>
      <c r="O25" s="2091"/>
      <c r="P25" s="2091"/>
      <c r="Q25" s="2091"/>
      <c r="R25" s="2091"/>
      <c r="S25" s="2091"/>
      <c r="T25" s="2091"/>
      <c r="U25" s="2091"/>
      <c r="V25" s="2091"/>
      <c r="W25" s="2091"/>
      <c r="X25" s="2091"/>
      <c r="Y25" s="2091"/>
      <c r="Z25" s="2091"/>
      <c r="AA25" s="2091"/>
      <c r="AB25" s="2091"/>
      <c r="AC25" s="2091"/>
      <c r="AD25" s="2091"/>
      <c r="AE25" s="2091"/>
      <c r="AF25" s="2091"/>
    </row>
    <row r="26" spans="2:37" ht="20.25" customHeight="1">
      <c r="B26" s="2090"/>
      <c r="C26" s="2091"/>
      <c r="D26" s="2091"/>
      <c r="E26" s="2091"/>
      <c r="F26" s="2091"/>
      <c r="G26" s="2091"/>
      <c r="H26" s="2091"/>
      <c r="I26" s="2091"/>
      <c r="J26" s="2091"/>
      <c r="K26" s="2091"/>
      <c r="L26" s="2091"/>
      <c r="M26" s="2091"/>
      <c r="N26" s="2091"/>
      <c r="O26" s="2091"/>
      <c r="P26" s="2091"/>
      <c r="Q26" s="2091"/>
      <c r="R26" s="2091"/>
      <c r="S26" s="2091"/>
      <c r="T26" s="2091"/>
      <c r="U26" s="2091"/>
      <c r="V26" s="2091"/>
      <c r="W26" s="2091"/>
      <c r="X26" s="2091"/>
      <c r="Y26" s="2091"/>
      <c r="Z26" s="2091"/>
      <c r="AA26" s="2091"/>
      <c r="AB26" s="2091"/>
      <c r="AC26" s="2091"/>
      <c r="AD26" s="2091"/>
      <c r="AE26" s="2091"/>
      <c r="AF26" s="2091"/>
    </row>
    <row r="27" spans="2:37" ht="20.25" customHeight="1">
      <c r="B27" s="2090"/>
      <c r="C27" s="2091"/>
      <c r="D27" s="2091"/>
      <c r="E27" s="2091"/>
      <c r="F27" s="2091"/>
      <c r="G27" s="2091"/>
      <c r="H27" s="2091"/>
      <c r="I27" s="2091"/>
      <c r="J27" s="2091"/>
      <c r="K27" s="2091"/>
      <c r="L27" s="2091"/>
      <c r="M27" s="2091"/>
      <c r="N27" s="2091"/>
      <c r="O27" s="2091"/>
      <c r="P27" s="2091"/>
      <c r="Q27" s="2091"/>
      <c r="R27" s="2091"/>
      <c r="S27" s="2091"/>
      <c r="T27" s="2091"/>
      <c r="U27" s="2091"/>
      <c r="V27" s="2091"/>
      <c r="W27" s="2091"/>
      <c r="X27" s="2091"/>
      <c r="Y27" s="2091"/>
      <c r="Z27" s="2091"/>
      <c r="AA27" s="2091"/>
      <c r="AB27" s="2091"/>
      <c r="AC27" s="2091"/>
      <c r="AD27" s="2091"/>
      <c r="AE27" s="2091"/>
      <c r="AF27" s="2091"/>
    </row>
    <row r="28" spans="2:37" ht="20.25" customHeight="1">
      <c r="B28" s="2091"/>
      <c r="C28" s="2091"/>
      <c r="D28" s="2091"/>
      <c r="E28" s="2091"/>
      <c r="F28" s="2091"/>
      <c r="G28" s="2091"/>
      <c r="H28" s="2091"/>
      <c r="I28" s="2091"/>
      <c r="J28" s="2091"/>
      <c r="K28" s="2091"/>
      <c r="L28" s="2091"/>
      <c r="M28" s="2091"/>
      <c r="N28" s="2091"/>
      <c r="O28" s="2091"/>
      <c r="P28" s="2091"/>
      <c r="Q28" s="2091"/>
      <c r="R28" s="2091"/>
      <c r="S28" s="2091"/>
      <c r="T28" s="2091"/>
      <c r="U28" s="2091"/>
      <c r="V28" s="2091"/>
      <c r="W28" s="2091"/>
      <c r="X28" s="2091"/>
      <c r="Y28" s="2091"/>
      <c r="Z28" s="2091"/>
      <c r="AA28" s="2091"/>
      <c r="AB28" s="2091"/>
      <c r="AC28" s="2091"/>
      <c r="AD28" s="2091"/>
      <c r="AE28" s="2091"/>
      <c r="AF28" s="2091"/>
    </row>
    <row r="29" spans="2:37" ht="18" customHeight="1"/>
    <row r="30" spans="2:37" ht="22.2" customHeight="1">
      <c r="B30" s="2112" t="s">
        <v>889</v>
      </c>
      <c r="C30" s="2113"/>
      <c r="D30" s="2113"/>
      <c r="E30" s="2113"/>
      <c r="F30" s="2113"/>
      <c r="G30" s="2113"/>
      <c r="H30" s="2113"/>
      <c r="I30" s="2114"/>
      <c r="K30" s="453" t="s">
        <v>890</v>
      </c>
    </row>
    <row r="31" spans="2:37" ht="22.2" customHeight="1">
      <c r="B31" s="437" t="s">
        <v>891</v>
      </c>
    </row>
    <row r="32" spans="2:37" ht="22.2" customHeight="1">
      <c r="B32" s="2107"/>
      <c r="C32" s="2107"/>
      <c r="D32" s="2107"/>
      <c r="E32" s="2107"/>
      <c r="F32" s="2107"/>
      <c r="G32" s="2107"/>
      <c r="H32" s="2107"/>
      <c r="I32" s="2107"/>
      <c r="J32" s="2107"/>
      <c r="K32" s="2107"/>
      <c r="L32" s="2107" t="s">
        <v>892</v>
      </c>
      <c r="M32" s="2107"/>
      <c r="N32" s="2107"/>
      <c r="O32" s="2107"/>
      <c r="P32" s="2107"/>
      <c r="Q32" s="2108" t="s">
        <v>893</v>
      </c>
      <c r="R32" s="2108"/>
      <c r="S32" s="2108"/>
      <c r="T32" s="2108"/>
      <c r="U32" s="2107" t="s">
        <v>894</v>
      </c>
      <c r="V32" s="2107"/>
      <c r="W32" s="2107"/>
      <c r="X32" s="2107"/>
      <c r="Y32" s="2100"/>
      <c r="Z32" s="2101"/>
      <c r="AA32" s="2109" t="s">
        <v>895</v>
      </c>
      <c r="AB32" s="2107"/>
      <c r="AC32" s="2107"/>
      <c r="AD32" s="2107"/>
      <c r="AH32"/>
      <c r="AI32"/>
      <c r="AJ32"/>
      <c r="AK32"/>
    </row>
    <row r="33" spans="2:37" ht="22.2" customHeight="1">
      <c r="B33" s="2107"/>
      <c r="C33" s="2107"/>
      <c r="D33" s="2107"/>
      <c r="E33" s="2107"/>
      <c r="F33" s="2107"/>
      <c r="G33" s="2107"/>
      <c r="H33" s="2107"/>
      <c r="I33" s="2107"/>
      <c r="J33" s="2107"/>
      <c r="K33" s="2107"/>
      <c r="L33" s="2107"/>
      <c r="M33" s="2107"/>
      <c r="N33" s="2107"/>
      <c r="O33" s="2107"/>
      <c r="P33" s="2107"/>
      <c r="Q33" s="2108"/>
      <c r="R33" s="2108"/>
      <c r="S33" s="2108"/>
      <c r="T33" s="2108"/>
      <c r="U33" s="2107"/>
      <c r="V33" s="2107"/>
      <c r="W33" s="2107"/>
      <c r="X33" s="2107"/>
      <c r="Y33" s="2100"/>
      <c r="Z33" s="2101"/>
      <c r="AA33" s="2107"/>
      <c r="AB33" s="2107"/>
      <c r="AC33" s="2107"/>
      <c r="AD33" s="2107"/>
      <c r="AH33"/>
      <c r="AI33"/>
      <c r="AJ33"/>
      <c r="AK33"/>
    </row>
    <row r="34" spans="2:37" ht="22.2" customHeight="1">
      <c r="B34" s="2092" t="s">
        <v>876</v>
      </c>
      <c r="C34" s="2093"/>
      <c r="D34" s="2093"/>
      <c r="E34" s="2093"/>
      <c r="F34" s="2093"/>
      <c r="G34" s="2093"/>
      <c r="H34" s="2093"/>
      <c r="I34" s="2093"/>
      <c r="J34" s="2093"/>
      <c r="K34" s="2094"/>
      <c r="L34" s="2095" t="str">
        <f>IF(N16="","",EOMONTH(AI16,0))</f>
        <v/>
      </c>
      <c r="M34" s="2095"/>
      <c r="N34" s="2095"/>
      <c r="O34" s="2095"/>
      <c r="P34" s="2095"/>
      <c r="Q34" s="2110" t="str">
        <f>IF($P$17=0,"",$P$17)</f>
        <v/>
      </c>
      <c r="R34" s="2111"/>
      <c r="S34" s="2111"/>
      <c r="T34" s="2111"/>
      <c r="U34" s="2128" t="str">
        <f t="shared" ref="U34:U39" si="0">IF(Q34="","",ROUND(($Z$18-Q34)/$Z$18,4))</f>
        <v/>
      </c>
      <c r="V34" s="2129"/>
      <c r="W34" s="2129"/>
      <c r="X34" s="2129"/>
      <c r="Y34" s="2100"/>
      <c r="Z34" s="2101"/>
      <c r="AA34" s="2104"/>
      <c r="AB34" s="2105"/>
      <c r="AC34" s="2105"/>
      <c r="AD34" s="2106"/>
      <c r="AH34"/>
      <c r="AI34"/>
      <c r="AJ34"/>
      <c r="AK34"/>
    </row>
    <row r="35" spans="2:37" ht="22.2" customHeight="1">
      <c r="B35" s="2092" t="s">
        <v>896</v>
      </c>
      <c r="C35" s="2093"/>
      <c r="D35" s="2093"/>
      <c r="E35" s="2093"/>
      <c r="F35" s="2093"/>
      <c r="G35" s="2093"/>
      <c r="H35" s="2093"/>
      <c r="I35" s="2093"/>
      <c r="J35" s="2093"/>
      <c r="K35" s="2094"/>
      <c r="L35" s="2095" t="str">
        <f t="shared" ref="L35:L41" si="1">IF($N$16="","",EOMONTH(L34,1))</f>
        <v/>
      </c>
      <c r="M35" s="2095"/>
      <c r="N35" s="2095"/>
      <c r="O35" s="2095"/>
      <c r="P35" s="2095"/>
      <c r="Q35" s="2098"/>
      <c r="R35" s="2099"/>
      <c r="S35" s="2099"/>
      <c r="T35" s="2099"/>
      <c r="U35" s="2128" t="str">
        <f t="shared" si="0"/>
        <v/>
      </c>
      <c r="V35" s="2129"/>
      <c r="W35" s="2129"/>
      <c r="X35" s="2129"/>
      <c r="Y35" s="2100"/>
      <c r="Z35" s="2101"/>
      <c r="AA35" s="2104"/>
      <c r="AB35" s="2105"/>
      <c r="AC35" s="2105"/>
      <c r="AD35" s="2106"/>
      <c r="AH35"/>
      <c r="AI35"/>
      <c r="AJ35"/>
      <c r="AK35"/>
    </row>
    <row r="36" spans="2:37" ht="22.2" customHeight="1">
      <c r="B36" s="2092" t="s">
        <v>897</v>
      </c>
      <c r="C36" s="2093"/>
      <c r="D36" s="2093"/>
      <c r="E36" s="2093"/>
      <c r="F36" s="2093"/>
      <c r="G36" s="2093"/>
      <c r="H36" s="2093"/>
      <c r="I36" s="2093"/>
      <c r="J36" s="2093"/>
      <c r="K36" s="2094"/>
      <c r="L36" s="2095" t="str">
        <f t="shared" si="1"/>
        <v/>
      </c>
      <c r="M36" s="2095"/>
      <c r="N36" s="2095"/>
      <c r="O36" s="2095"/>
      <c r="P36" s="2095"/>
      <c r="Q36" s="2098"/>
      <c r="R36" s="2099"/>
      <c r="S36" s="2099"/>
      <c r="T36" s="2099"/>
      <c r="U36" s="2128" t="str">
        <f t="shared" si="0"/>
        <v/>
      </c>
      <c r="V36" s="2129"/>
      <c r="W36" s="2129"/>
      <c r="X36" s="2129"/>
      <c r="Y36" s="2100"/>
      <c r="Z36" s="2101"/>
      <c r="AA36" s="2097" t="str">
        <f t="shared" ref="AA36:AA41" si="2">IF(U34="","",IF(AND($H$19="可",U34&gt;=0.05),"可","否"))</f>
        <v/>
      </c>
      <c r="AB36" s="2097"/>
      <c r="AC36" s="2097"/>
      <c r="AD36" s="2097"/>
      <c r="AH36"/>
      <c r="AI36"/>
      <c r="AJ36"/>
      <c r="AK36"/>
    </row>
    <row r="37" spans="2:37" ht="22.2" customHeight="1">
      <c r="B37" s="2092" t="s">
        <v>898</v>
      </c>
      <c r="C37" s="2093"/>
      <c r="D37" s="2093"/>
      <c r="E37" s="2093"/>
      <c r="F37" s="2093"/>
      <c r="G37" s="2093"/>
      <c r="H37" s="2093"/>
      <c r="I37" s="2093"/>
      <c r="J37" s="2093"/>
      <c r="K37" s="2094"/>
      <c r="L37" s="2095" t="str">
        <f t="shared" si="1"/>
        <v/>
      </c>
      <c r="M37" s="2095"/>
      <c r="N37" s="2095"/>
      <c r="O37" s="2095"/>
      <c r="P37" s="2095"/>
      <c r="Q37" s="2098"/>
      <c r="R37" s="2099"/>
      <c r="S37" s="2099"/>
      <c r="T37" s="2099"/>
      <c r="U37" s="2128" t="str">
        <f t="shared" si="0"/>
        <v/>
      </c>
      <c r="V37" s="2129"/>
      <c r="W37" s="2129"/>
      <c r="X37" s="2129"/>
      <c r="Y37" s="2100"/>
      <c r="Z37" s="2101"/>
      <c r="AA37" s="2097" t="str">
        <f t="shared" si="2"/>
        <v/>
      </c>
      <c r="AB37" s="2097"/>
      <c r="AC37" s="2097"/>
      <c r="AD37" s="2097"/>
      <c r="AH37"/>
      <c r="AI37"/>
      <c r="AJ37"/>
      <c r="AK37"/>
    </row>
    <row r="38" spans="2:37" ht="22.2" customHeight="1">
      <c r="B38" s="2092" t="s">
        <v>899</v>
      </c>
      <c r="C38" s="2093"/>
      <c r="D38" s="2093"/>
      <c r="E38" s="2093"/>
      <c r="F38" s="2093"/>
      <c r="G38" s="2093"/>
      <c r="H38" s="2093"/>
      <c r="I38" s="2093"/>
      <c r="J38" s="2093"/>
      <c r="K38" s="2094"/>
      <c r="L38" s="2095" t="str">
        <f t="shared" si="1"/>
        <v/>
      </c>
      <c r="M38" s="2095"/>
      <c r="N38" s="2095"/>
      <c r="O38" s="2095"/>
      <c r="P38" s="2095"/>
      <c r="Q38" s="2098"/>
      <c r="R38" s="2099"/>
      <c r="S38" s="2099"/>
      <c r="T38" s="2099"/>
      <c r="U38" s="2128" t="str">
        <f t="shared" si="0"/>
        <v/>
      </c>
      <c r="V38" s="2129"/>
      <c r="W38" s="2129"/>
      <c r="X38" s="2129"/>
      <c r="Y38" s="2102" t="s">
        <v>900</v>
      </c>
      <c r="Z38" s="2101"/>
      <c r="AA38" s="2097" t="str">
        <f t="shared" si="2"/>
        <v/>
      </c>
      <c r="AB38" s="2097"/>
      <c r="AC38" s="2097"/>
      <c r="AD38" s="2097"/>
      <c r="AH38"/>
      <c r="AI38"/>
      <c r="AJ38"/>
      <c r="AK38"/>
    </row>
    <row r="39" spans="2:37" ht="22.2" customHeight="1">
      <c r="B39" s="2092" t="s">
        <v>901</v>
      </c>
      <c r="C39" s="2093"/>
      <c r="D39" s="2093"/>
      <c r="E39" s="2093"/>
      <c r="F39" s="2093"/>
      <c r="G39" s="2093"/>
      <c r="H39" s="2093"/>
      <c r="I39" s="2093"/>
      <c r="J39" s="2093"/>
      <c r="K39" s="2094"/>
      <c r="L39" s="2095" t="str">
        <f t="shared" si="1"/>
        <v/>
      </c>
      <c r="M39" s="2095"/>
      <c r="N39" s="2095"/>
      <c r="O39" s="2095"/>
      <c r="P39" s="2095"/>
      <c r="Q39" s="2098"/>
      <c r="R39" s="2099"/>
      <c r="S39" s="2099"/>
      <c r="T39" s="2099"/>
      <c r="U39" s="2128" t="str">
        <f t="shared" si="0"/>
        <v/>
      </c>
      <c r="V39" s="2129"/>
      <c r="W39" s="2129"/>
      <c r="X39" s="2129"/>
      <c r="Y39" s="2100"/>
      <c r="Z39" s="2101"/>
      <c r="AA39" s="2127" t="str">
        <f t="shared" si="2"/>
        <v/>
      </c>
      <c r="AB39" s="2127"/>
      <c r="AC39" s="2127"/>
      <c r="AD39" s="2127"/>
      <c r="AH39"/>
      <c r="AI39"/>
      <c r="AJ39"/>
      <c r="AK39"/>
    </row>
    <row r="40" spans="2:37" ht="22.2" customHeight="1">
      <c r="B40" s="2092"/>
      <c r="C40" s="2093"/>
      <c r="D40" s="2093"/>
      <c r="E40" s="2093"/>
      <c r="F40" s="2093"/>
      <c r="G40" s="2093"/>
      <c r="H40" s="2093"/>
      <c r="I40" s="2093"/>
      <c r="J40" s="2093"/>
      <c r="K40" s="2094"/>
      <c r="L40" s="2095" t="str">
        <f t="shared" si="1"/>
        <v/>
      </c>
      <c r="M40" s="2095"/>
      <c r="N40" s="2095"/>
      <c r="O40" s="2095"/>
      <c r="P40" s="2095"/>
      <c r="Q40" s="2104"/>
      <c r="R40" s="2105"/>
      <c r="S40" s="2105"/>
      <c r="T40" s="2106"/>
      <c r="U40" s="2104"/>
      <c r="V40" s="2105"/>
      <c r="W40" s="2105"/>
      <c r="X40" s="2106"/>
      <c r="Y40" s="2100"/>
      <c r="Z40" s="2101"/>
      <c r="AA40" s="2097" t="str">
        <f t="shared" si="2"/>
        <v/>
      </c>
      <c r="AB40" s="2097"/>
      <c r="AC40" s="2097"/>
      <c r="AD40" s="2097"/>
      <c r="AH40"/>
      <c r="AI40"/>
      <c r="AJ40"/>
      <c r="AK40"/>
    </row>
    <row r="41" spans="2:37" ht="22.2" customHeight="1">
      <c r="B41" s="2092" t="s">
        <v>902</v>
      </c>
      <c r="C41" s="2093"/>
      <c r="D41" s="2093"/>
      <c r="E41" s="2093"/>
      <c r="F41" s="2093"/>
      <c r="G41" s="2093"/>
      <c r="H41" s="2093"/>
      <c r="I41" s="2093"/>
      <c r="J41" s="2093"/>
      <c r="K41" s="2094"/>
      <c r="L41" s="2095" t="str">
        <f t="shared" si="1"/>
        <v/>
      </c>
      <c r="M41" s="2095"/>
      <c r="N41" s="2095"/>
      <c r="O41" s="2095"/>
      <c r="P41" s="2095"/>
      <c r="Q41" s="2124"/>
      <c r="R41" s="2124"/>
      <c r="S41" s="2124"/>
      <c r="T41" s="2124"/>
      <c r="U41" s="2124"/>
      <c r="V41" s="2124"/>
      <c r="W41" s="2124"/>
      <c r="X41" s="2124"/>
      <c r="Y41" s="2100"/>
      <c r="Z41" s="2101"/>
      <c r="AA41" s="2097" t="str">
        <f t="shared" si="2"/>
        <v/>
      </c>
      <c r="AB41" s="2097"/>
      <c r="AC41" s="2097"/>
      <c r="AD41" s="2097"/>
      <c r="AH41"/>
      <c r="AI41"/>
      <c r="AJ41"/>
      <c r="AK41"/>
    </row>
    <row r="42" spans="2:37" ht="19.5" customHeight="1">
      <c r="B42" s="2125" t="s">
        <v>903</v>
      </c>
      <c r="C42" s="2126"/>
      <c r="D42" s="2126"/>
      <c r="E42" s="2126"/>
      <c r="F42" s="2126"/>
      <c r="G42" s="2126"/>
      <c r="H42" s="2126"/>
      <c r="I42" s="2126"/>
      <c r="J42" s="2126"/>
      <c r="K42" s="2126"/>
      <c r="L42" s="2126"/>
      <c r="M42" s="2126"/>
      <c r="N42" s="2126"/>
      <c r="O42" s="2126"/>
      <c r="P42" s="2126"/>
      <c r="Q42" s="2126"/>
      <c r="R42" s="2126"/>
      <c r="S42" s="2126"/>
      <c r="T42" s="2126"/>
      <c r="U42" s="2126"/>
      <c r="V42" s="2126"/>
      <c r="W42" s="2126"/>
      <c r="X42" s="2126"/>
      <c r="Y42" s="2126"/>
      <c r="Z42" s="2126"/>
      <c r="AA42" s="2126"/>
      <c r="AB42" s="2126"/>
      <c r="AC42" s="2126"/>
      <c r="AD42" s="2126"/>
      <c r="AE42" s="2126"/>
      <c r="AF42" s="2126"/>
    </row>
    <row r="43" spans="2:37" ht="19.5" customHeight="1">
      <c r="B43" s="2125"/>
      <c r="C43" s="2126"/>
      <c r="D43" s="2126"/>
      <c r="E43" s="2126"/>
      <c r="F43" s="2126"/>
      <c r="G43" s="2126"/>
      <c r="H43" s="2126"/>
      <c r="I43" s="2126"/>
      <c r="J43" s="2126"/>
      <c r="K43" s="2126"/>
      <c r="L43" s="2126"/>
      <c r="M43" s="2126"/>
      <c r="N43" s="2126"/>
      <c r="O43" s="2126"/>
      <c r="P43" s="2126"/>
      <c r="Q43" s="2126"/>
      <c r="R43" s="2126"/>
      <c r="S43" s="2126"/>
      <c r="T43" s="2126"/>
      <c r="U43" s="2126"/>
      <c r="V43" s="2126"/>
      <c r="W43" s="2126"/>
      <c r="X43" s="2126"/>
      <c r="Y43" s="2126"/>
      <c r="Z43" s="2126"/>
      <c r="AA43" s="2126"/>
      <c r="AB43" s="2126"/>
      <c r="AC43" s="2126"/>
      <c r="AD43" s="2126"/>
      <c r="AE43" s="2126"/>
      <c r="AF43" s="2126"/>
    </row>
    <row r="44" spans="2:37" ht="19.5" customHeight="1">
      <c r="B44" s="2126"/>
      <c r="C44" s="2126"/>
      <c r="D44" s="2126"/>
      <c r="E44" s="2126"/>
      <c r="F44" s="2126"/>
      <c r="G44" s="2126"/>
      <c r="H44" s="2126"/>
      <c r="I44" s="2126"/>
      <c r="J44" s="2126"/>
      <c r="K44" s="2126"/>
      <c r="L44" s="2126"/>
      <c r="M44" s="2126"/>
      <c r="N44" s="2126"/>
      <c r="O44" s="2126"/>
      <c r="P44" s="2126"/>
      <c r="Q44" s="2126"/>
      <c r="R44" s="2126"/>
      <c r="S44" s="2126"/>
      <c r="T44" s="2126"/>
      <c r="U44" s="2126"/>
      <c r="V44" s="2126"/>
      <c r="W44" s="2126"/>
      <c r="X44" s="2126"/>
      <c r="Y44" s="2126"/>
      <c r="Z44" s="2126"/>
      <c r="AA44" s="2126"/>
      <c r="AB44" s="2126"/>
      <c r="AC44" s="2126"/>
      <c r="AD44" s="2126"/>
      <c r="AE44" s="2126"/>
      <c r="AF44" s="2126"/>
    </row>
    <row r="45" spans="2:37" ht="20.25" customHeight="1"/>
    <row r="46" spans="2:37" ht="22.2" customHeight="1">
      <c r="B46" s="2112" t="s">
        <v>904</v>
      </c>
      <c r="C46" s="2113"/>
      <c r="D46" s="2113"/>
      <c r="E46" s="2113"/>
      <c r="F46" s="2113"/>
      <c r="G46" s="2113"/>
      <c r="H46" s="2113"/>
      <c r="I46" s="2113"/>
      <c r="J46" s="2113"/>
      <c r="K46" s="2113"/>
      <c r="L46" s="2113"/>
      <c r="M46" s="2113"/>
      <c r="N46" s="2113"/>
      <c r="O46" s="2113"/>
      <c r="P46" s="2113"/>
      <c r="Q46" s="2113"/>
      <c r="R46" s="2113"/>
      <c r="S46" s="2113"/>
      <c r="T46" s="2113"/>
      <c r="U46" s="2113"/>
      <c r="V46" s="2113"/>
      <c r="W46" s="2114"/>
      <c r="Y46" s="453" t="s">
        <v>905</v>
      </c>
    </row>
    <row r="47" spans="2:37" ht="22.2" customHeight="1">
      <c r="B47" s="437" t="s">
        <v>906</v>
      </c>
    </row>
    <row r="48" spans="2:37" ht="22.2" customHeight="1">
      <c r="B48" s="2115" t="s">
        <v>907</v>
      </c>
      <c r="C48" s="2115"/>
      <c r="D48" s="2115"/>
      <c r="E48" s="2115"/>
      <c r="F48" s="2115"/>
      <c r="G48" s="2115"/>
      <c r="H48" s="2115"/>
      <c r="I48" s="2115"/>
      <c r="J48" s="2115"/>
      <c r="K48" s="2117" t="s">
        <v>908</v>
      </c>
      <c r="L48" s="2118"/>
      <c r="M48" s="2118"/>
      <c r="N48" s="2118"/>
      <c r="O48" s="2118"/>
      <c r="P48" s="2118"/>
      <c r="Q48" s="2118"/>
      <c r="R48" s="2118"/>
      <c r="S48" s="2118"/>
      <c r="T48" s="2118"/>
      <c r="U48" s="2118"/>
      <c r="V48" s="2118"/>
      <c r="W48" s="2118"/>
      <c r="X48" s="2118"/>
      <c r="Y48" s="2118"/>
      <c r="Z48" s="2118"/>
      <c r="AA48" s="2118"/>
      <c r="AB48" s="2118"/>
      <c r="AC48" s="2118"/>
      <c r="AD48" s="2118"/>
      <c r="AE48" s="2118"/>
      <c r="AF48" s="2119"/>
    </row>
    <row r="49" spans="2:32" ht="22.2" customHeight="1">
      <c r="B49" s="2116"/>
      <c r="C49" s="2116"/>
      <c r="D49" s="2116"/>
      <c r="E49" s="2116"/>
      <c r="F49" s="2116"/>
      <c r="G49" s="2116"/>
      <c r="H49" s="2116"/>
      <c r="I49" s="2116"/>
      <c r="J49" s="2116"/>
      <c r="K49" s="2120"/>
      <c r="L49" s="2121"/>
      <c r="M49" s="2121"/>
      <c r="N49" s="2121"/>
      <c r="O49" s="2121"/>
      <c r="P49" s="2121"/>
      <c r="Q49" s="2121"/>
      <c r="R49" s="2121"/>
      <c r="S49" s="2121"/>
      <c r="T49" s="2121"/>
      <c r="U49" s="2121"/>
      <c r="V49" s="2121"/>
      <c r="W49" s="2121"/>
      <c r="X49" s="2121"/>
      <c r="Y49" s="2121"/>
      <c r="Z49" s="2121"/>
      <c r="AA49" s="2121"/>
      <c r="AB49" s="2121"/>
      <c r="AC49" s="2121"/>
      <c r="AD49" s="2121"/>
      <c r="AE49" s="2121"/>
      <c r="AF49" s="2122"/>
    </row>
    <row r="50" spans="2:32" ht="36" customHeight="1">
      <c r="B50" s="2123" t="s">
        <v>909</v>
      </c>
      <c r="C50" s="2123"/>
      <c r="D50" s="2123"/>
      <c r="E50" s="2123"/>
      <c r="F50" s="2123"/>
      <c r="G50" s="2123"/>
      <c r="H50" s="2123"/>
      <c r="I50" s="2123"/>
      <c r="J50" s="2123"/>
      <c r="K50" s="2123"/>
      <c r="L50" s="2123"/>
      <c r="M50" s="2123"/>
      <c r="N50" s="2123"/>
      <c r="O50" s="2123"/>
      <c r="P50" s="2123"/>
      <c r="Q50" s="2123"/>
      <c r="R50" s="2123"/>
      <c r="S50" s="2123"/>
      <c r="T50" s="2123"/>
      <c r="U50" s="2123"/>
      <c r="V50" s="2123"/>
      <c r="W50" s="2123"/>
      <c r="X50" s="2123"/>
      <c r="Y50" s="2123"/>
      <c r="Z50" s="2123"/>
      <c r="AA50" s="2123"/>
      <c r="AB50" s="2123"/>
      <c r="AC50" s="2123"/>
      <c r="AD50" s="2123"/>
      <c r="AE50" s="2123"/>
      <c r="AF50" s="2123"/>
    </row>
    <row r="51" spans="2:32" ht="22.2" customHeight="1"/>
    <row r="52" spans="2:32" ht="22.2" customHeight="1">
      <c r="B52" s="2112" t="s">
        <v>910</v>
      </c>
      <c r="C52" s="2113"/>
      <c r="D52" s="2113"/>
      <c r="E52" s="2113"/>
      <c r="F52" s="2113"/>
      <c r="G52" s="2113"/>
      <c r="H52" s="2113"/>
      <c r="I52" s="2114"/>
      <c r="K52" s="453" t="s">
        <v>911</v>
      </c>
    </row>
    <row r="53" spans="2:32" ht="22.2" customHeight="1">
      <c r="B53" s="437" t="s">
        <v>912</v>
      </c>
    </row>
    <row r="54" spans="2:32" ht="22.2" customHeight="1">
      <c r="B54" s="2107"/>
      <c r="C54" s="2107"/>
      <c r="D54" s="2107"/>
      <c r="E54" s="2107"/>
      <c r="F54" s="2107"/>
      <c r="G54" s="2107"/>
      <c r="H54" s="2107"/>
      <c r="I54" s="2107"/>
      <c r="J54" s="2107"/>
      <c r="K54" s="2107"/>
      <c r="L54" s="2107" t="s">
        <v>892</v>
      </c>
      <c r="M54" s="2107"/>
      <c r="N54" s="2107"/>
      <c r="O54" s="2107"/>
      <c r="P54" s="2107"/>
      <c r="Q54" s="2108" t="s">
        <v>893</v>
      </c>
      <c r="R54" s="2108"/>
      <c r="S54" s="2108"/>
      <c r="T54" s="2108"/>
      <c r="U54" s="2100"/>
      <c r="V54" s="2101"/>
      <c r="W54" s="2109" t="s">
        <v>913</v>
      </c>
      <c r="X54" s="2107"/>
      <c r="Y54" s="2107"/>
      <c r="Z54" s="2107"/>
    </row>
    <row r="55" spans="2:32" ht="22.2" customHeight="1">
      <c r="B55" s="2107"/>
      <c r="C55" s="2107"/>
      <c r="D55" s="2107"/>
      <c r="E55" s="2107"/>
      <c r="F55" s="2107"/>
      <c r="G55" s="2107"/>
      <c r="H55" s="2107"/>
      <c r="I55" s="2107"/>
      <c r="J55" s="2107"/>
      <c r="K55" s="2107"/>
      <c r="L55" s="2107"/>
      <c r="M55" s="2107"/>
      <c r="N55" s="2107"/>
      <c r="O55" s="2107"/>
      <c r="P55" s="2107"/>
      <c r="Q55" s="2108"/>
      <c r="R55" s="2108"/>
      <c r="S55" s="2108"/>
      <c r="T55" s="2108"/>
      <c r="U55" s="2100"/>
      <c r="V55" s="2101"/>
      <c r="W55" s="2107"/>
      <c r="X55" s="2107"/>
      <c r="Y55" s="2107"/>
      <c r="Z55" s="2107"/>
    </row>
    <row r="56" spans="2:32" ht="22.2" customHeight="1">
      <c r="B56" s="2092" t="s">
        <v>876</v>
      </c>
      <c r="C56" s="2093"/>
      <c r="D56" s="2093"/>
      <c r="E56" s="2093"/>
      <c r="F56" s="2093"/>
      <c r="G56" s="2093"/>
      <c r="H56" s="2093"/>
      <c r="I56" s="2093"/>
      <c r="J56" s="2093"/>
      <c r="K56" s="2094"/>
      <c r="L56" s="2095" t="str">
        <f>IF(N16="","",EOMONTH(AI16,0))</f>
        <v/>
      </c>
      <c r="M56" s="2095"/>
      <c r="N56" s="2095"/>
      <c r="O56" s="2095"/>
      <c r="P56" s="2095"/>
      <c r="Q56" s="2110" t="str">
        <f>IF($P$17=0,"",$P$17)</f>
        <v/>
      </c>
      <c r="R56" s="2111"/>
      <c r="S56" s="2111"/>
      <c r="T56" s="2111"/>
      <c r="U56" s="2100"/>
      <c r="V56" s="2101"/>
      <c r="W56" s="2104"/>
      <c r="X56" s="2105"/>
      <c r="Y56" s="2105"/>
      <c r="Z56" s="2106"/>
    </row>
    <row r="57" spans="2:32" ht="22.2" customHeight="1">
      <c r="B57" s="2092" t="s">
        <v>914</v>
      </c>
      <c r="C57" s="2093"/>
      <c r="D57" s="2093"/>
      <c r="E57" s="2093"/>
      <c r="F57" s="2093"/>
      <c r="G57" s="2093"/>
      <c r="H57" s="2093"/>
      <c r="I57" s="2093"/>
      <c r="J57" s="2093"/>
      <c r="K57" s="2094"/>
      <c r="L57" s="2095" t="str">
        <f t="shared" ref="L57:L74" si="3">IF($N$16="","",EOMONTH(L56,1))</f>
        <v/>
      </c>
      <c r="M57" s="2095"/>
      <c r="N57" s="2095"/>
      <c r="O57" s="2095"/>
      <c r="P57" s="2095"/>
      <c r="Q57" s="2098"/>
      <c r="R57" s="2099"/>
      <c r="S57" s="2099"/>
      <c r="T57" s="2099"/>
      <c r="U57" s="2100"/>
      <c r="V57" s="2101"/>
      <c r="W57" s="2104"/>
      <c r="X57" s="2105"/>
      <c r="Y57" s="2105"/>
      <c r="Z57" s="2106"/>
    </row>
    <row r="58" spans="2:32" ht="22.2" customHeight="1">
      <c r="B58" s="2092" t="s">
        <v>915</v>
      </c>
      <c r="C58" s="2093"/>
      <c r="D58" s="2093"/>
      <c r="E58" s="2093"/>
      <c r="F58" s="2093"/>
      <c r="G58" s="2093"/>
      <c r="H58" s="2093"/>
      <c r="I58" s="2093"/>
      <c r="J58" s="2093"/>
      <c r="K58" s="2094"/>
      <c r="L58" s="2095" t="str">
        <f t="shared" si="3"/>
        <v/>
      </c>
      <c r="M58" s="2095"/>
      <c r="N58" s="2095"/>
      <c r="O58" s="2095"/>
      <c r="P58" s="2095"/>
      <c r="Q58" s="2098"/>
      <c r="R58" s="2099"/>
      <c r="S58" s="2099"/>
      <c r="T58" s="2099"/>
      <c r="U58" s="2100"/>
      <c r="V58" s="2101"/>
      <c r="W58" s="2097" t="str">
        <f>IF(Q56="","",IF(OR(AND($AJ$8=7,Q56&lt;=750,$H$20="可"),(AND($AJ$8=8,Q56&lt;=900,$H$20="可"))),"可","否"))</f>
        <v/>
      </c>
      <c r="X58" s="2097"/>
      <c r="Y58" s="2097"/>
      <c r="Z58" s="2097"/>
    </row>
    <row r="59" spans="2:32" ht="22.2" customHeight="1">
      <c r="B59" s="2092"/>
      <c r="C59" s="2093"/>
      <c r="D59" s="2093"/>
      <c r="E59" s="2093"/>
      <c r="F59" s="2093"/>
      <c r="G59" s="2093"/>
      <c r="H59" s="2093"/>
      <c r="I59" s="2093"/>
      <c r="J59" s="2093"/>
      <c r="K59" s="2094"/>
      <c r="L59" s="2095" t="str">
        <f t="shared" si="3"/>
        <v/>
      </c>
      <c r="M59" s="2095"/>
      <c r="N59" s="2095"/>
      <c r="O59" s="2095"/>
      <c r="P59" s="2095"/>
      <c r="Q59" s="2098"/>
      <c r="R59" s="2099"/>
      <c r="S59" s="2099"/>
      <c r="T59" s="2099"/>
      <c r="U59" s="2100"/>
      <c r="V59" s="2101"/>
      <c r="W59" s="2097" t="str">
        <f t="shared" ref="W59:W74" si="4">IF(Q57="","",IF(OR(AND($AJ$8=7,Q57&lt;=750,$H$20="可"),(AND($AJ$8=8,Q57&lt;=900,$H$20="可"))),"可","否"))</f>
        <v/>
      </c>
      <c r="X59" s="2097"/>
      <c r="Y59" s="2097"/>
      <c r="Z59" s="2097"/>
    </row>
    <row r="60" spans="2:32" ht="22.2" customHeight="1">
      <c r="B60" s="2092"/>
      <c r="C60" s="2093"/>
      <c r="D60" s="2093"/>
      <c r="E60" s="2093"/>
      <c r="F60" s="2093"/>
      <c r="G60" s="2093"/>
      <c r="H60" s="2093"/>
      <c r="I60" s="2093"/>
      <c r="J60" s="2093"/>
      <c r="K60" s="2094"/>
      <c r="L60" s="2095" t="str">
        <f t="shared" si="3"/>
        <v/>
      </c>
      <c r="M60" s="2095"/>
      <c r="N60" s="2095"/>
      <c r="O60" s="2095"/>
      <c r="P60" s="2095"/>
      <c r="Q60" s="2098"/>
      <c r="R60" s="2099"/>
      <c r="S60" s="2099"/>
      <c r="T60" s="2099"/>
      <c r="U60" s="2100"/>
      <c r="V60" s="2101"/>
      <c r="W60" s="2097" t="str">
        <f t="shared" si="4"/>
        <v/>
      </c>
      <c r="X60" s="2097"/>
      <c r="Y60" s="2097"/>
      <c r="Z60" s="2097"/>
    </row>
    <row r="61" spans="2:32" ht="22.2" customHeight="1">
      <c r="B61" s="2092"/>
      <c r="C61" s="2093"/>
      <c r="D61" s="2093"/>
      <c r="E61" s="2093"/>
      <c r="F61" s="2093"/>
      <c r="G61" s="2093"/>
      <c r="H61" s="2093"/>
      <c r="I61" s="2093"/>
      <c r="J61" s="2093"/>
      <c r="K61" s="2094"/>
      <c r="L61" s="2095" t="str">
        <f t="shared" si="3"/>
        <v/>
      </c>
      <c r="M61" s="2095"/>
      <c r="N61" s="2095"/>
      <c r="O61" s="2095"/>
      <c r="P61" s="2095"/>
      <c r="Q61" s="2098"/>
      <c r="R61" s="2099"/>
      <c r="S61" s="2099"/>
      <c r="T61" s="2099"/>
      <c r="U61" s="2100"/>
      <c r="V61" s="2101"/>
      <c r="W61" s="2097" t="str">
        <f t="shared" si="4"/>
        <v/>
      </c>
      <c r="X61" s="2097"/>
      <c r="Y61" s="2097"/>
      <c r="Z61" s="2097"/>
    </row>
    <row r="62" spans="2:32" ht="22.2" customHeight="1">
      <c r="B62" s="2092"/>
      <c r="C62" s="2093"/>
      <c r="D62" s="2093"/>
      <c r="E62" s="2093"/>
      <c r="F62" s="2093"/>
      <c r="G62" s="2093"/>
      <c r="H62" s="2093"/>
      <c r="I62" s="2093"/>
      <c r="J62" s="2093"/>
      <c r="K62" s="2094"/>
      <c r="L62" s="2095" t="str">
        <f t="shared" si="3"/>
        <v/>
      </c>
      <c r="M62" s="2095"/>
      <c r="N62" s="2095"/>
      <c r="O62" s="2095"/>
      <c r="P62" s="2095"/>
      <c r="Q62" s="2098"/>
      <c r="R62" s="2099"/>
      <c r="S62" s="2099"/>
      <c r="T62" s="2099"/>
      <c r="U62" s="2100"/>
      <c r="V62" s="2101"/>
      <c r="W62" s="2097" t="str">
        <f t="shared" si="4"/>
        <v/>
      </c>
      <c r="X62" s="2097"/>
      <c r="Y62" s="2097"/>
      <c r="Z62" s="2097"/>
    </row>
    <row r="63" spans="2:32" ht="22.2" customHeight="1">
      <c r="B63" s="2092"/>
      <c r="C63" s="2093"/>
      <c r="D63" s="2093"/>
      <c r="E63" s="2093"/>
      <c r="F63" s="2093"/>
      <c r="G63" s="2093"/>
      <c r="H63" s="2093"/>
      <c r="I63" s="2093"/>
      <c r="J63" s="2093"/>
      <c r="K63" s="2094"/>
      <c r="L63" s="2095" t="str">
        <f t="shared" si="3"/>
        <v/>
      </c>
      <c r="M63" s="2095"/>
      <c r="N63" s="2095"/>
      <c r="O63" s="2095"/>
      <c r="P63" s="2095"/>
      <c r="Q63" s="2098"/>
      <c r="R63" s="2099"/>
      <c r="S63" s="2099"/>
      <c r="T63" s="2099"/>
      <c r="U63" s="2102" t="s">
        <v>900</v>
      </c>
      <c r="V63" s="2103"/>
      <c r="W63" s="2097" t="str">
        <f t="shared" si="4"/>
        <v/>
      </c>
      <c r="X63" s="2097"/>
      <c r="Y63" s="2097"/>
      <c r="Z63" s="2097"/>
    </row>
    <row r="64" spans="2:32" ht="22.2" customHeight="1">
      <c r="B64" s="2092"/>
      <c r="C64" s="2093"/>
      <c r="D64" s="2093"/>
      <c r="E64" s="2093"/>
      <c r="F64" s="2093"/>
      <c r="G64" s="2093"/>
      <c r="H64" s="2093"/>
      <c r="I64" s="2093"/>
      <c r="J64" s="2093"/>
      <c r="K64" s="2094"/>
      <c r="L64" s="2095" t="str">
        <f t="shared" si="3"/>
        <v/>
      </c>
      <c r="M64" s="2095"/>
      <c r="N64" s="2095"/>
      <c r="O64" s="2095"/>
      <c r="P64" s="2095"/>
      <c r="Q64" s="2098"/>
      <c r="R64" s="2099"/>
      <c r="S64" s="2099"/>
      <c r="T64" s="2099"/>
      <c r="U64" s="2102"/>
      <c r="V64" s="2103"/>
      <c r="W64" s="2097" t="str">
        <f t="shared" si="4"/>
        <v/>
      </c>
      <c r="X64" s="2097"/>
      <c r="Y64" s="2097"/>
      <c r="Z64" s="2097"/>
    </row>
    <row r="65" spans="2:32" ht="22.2" customHeight="1">
      <c r="B65" s="2092"/>
      <c r="C65" s="2093"/>
      <c r="D65" s="2093"/>
      <c r="E65" s="2093"/>
      <c r="F65" s="2093"/>
      <c r="G65" s="2093"/>
      <c r="H65" s="2093"/>
      <c r="I65" s="2093"/>
      <c r="J65" s="2093"/>
      <c r="K65" s="2094"/>
      <c r="L65" s="2095" t="str">
        <f t="shared" si="3"/>
        <v/>
      </c>
      <c r="M65" s="2095"/>
      <c r="N65" s="2095"/>
      <c r="O65" s="2095"/>
      <c r="P65" s="2095"/>
      <c r="Q65" s="2098"/>
      <c r="R65" s="2099"/>
      <c r="S65" s="2099"/>
      <c r="T65" s="2099"/>
      <c r="U65" s="2102"/>
      <c r="V65" s="2103"/>
      <c r="W65" s="2097" t="str">
        <f t="shared" si="4"/>
        <v/>
      </c>
      <c r="X65" s="2097"/>
      <c r="Y65" s="2097"/>
      <c r="Z65" s="2097"/>
    </row>
    <row r="66" spans="2:32" ht="22.2" customHeight="1">
      <c r="B66" s="2092"/>
      <c r="C66" s="2093"/>
      <c r="D66" s="2093"/>
      <c r="E66" s="2093"/>
      <c r="F66" s="2093"/>
      <c r="G66" s="2093"/>
      <c r="H66" s="2093"/>
      <c r="I66" s="2093"/>
      <c r="J66" s="2093"/>
      <c r="K66" s="2094"/>
      <c r="L66" s="2095" t="str">
        <f t="shared" si="3"/>
        <v/>
      </c>
      <c r="M66" s="2095"/>
      <c r="N66" s="2095"/>
      <c r="O66" s="2095"/>
      <c r="P66" s="2095"/>
      <c r="Q66" s="2098"/>
      <c r="R66" s="2099"/>
      <c r="S66" s="2099"/>
      <c r="T66" s="2099"/>
      <c r="U66" s="2102"/>
      <c r="V66" s="2103"/>
      <c r="W66" s="2097" t="str">
        <f t="shared" si="4"/>
        <v/>
      </c>
      <c r="X66" s="2097"/>
      <c r="Y66" s="2097"/>
      <c r="Z66" s="2097"/>
    </row>
    <row r="67" spans="2:32" ht="22.2" customHeight="1">
      <c r="B67" s="2092"/>
      <c r="C67" s="2093"/>
      <c r="D67" s="2093"/>
      <c r="E67" s="2093"/>
      <c r="F67" s="2093"/>
      <c r="G67" s="2093"/>
      <c r="H67" s="2093"/>
      <c r="I67" s="2093"/>
      <c r="J67" s="2093"/>
      <c r="K67" s="2094"/>
      <c r="L67" s="2095" t="str">
        <f t="shared" si="3"/>
        <v/>
      </c>
      <c r="M67" s="2095"/>
      <c r="N67" s="2095"/>
      <c r="O67" s="2095"/>
      <c r="P67" s="2095"/>
      <c r="Q67" s="2098"/>
      <c r="R67" s="2099"/>
      <c r="S67" s="2099"/>
      <c r="T67" s="2099"/>
      <c r="U67" s="2100"/>
      <c r="V67" s="2101"/>
      <c r="W67" s="2097" t="str">
        <f t="shared" si="4"/>
        <v/>
      </c>
      <c r="X67" s="2097"/>
      <c r="Y67" s="2097"/>
      <c r="Z67" s="2097"/>
    </row>
    <row r="68" spans="2:32" ht="22.2" customHeight="1">
      <c r="B68" s="2092"/>
      <c r="C68" s="2093"/>
      <c r="D68" s="2093"/>
      <c r="E68" s="2093"/>
      <c r="F68" s="2093"/>
      <c r="G68" s="2093"/>
      <c r="H68" s="2093"/>
      <c r="I68" s="2093"/>
      <c r="J68" s="2093"/>
      <c r="K68" s="2094"/>
      <c r="L68" s="2095" t="str">
        <f t="shared" si="3"/>
        <v/>
      </c>
      <c r="M68" s="2095"/>
      <c r="N68" s="2095"/>
      <c r="O68" s="2095"/>
      <c r="P68" s="2095"/>
      <c r="Q68" s="2098"/>
      <c r="R68" s="2099"/>
      <c r="S68" s="2099"/>
      <c r="T68" s="2099"/>
      <c r="U68" s="2100"/>
      <c r="V68" s="2101"/>
      <c r="W68" s="2097" t="str">
        <f t="shared" si="4"/>
        <v/>
      </c>
      <c r="X68" s="2097"/>
      <c r="Y68" s="2097"/>
      <c r="Z68" s="2097"/>
    </row>
    <row r="69" spans="2:32" ht="22.2" customHeight="1">
      <c r="B69" s="2092"/>
      <c r="C69" s="2093"/>
      <c r="D69" s="2093"/>
      <c r="E69" s="2093"/>
      <c r="F69" s="2093"/>
      <c r="G69" s="2093"/>
      <c r="H69" s="2093"/>
      <c r="I69" s="2093"/>
      <c r="J69" s="2093"/>
      <c r="K69" s="2094"/>
      <c r="L69" s="2095" t="str">
        <f t="shared" si="3"/>
        <v/>
      </c>
      <c r="M69" s="2095"/>
      <c r="N69" s="2095"/>
      <c r="O69" s="2095"/>
      <c r="P69" s="2095"/>
      <c r="Q69" s="2098"/>
      <c r="R69" s="2099"/>
      <c r="S69" s="2099"/>
      <c r="T69" s="2099"/>
      <c r="U69" s="2100"/>
      <c r="V69" s="2101"/>
      <c r="W69" s="2097" t="str">
        <f t="shared" si="4"/>
        <v/>
      </c>
      <c r="X69" s="2097"/>
      <c r="Y69" s="2097"/>
      <c r="Z69" s="2097"/>
    </row>
    <row r="70" spans="2:32" ht="22.2" customHeight="1">
      <c r="B70" s="2092"/>
      <c r="C70" s="2093"/>
      <c r="D70" s="2093"/>
      <c r="E70" s="2093"/>
      <c r="F70" s="2093"/>
      <c r="G70" s="2093"/>
      <c r="H70" s="2093"/>
      <c r="I70" s="2093"/>
      <c r="J70" s="2093"/>
      <c r="K70" s="2094"/>
      <c r="L70" s="2095" t="str">
        <f t="shared" si="3"/>
        <v/>
      </c>
      <c r="M70" s="2095"/>
      <c r="N70" s="2095"/>
      <c r="O70" s="2095"/>
      <c r="P70" s="2095"/>
      <c r="Q70" s="2096"/>
      <c r="R70" s="2096"/>
      <c r="S70" s="2096"/>
      <c r="T70" s="2096"/>
      <c r="W70" s="2097" t="str">
        <f t="shared" si="4"/>
        <v/>
      </c>
      <c r="X70" s="2097"/>
      <c r="Y70" s="2097"/>
      <c r="Z70" s="2097"/>
    </row>
    <row r="71" spans="2:32" ht="22.2" customHeight="1">
      <c r="B71" s="2092"/>
      <c r="C71" s="2093"/>
      <c r="D71" s="2093"/>
      <c r="E71" s="2093"/>
      <c r="F71" s="2093"/>
      <c r="G71" s="2093"/>
      <c r="H71" s="2093"/>
      <c r="I71" s="2093"/>
      <c r="J71" s="2093"/>
      <c r="K71" s="2094"/>
      <c r="L71" s="2095" t="str">
        <f t="shared" si="3"/>
        <v/>
      </c>
      <c r="M71" s="2095"/>
      <c r="N71" s="2095"/>
      <c r="O71" s="2095"/>
      <c r="P71" s="2095"/>
      <c r="Q71" s="2096"/>
      <c r="R71" s="2096"/>
      <c r="S71" s="2096"/>
      <c r="T71" s="2096"/>
      <c r="W71" s="2097" t="str">
        <f t="shared" si="4"/>
        <v/>
      </c>
      <c r="X71" s="2097"/>
      <c r="Y71" s="2097"/>
      <c r="Z71" s="2097"/>
    </row>
    <row r="72" spans="2:32" ht="22.2" customHeight="1">
      <c r="B72" s="2092"/>
      <c r="C72" s="2093"/>
      <c r="D72" s="2093"/>
      <c r="E72" s="2093"/>
      <c r="F72" s="2093"/>
      <c r="G72" s="2093"/>
      <c r="H72" s="2093"/>
      <c r="I72" s="2093"/>
      <c r="J72" s="2093"/>
      <c r="K72" s="2094"/>
      <c r="L72" s="2095" t="str">
        <f t="shared" si="3"/>
        <v/>
      </c>
      <c r="M72" s="2095"/>
      <c r="N72" s="2095"/>
      <c r="O72" s="2095"/>
      <c r="P72" s="2095"/>
      <c r="Q72" s="2096"/>
      <c r="R72" s="2096"/>
      <c r="S72" s="2096"/>
      <c r="T72" s="2096"/>
      <c r="W72" s="2097" t="str">
        <f t="shared" si="4"/>
        <v/>
      </c>
      <c r="X72" s="2097"/>
      <c r="Y72" s="2097"/>
      <c r="Z72" s="2097"/>
    </row>
    <row r="73" spans="2:32" ht="22.2" customHeight="1">
      <c r="B73" s="2092"/>
      <c r="C73" s="2093"/>
      <c r="D73" s="2093"/>
      <c r="E73" s="2093"/>
      <c r="F73" s="2093"/>
      <c r="G73" s="2093"/>
      <c r="H73" s="2093"/>
      <c r="I73" s="2093"/>
      <c r="J73" s="2093"/>
      <c r="K73" s="2094"/>
      <c r="L73" s="2095" t="str">
        <f t="shared" si="3"/>
        <v/>
      </c>
      <c r="M73" s="2095"/>
      <c r="N73" s="2095"/>
      <c r="O73" s="2095"/>
      <c r="P73" s="2095"/>
      <c r="Q73" s="2096"/>
      <c r="R73" s="2096"/>
      <c r="S73" s="2096"/>
      <c r="T73" s="2096"/>
      <c r="W73" s="2097" t="str">
        <f t="shared" si="4"/>
        <v/>
      </c>
      <c r="X73" s="2097"/>
      <c r="Y73" s="2097"/>
      <c r="Z73" s="2097"/>
    </row>
    <row r="74" spans="2:32" ht="22.2" customHeight="1">
      <c r="B74" s="2092"/>
      <c r="C74" s="2093"/>
      <c r="D74" s="2093"/>
      <c r="E74" s="2093"/>
      <c r="F74" s="2093"/>
      <c r="G74" s="2093"/>
      <c r="H74" s="2093"/>
      <c r="I74" s="2093"/>
      <c r="J74" s="2093"/>
      <c r="K74" s="2094"/>
      <c r="L74" s="2095" t="str">
        <f t="shared" si="3"/>
        <v/>
      </c>
      <c r="M74" s="2095"/>
      <c r="N74" s="2095"/>
      <c r="O74" s="2095"/>
      <c r="P74" s="2095"/>
      <c r="Q74" s="2096"/>
      <c r="R74" s="2096"/>
      <c r="S74" s="2096"/>
      <c r="T74" s="2096"/>
      <c r="W74" s="2097" t="str">
        <f t="shared" si="4"/>
        <v/>
      </c>
      <c r="X74" s="2097"/>
      <c r="Y74" s="2097"/>
      <c r="Z74" s="2097"/>
    </row>
    <row r="75" spans="2:32" ht="22.2" customHeight="1">
      <c r="B75" s="2090" t="s">
        <v>916</v>
      </c>
      <c r="C75" s="2091"/>
      <c r="D75" s="2091"/>
      <c r="E75" s="2091"/>
      <c r="F75" s="2091"/>
      <c r="G75" s="2091"/>
      <c r="H75" s="2091"/>
      <c r="I75" s="2091"/>
      <c r="J75" s="2091"/>
      <c r="K75" s="2091"/>
      <c r="L75" s="2091"/>
      <c r="M75" s="2091"/>
      <c r="N75" s="2091"/>
      <c r="O75" s="2091"/>
      <c r="P75" s="2091"/>
      <c r="Q75" s="2091"/>
      <c r="R75" s="2091"/>
      <c r="S75" s="2091"/>
      <c r="T75" s="2091"/>
      <c r="U75" s="2091"/>
      <c r="V75" s="2091"/>
      <c r="W75" s="2091"/>
      <c r="X75" s="2091"/>
      <c r="Y75" s="2091"/>
      <c r="Z75" s="2091"/>
      <c r="AA75" s="2091"/>
      <c r="AB75" s="2091"/>
      <c r="AC75" s="2091"/>
      <c r="AD75" s="2091"/>
      <c r="AE75" s="2091"/>
      <c r="AF75" s="2091"/>
    </row>
    <row r="76" spans="2:32" ht="22.2" customHeight="1">
      <c r="B76" s="2090"/>
      <c r="C76" s="2091"/>
      <c r="D76" s="2091"/>
      <c r="E76" s="2091"/>
      <c r="F76" s="2091"/>
      <c r="G76" s="2091"/>
      <c r="H76" s="2091"/>
      <c r="I76" s="2091"/>
      <c r="J76" s="2091"/>
      <c r="K76" s="2091"/>
      <c r="L76" s="2091"/>
      <c r="M76" s="2091"/>
      <c r="N76" s="2091"/>
      <c r="O76" s="2091"/>
      <c r="P76" s="2091"/>
      <c r="Q76" s="2091"/>
      <c r="R76" s="2091"/>
      <c r="S76" s="2091"/>
      <c r="T76" s="2091"/>
      <c r="U76" s="2091"/>
      <c r="V76" s="2091"/>
      <c r="W76" s="2091"/>
      <c r="X76" s="2091"/>
      <c r="Y76" s="2091"/>
      <c r="Z76" s="2091"/>
      <c r="AA76" s="2091"/>
      <c r="AB76" s="2091"/>
      <c r="AC76" s="2091"/>
      <c r="AD76" s="2091"/>
      <c r="AE76" s="2091"/>
      <c r="AF76" s="2091"/>
    </row>
    <row r="77" spans="2:32" ht="22.2" customHeight="1">
      <c r="B77" s="2090"/>
      <c r="C77" s="2091"/>
      <c r="D77" s="2091"/>
      <c r="E77" s="2091"/>
      <c r="F77" s="2091"/>
      <c r="G77" s="2091"/>
      <c r="H77" s="2091"/>
      <c r="I77" s="2091"/>
      <c r="J77" s="2091"/>
      <c r="K77" s="2091"/>
      <c r="L77" s="2091"/>
      <c r="M77" s="2091"/>
      <c r="N77" s="2091"/>
      <c r="O77" s="2091"/>
      <c r="P77" s="2091"/>
      <c r="Q77" s="2091"/>
      <c r="R77" s="2091"/>
      <c r="S77" s="2091"/>
      <c r="T77" s="2091"/>
      <c r="U77" s="2091"/>
      <c r="V77" s="2091"/>
      <c r="W77" s="2091"/>
      <c r="X77" s="2091"/>
      <c r="Y77" s="2091"/>
      <c r="Z77" s="2091"/>
      <c r="AA77" s="2091"/>
      <c r="AB77" s="2091"/>
      <c r="AC77" s="2091"/>
      <c r="AD77" s="2091"/>
      <c r="AE77" s="2091"/>
      <c r="AF77" s="2091"/>
    </row>
    <row r="78" spans="2:32" ht="22.2" customHeight="1"/>
    <row r="79" spans="2:32" ht="22.2" customHeight="1"/>
    <row r="80" spans="2:32" ht="22.2" customHeight="1"/>
    <row r="81" ht="22.2" customHeight="1"/>
    <row r="82" ht="22.2" customHeight="1"/>
    <row r="83" ht="22.2" customHeight="1"/>
    <row r="84" ht="22.2" customHeight="1"/>
    <row r="85" ht="22.2" customHeight="1"/>
    <row r="86" ht="22.2" customHeight="1"/>
    <row r="87" ht="22.2" customHeight="1"/>
    <row r="88" ht="22.2" customHeight="1"/>
    <row r="89" ht="22.2" customHeight="1"/>
    <row r="90" ht="22.2" customHeight="1"/>
    <row r="91" ht="22.2" customHeight="1"/>
    <row r="92" ht="22.2" customHeight="1"/>
    <row r="93" ht="22.2" customHeight="1"/>
    <row r="94" ht="22.2" customHeight="1"/>
    <row r="95" ht="22.2" customHeight="1"/>
    <row r="96" ht="22.2" customHeight="1"/>
    <row r="97" ht="22.2" customHeight="1"/>
    <row r="98" ht="22.2" customHeight="1"/>
    <row r="99" ht="22.2" customHeight="1"/>
    <row r="100" ht="22.2" customHeight="1"/>
    <row r="101" ht="22.2" customHeight="1"/>
    <row r="102" ht="22.2" customHeight="1"/>
    <row r="103" ht="22.2" customHeight="1"/>
    <row r="104" ht="22.2" customHeight="1"/>
    <row r="105" ht="22.2" customHeight="1"/>
    <row r="106" ht="22.2" customHeight="1"/>
    <row r="107" ht="22.2" customHeight="1"/>
    <row r="108" ht="22.2" customHeight="1"/>
    <row r="109" ht="22.2" customHeight="1"/>
    <row r="110" ht="22.2" customHeight="1"/>
    <row r="111" ht="22.2" customHeight="1"/>
    <row r="112" ht="22.2" customHeight="1"/>
    <row r="113" ht="22.2" customHeight="1"/>
    <row r="114" ht="22.2" customHeight="1"/>
    <row r="115" ht="22.2" customHeight="1"/>
    <row r="116" ht="22.2" customHeight="1"/>
    <row r="117" ht="22.2" customHeight="1"/>
    <row r="118" ht="22.2" customHeight="1"/>
    <row r="119" ht="22.2" customHeight="1"/>
    <row r="120" ht="22.2" customHeight="1"/>
    <row r="121" ht="22.2" customHeight="1"/>
    <row r="122" ht="22.2" customHeight="1"/>
    <row r="123" ht="22.2" customHeight="1"/>
    <row r="124" ht="22.2" customHeight="1"/>
    <row r="125" ht="22.2" customHeight="1"/>
    <row r="126" ht="22.2" customHeight="1"/>
    <row r="127" ht="22.2" customHeight="1"/>
    <row r="128" ht="22.2" customHeight="1"/>
    <row r="129" ht="22.2" customHeight="1"/>
    <row r="130" ht="22.2" customHeight="1"/>
    <row r="131" ht="22.2" customHeight="1"/>
    <row r="132" ht="22.2" customHeight="1"/>
    <row r="133" ht="22.2" customHeight="1"/>
    <row r="134" ht="22.2" customHeight="1"/>
    <row r="135" ht="22.2" customHeight="1"/>
    <row r="136" ht="22.2" customHeight="1"/>
    <row r="137" ht="22.2" customHeight="1"/>
    <row r="138" ht="22.2" customHeight="1"/>
    <row r="139" ht="22.2" customHeight="1"/>
    <row r="140" ht="22.2" customHeight="1"/>
    <row r="141" ht="22.2" customHeight="1"/>
    <row r="142" ht="22.2" customHeight="1"/>
    <row r="143" ht="22.2" customHeight="1"/>
    <row r="144" ht="22.2" customHeight="1"/>
    <row r="145" ht="22.2" customHeight="1"/>
    <row r="146" ht="22.2" customHeight="1"/>
    <row r="147" ht="22.2" customHeight="1"/>
    <row r="148" ht="22.2" customHeight="1"/>
    <row r="149" ht="22.2" customHeight="1"/>
    <row r="150" ht="22.2" customHeight="1"/>
    <row r="151" ht="22.2" customHeight="1"/>
    <row r="152" ht="22.2" customHeight="1"/>
  </sheetData>
  <mergeCells count="182">
    <mergeCell ref="B10:F10"/>
    <mergeCell ref="G10:J10"/>
    <mergeCell ref="K10:N10"/>
    <mergeCell ref="O10:T10"/>
    <mergeCell ref="U10:X10"/>
    <mergeCell ref="Y10:AF10"/>
    <mergeCell ref="A1:AG1"/>
    <mergeCell ref="B3:AF6"/>
    <mergeCell ref="B9:F9"/>
    <mergeCell ref="G9:J9"/>
    <mergeCell ref="K9:N9"/>
    <mergeCell ref="O9:AB9"/>
    <mergeCell ref="B17:O17"/>
    <mergeCell ref="P17:R17"/>
    <mergeCell ref="B18:Y18"/>
    <mergeCell ref="Z18:AB18"/>
    <mergeCell ref="B19:G19"/>
    <mergeCell ref="H19:J19"/>
    <mergeCell ref="B11:F11"/>
    <mergeCell ref="G11:Q11"/>
    <mergeCell ref="R11:U11"/>
    <mergeCell ref="V11:AB11"/>
    <mergeCell ref="B12:AF13"/>
    <mergeCell ref="B16:K16"/>
    <mergeCell ref="L16:M16"/>
    <mergeCell ref="N16:O16"/>
    <mergeCell ref="Q16:R16"/>
    <mergeCell ref="B20:G20"/>
    <mergeCell ref="H20:J20"/>
    <mergeCell ref="B21:AF28"/>
    <mergeCell ref="B30:I30"/>
    <mergeCell ref="B32:K33"/>
    <mergeCell ref="L32:P33"/>
    <mergeCell ref="Q32:T33"/>
    <mergeCell ref="U32:X33"/>
    <mergeCell ref="Y32:Z33"/>
    <mergeCell ref="AA32:AD33"/>
    <mergeCell ref="B35:K35"/>
    <mergeCell ref="L35:P35"/>
    <mergeCell ref="Q35:T35"/>
    <mergeCell ref="U35:X35"/>
    <mergeCell ref="Y35:Z35"/>
    <mergeCell ref="AA35:AD35"/>
    <mergeCell ref="B34:K34"/>
    <mergeCell ref="L34:P34"/>
    <mergeCell ref="Q34:T34"/>
    <mergeCell ref="U34:X34"/>
    <mergeCell ref="Y34:Z34"/>
    <mergeCell ref="AA34:AD34"/>
    <mergeCell ref="B37:K37"/>
    <mergeCell ref="L37:P37"/>
    <mergeCell ref="Q37:T37"/>
    <mergeCell ref="U37:X37"/>
    <mergeCell ref="Y37:Z37"/>
    <mergeCell ref="AA37:AD37"/>
    <mergeCell ref="B36:K36"/>
    <mergeCell ref="L36:P36"/>
    <mergeCell ref="Q36:T36"/>
    <mergeCell ref="U36:X36"/>
    <mergeCell ref="Y36:Z36"/>
    <mergeCell ref="AA36:AD36"/>
    <mergeCell ref="AA39:AD39"/>
    <mergeCell ref="B40:K40"/>
    <mergeCell ref="L40:P40"/>
    <mergeCell ref="Q40:T40"/>
    <mergeCell ref="U40:X40"/>
    <mergeCell ref="AA40:AD40"/>
    <mergeCell ref="B38:K38"/>
    <mergeCell ref="L38:P38"/>
    <mergeCell ref="Q38:T38"/>
    <mergeCell ref="U38:X38"/>
    <mergeCell ref="Y38:Z41"/>
    <mergeCell ref="AA38:AD38"/>
    <mergeCell ref="B39:K39"/>
    <mergeCell ref="L39:P39"/>
    <mergeCell ref="Q39:T39"/>
    <mergeCell ref="U39:X39"/>
    <mergeCell ref="B46:W46"/>
    <mergeCell ref="B48:J49"/>
    <mergeCell ref="K48:AF48"/>
    <mergeCell ref="K49:AF49"/>
    <mergeCell ref="B50:AF50"/>
    <mergeCell ref="B52:I52"/>
    <mergeCell ref="B41:K41"/>
    <mergeCell ref="L41:P41"/>
    <mergeCell ref="Q41:T41"/>
    <mergeCell ref="U41:X41"/>
    <mergeCell ref="AA41:AD41"/>
    <mergeCell ref="B42:AF44"/>
    <mergeCell ref="B54:K55"/>
    <mergeCell ref="L54:P55"/>
    <mergeCell ref="Q54:T55"/>
    <mergeCell ref="U54:V55"/>
    <mergeCell ref="W54:Z55"/>
    <mergeCell ref="B56:K56"/>
    <mergeCell ref="L56:P56"/>
    <mergeCell ref="Q56:T56"/>
    <mergeCell ref="U56:V56"/>
    <mergeCell ref="W56:Z56"/>
    <mergeCell ref="B57:K57"/>
    <mergeCell ref="L57:P57"/>
    <mergeCell ref="Q57:T57"/>
    <mergeCell ref="U57:V57"/>
    <mergeCell ref="W57:Z57"/>
    <mergeCell ref="B58:K58"/>
    <mergeCell ref="L58:P58"/>
    <mergeCell ref="Q58:T58"/>
    <mergeCell ref="U58:V58"/>
    <mergeCell ref="W58:Z58"/>
    <mergeCell ref="B59:K59"/>
    <mergeCell ref="L59:P59"/>
    <mergeCell ref="Q59:T59"/>
    <mergeCell ref="U59:V59"/>
    <mergeCell ref="W59:Z59"/>
    <mergeCell ref="B60:K60"/>
    <mergeCell ref="L60:P60"/>
    <mergeCell ref="Q60:T60"/>
    <mergeCell ref="U60:V60"/>
    <mergeCell ref="W60:Z60"/>
    <mergeCell ref="B61:K61"/>
    <mergeCell ref="L61:P61"/>
    <mergeCell ref="Q61:T61"/>
    <mergeCell ref="U61:V61"/>
    <mergeCell ref="W61:Z61"/>
    <mergeCell ref="B62:K62"/>
    <mergeCell ref="L62:P62"/>
    <mergeCell ref="Q62:T62"/>
    <mergeCell ref="U62:V62"/>
    <mergeCell ref="W62:Z62"/>
    <mergeCell ref="L65:P65"/>
    <mergeCell ref="Q65:T65"/>
    <mergeCell ref="W65:Z65"/>
    <mergeCell ref="B66:K66"/>
    <mergeCell ref="L66:P66"/>
    <mergeCell ref="Q66:T66"/>
    <mergeCell ref="W66:Z66"/>
    <mergeCell ref="B63:K63"/>
    <mergeCell ref="L63:P63"/>
    <mergeCell ref="Q63:T63"/>
    <mergeCell ref="U63:V66"/>
    <mergeCell ref="W63:Z63"/>
    <mergeCell ref="B64:K64"/>
    <mergeCell ref="L64:P64"/>
    <mergeCell ref="Q64:T64"/>
    <mergeCell ref="W64:Z64"/>
    <mergeCell ref="B65:K65"/>
    <mergeCell ref="B67:K67"/>
    <mergeCell ref="L67:P67"/>
    <mergeCell ref="Q67:T67"/>
    <mergeCell ref="U67:V67"/>
    <mergeCell ref="W67:Z67"/>
    <mergeCell ref="B68:K68"/>
    <mergeCell ref="L68:P68"/>
    <mergeCell ref="Q68:T68"/>
    <mergeCell ref="U68:V68"/>
    <mergeCell ref="W68:Z68"/>
    <mergeCell ref="B71:K71"/>
    <mergeCell ref="L71:P71"/>
    <mergeCell ref="Q71:T71"/>
    <mergeCell ref="W71:Z71"/>
    <mergeCell ref="B72:K72"/>
    <mergeCell ref="L72:P72"/>
    <mergeCell ref="Q72:T72"/>
    <mergeCell ref="W72:Z72"/>
    <mergeCell ref="B69:K69"/>
    <mergeCell ref="L69:P69"/>
    <mergeCell ref="Q69:T69"/>
    <mergeCell ref="U69:V69"/>
    <mergeCell ref="W69:Z69"/>
    <mergeCell ref="B70:K70"/>
    <mergeCell ref="L70:P70"/>
    <mergeCell ref="Q70:T70"/>
    <mergeCell ref="W70:Z70"/>
    <mergeCell ref="B75:AF77"/>
    <mergeCell ref="B73:K73"/>
    <mergeCell ref="L73:P73"/>
    <mergeCell ref="Q73:T73"/>
    <mergeCell ref="W73:Z73"/>
    <mergeCell ref="B74:K74"/>
    <mergeCell ref="L74:P74"/>
    <mergeCell ref="Q74:T74"/>
    <mergeCell ref="W74:Z74"/>
  </mergeCells>
  <phoneticPr fontId="3"/>
  <conditionalFormatting sqref="H20:J20">
    <cfRule type="expression" dxfId="1" priority="1">
      <formula>OR($AJ$8="",$AJ$8=6)</formula>
    </cfRule>
  </conditionalFormatting>
  <conditionalFormatting sqref="V11:AB11">
    <cfRule type="expression" dxfId="0" priority="2">
      <formula>OR($AJ$2=3,$AJ$2=4,$AJ$2=5)</formula>
    </cfRule>
  </conditionalFormatting>
  <dataValidations count="3">
    <dataValidation type="list" allowBlank="1" showInputMessage="1" showErrorMessage="1" sqref="B18:Y18" xr:uid="{00000000-0002-0000-1600-000000000000}">
      <formula1>"利用延人員数の減少が生じた月の前年度の１月当たりの平均利用延人員数,令和２年２月の利用延人員数（令和３年２月の利用延人員数が減少した場合に限る）,令和２年３月の利用延人員数（令和３年３月の利用延人員数が減少した場合に限る）"</formula1>
    </dataValidation>
    <dataValidation type="list" allowBlank="1" showInputMessage="1" showErrorMessage="1" sqref="V11:AB11" xr:uid="{00000000-0002-0000-1600-000001000000}">
      <formula1>$AI$9:$AI$11</formula1>
    </dataValidation>
    <dataValidation type="list" allowBlank="1" showInputMessage="1" showErrorMessage="1" sqref="G11:Q11" xr:uid="{00000000-0002-0000-1600-000002000000}">
      <formula1>$AI$3:$AI$7</formula1>
    </dataValidation>
  </dataValidations>
  <pageMargins left="0.7" right="0.7" top="0.75" bottom="0.75" header="0.3" footer="0.3"/>
  <pageSetup scale="68" orientation="portrait" r:id="rId1"/>
  <rowBreaks count="1" manualBreakCount="1">
    <brk id="50" max="32" man="1"/>
  </rowBreaks>
  <colBreaks count="1" manualBreakCount="1">
    <brk id="33"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33CC"/>
  </sheetPr>
  <dimension ref="A1:W33"/>
  <sheetViews>
    <sheetView view="pageBreakPreview" topLeftCell="A22" zoomScaleNormal="100" zoomScaleSheetLayoutView="100" workbookViewId="0"/>
  </sheetViews>
  <sheetFormatPr defaultColWidth="9" defaultRowHeight="13.2"/>
  <cols>
    <col min="1" max="1" width="5" style="454" customWidth="1"/>
    <col min="2" max="18" width="9" style="454"/>
    <col min="19" max="19" width="10.77734375" style="454" customWidth="1"/>
    <col min="20" max="21" width="5" style="454" customWidth="1"/>
    <col min="22" max="16384" width="9" style="454"/>
  </cols>
  <sheetData>
    <row r="1" spans="1:23" ht="14.4">
      <c r="A1" s="454" t="s">
        <v>917</v>
      </c>
      <c r="B1" s="455"/>
      <c r="C1" s="455"/>
      <c r="D1" s="456"/>
      <c r="E1" s="455"/>
      <c r="F1" s="455"/>
      <c r="G1" s="455"/>
      <c r="H1" s="457"/>
      <c r="I1" s="457"/>
      <c r="J1" s="457"/>
      <c r="K1" s="457"/>
      <c r="L1" s="457"/>
      <c r="M1" s="457"/>
      <c r="N1" s="457"/>
      <c r="O1" s="457"/>
      <c r="P1" s="457"/>
      <c r="Q1" s="457"/>
      <c r="R1" s="457"/>
      <c r="S1" s="457"/>
      <c r="T1" s="457"/>
      <c r="U1" s="457"/>
    </row>
    <row r="2" spans="1:23" ht="27.75" customHeight="1">
      <c r="A2" s="2211" t="s">
        <v>918</v>
      </c>
      <c r="B2" s="2211"/>
      <c r="C2" s="2211"/>
      <c r="D2" s="2211"/>
      <c r="E2" s="2211"/>
      <c r="F2" s="2211"/>
      <c r="G2" s="2211"/>
      <c r="H2" s="2211"/>
      <c r="I2" s="2211"/>
      <c r="J2" s="2211"/>
      <c r="K2" s="2211"/>
      <c r="L2" s="2211"/>
      <c r="M2" s="2211"/>
      <c r="N2" s="2211"/>
      <c r="O2" s="2211"/>
      <c r="P2" s="2211"/>
      <c r="Q2" s="2211"/>
      <c r="R2" s="2211"/>
      <c r="S2" s="2211"/>
      <c r="T2" s="2211"/>
      <c r="U2" s="458"/>
    </row>
    <row r="3" spans="1:23" ht="5.25" customHeight="1">
      <c r="B3" s="459"/>
      <c r="C3" s="459"/>
      <c r="D3" s="459"/>
      <c r="E3" s="459"/>
      <c r="F3" s="459"/>
      <c r="G3" s="459"/>
      <c r="H3" s="459"/>
      <c r="I3" s="459"/>
      <c r="J3" s="459"/>
      <c r="K3" s="459"/>
      <c r="L3" s="459"/>
      <c r="M3" s="459"/>
      <c r="N3" s="459"/>
      <c r="O3" s="459"/>
      <c r="P3" s="459"/>
      <c r="Q3" s="459"/>
      <c r="R3" s="459"/>
      <c r="S3" s="457"/>
      <c r="T3" s="459"/>
      <c r="U3" s="459"/>
    </row>
    <row r="4" spans="1:23" ht="78" customHeight="1">
      <c r="B4" s="2212" t="s">
        <v>919</v>
      </c>
      <c r="C4" s="2212"/>
      <c r="D4" s="2212"/>
      <c r="E4" s="2212"/>
      <c r="F4" s="2212"/>
      <c r="G4" s="2212"/>
      <c r="H4" s="2212"/>
      <c r="I4" s="2212"/>
      <c r="J4" s="2212"/>
      <c r="K4" s="2212"/>
      <c r="L4" s="2212"/>
      <c r="M4" s="2212"/>
      <c r="N4" s="2212"/>
      <c r="O4" s="2212"/>
      <c r="P4" s="2212"/>
      <c r="Q4" s="2212"/>
      <c r="R4" s="2212"/>
      <c r="S4" s="2212"/>
      <c r="T4" s="460"/>
      <c r="U4" s="460"/>
    </row>
    <row r="5" spans="1:23" ht="14.4">
      <c r="K5" s="457"/>
      <c r="L5" s="457"/>
      <c r="M5" s="457"/>
      <c r="N5" s="457"/>
      <c r="Q5" s="461"/>
      <c r="R5" s="461"/>
      <c r="S5" s="461"/>
      <c r="W5" s="454" t="s">
        <v>920</v>
      </c>
    </row>
    <row r="6" spans="1:23" ht="18.75" customHeight="1">
      <c r="B6" s="462" t="s">
        <v>921</v>
      </c>
      <c r="C6" s="463"/>
      <c r="D6" s="463"/>
      <c r="E6" s="463"/>
      <c r="F6" s="463"/>
      <c r="G6" s="463"/>
      <c r="H6" s="463"/>
      <c r="I6" s="463"/>
      <c r="J6" s="463"/>
      <c r="K6" s="463"/>
      <c r="L6" s="463"/>
      <c r="M6"/>
      <c r="N6"/>
      <c r="O6"/>
      <c r="P6"/>
      <c r="Q6"/>
      <c r="R6"/>
      <c r="T6" s="464"/>
      <c r="U6" s="464"/>
    </row>
    <row r="7" spans="1:23">
      <c r="B7" s="465"/>
      <c r="C7" s="466"/>
      <c r="D7" s="467"/>
      <c r="E7" s="468"/>
      <c r="F7" s="2213" t="s">
        <v>922</v>
      </c>
      <c r="G7" s="469"/>
      <c r="H7" s="470"/>
      <c r="I7" s="470"/>
      <c r="J7" s="471" t="s">
        <v>877</v>
      </c>
      <c r="K7" s="508"/>
      <c r="L7" s="470" t="s">
        <v>878</v>
      </c>
      <c r="M7" s="470"/>
      <c r="N7" s="470"/>
      <c r="O7" s="472"/>
      <c r="P7" s="2215">
        <f>K7+1</f>
        <v>1</v>
      </c>
      <c r="Q7" s="2216"/>
      <c r="R7" s="2217"/>
      <c r="S7" s="2218" t="s">
        <v>923</v>
      </c>
      <c r="T7" s="464"/>
      <c r="U7" s="464"/>
    </row>
    <row r="8" spans="1:23">
      <c r="B8" s="473"/>
      <c r="C8" s="474"/>
      <c r="D8" s="475"/>
      <c r="E8" s="476"/>
      <c r="F8" s="2214"/>
      <c r="G8" s="477" t="s">
        <v>302</v>
      </c>
      <c r="H8" s="478" t="s">
        <v>126</v>
      </c>
      <c r="I8" s="477" t="s">
        <v>127</v>
      </c>
      <c r="J8" s="478" t="s">
        <v>128</v>
      </c>
      <c r="K8" s="478" t="s">
        <v>129</v>
      </c>
      <c r="L8" s="479" t="s">
        <v>130</v>
      </c>
      <c r="M8" s="477" t="s">
        <v>924</v>
      </c>
      <c r="N8" s="478" t="s">
        <v>665</v>
      </c>
      <c r="O8" s="478" t="s">
        <v>666</v>
      </c>
      <c r="P8" s="477" t="s">
        <v>131</v>
      </c>
      <c r="Q8" s="478" t="s">
        <v>132</v>
      </c>
      <c r="R8" s="478" t="s">
        <v>133</v>
      </c>
      <c r="S8" s="2219"/>
      <c r="T8" s="464"/>
      <c r="U8" s="464"/>
    </row>
    <row r="9" spans="1:23" ht="29.25" customHeight="1">
      <c r="B9" s="2196" t="s">
        <v>925</v>
      </c>
      <c r="C9" s="2220" t="s">
        <v>926</v>
      </c>
      <c r="D9" s="2221"/>
      <c r="E9" s="2222"/>
      <c r="F9" s="480">
        <v>0.25</v>
      </c>
      <c r="G9" s="509"/>
      <c r="H9" s="509"/>
      <c r="I9" s="509"/>
      <c r="J9" s="509"/>
      <c r="K9" s="509"/>
      <c r="L9" s="509"/>
      <c r="M9" s="509"/>
      <c r="N9" s="509"/>
      <c r="O9" s="509"/>
      <c r="P9" s="509"/>
      <c r="Q9" s="509"/>
      <c r="R9" s="509"/>
      <c r="S9" s="481"/>
      <c r="T9" s="457"/>
      <c r="U9" s="457"/>
    </row>
    <row r="10" spans="1:23" ht="29.25" customHeight="1">
      <c r="B10" s="2197"/>
      <c r="C10" s="2223" t="s">
        <v>927</v>
      </c>
      <c r="D10" s="2224"/>
      <c r="E10" s="2225"/>
      <c r="F10" s="482">
        <v>0.5</v>
      </c>
      <c r="G10" s="510"/>
      <c r="H10" s="510"/>
      <c r="I10" s="510"/>
      <c r="J10" s="510"/>
      <c r="K10" s="510"/>
      <c r="L10" s="510"/>
      <c r="M10" s="510"/>
      <c r="N10" s="510"/>
      <c r="O10" s="510"/>
      <c r="P10" s="510"/>
      <c r="Q10" s="510"/>
      <c r="R10" s="510"/>
      <c r="S10" s="481"/>
      <c r="T10" s="457"/>
      <c r="U10" s="457"/>
    </row>
    <row r="11" spans="1:23" ht="29.25" customHeight="1">
      <c r="B11" s="2198"/>
      <c r="C11" s="2223" t="s">
        <v>928</v>
      </c>
      <c r="D11" s="2224"/>
      <c r="E11" s="2225"/>
      <c r="F11" s="482">
        <v>0.75</v>
      </c>
      <c r="G11" s="510"/>
      <c r="H11" s="510"/>
      <c r="I11" s="510"/>
      <c r="J11" s="510"/>
      <c r="K11" s="510"/>
      <c r="L11" s="510"/>
      <c r="M11" s="510"/>
      <c r="N11" s="510"/>
      <c r="O11" s="510"/>
      <c r="P11" s="510"/>
      <c r="Q11" s="510"/>
      <c r="R11" s="510"/>
      <c r="S11" s="481"/>
      <c r="T11" s="457"/>
      <c r="U11" s="457"/>
    </row>
    <row r="12" spans="1:23" ht="29.25" customHeight="1">
      <c r="B12" s="2199"/>
      <c r="C12" s="2226" t="s">
        <v>929</v>
      </c>
      <c r="D12" s="2227"/>
      <c r="E12" s="2228"/>
      <c r="F12" s="483">
        <v>1</v>
      </c>
      <c r="G12" s="511"/>
      <c r="H12" s="511"/>
      <c r="I12" s="511"/>
      <c r="J12" s="511"/>
      <c r="K12" s="511"/>
      <c r="L12" s="511"/>
      <c r="M12" s="511"/>
      <c r="N12" s="511"/>
      <c r="O12" s="511"/>
      <c r="P12" s="511"/>
      <c r="Q12" s="511"/>
      <c r="R12" s="511"/>
      <c r="S12" s="481"/>
      <c r="T12" s="457"/>
      <c r="U12" s="457"/>
    </row>
    <row r="13" spans="1:23" ht="29.25" customHeight="1">
      <c r="B13" s="2196" t="s">
        <v>930</v>
      </c>
      <c r="C13" s="2200" t="s">
        <v>931</v>
      </c>
      <c r="D13" s="2203" t="s">
        <v>932</v>
      </c>
      <c r="E13" s="2204"/>
      <c r="F13" s="484">
        <v>0.25</v>
      </c>
      <c r="G13" s="512"/>
      <c r="H13" s="513"/>
      <c r="I13" s="512"/>
      <c r="J13" s="513"/>
      <c r="K13" s="513"/>
      <c r="L13" s="514"/>
      <c r="M13" s="512"/>
      <c r="N13" s="513"/>
      <c r="O13" s="509"/>
      <c r="P13" s="512"/>
      <c r="Q13" s="513"/>
      <c r="R13" s="513"/>
      <c r="S13" s="481"/>
      <c r="T13" s="457"/>
      <c r="U13" s="457"/>
    </row>
    <row r="14" spans="1:23" ht="29.25" customHeight="1">
      <c r="B14" s="2197"/>
      <c r="C14" s="2201"/>
      <c r="D14" s="2205" t="s">
        <v>933</v>
      </c>
      <c r="E14" s="2206"/>
      <c r="F14" s="485">
        <v>0.5</v>
      </c>
      <c r="G14" s="515"/>
      <c r="H14" s="510"/>
      <c r="I14" s="515"/>
      <c r="J14" s="510"/>
      <c r="K14" s="510"/>
      <c r="L14" s="516"/>
      <c r="M14" s="515"/>
      <c r="N14" s="510"/>
      <c r="O14" s="510"/>
      <c r="P14" s="515"/>
      <c r="Q14" s="510"/>
      <c r="R14" s="510"/>
      <c r="S14" s="481"/>
      <c r="T14" s="457"/>
      <c r="U14" s="457"/>
    </row>
    <row r="15" spans="1:23" ht="29.25" customHeight="1">
      <c r="B15" s="2198"/>
      <c r="C15" s="2201"/>
      <c r="D15" s="2205" t="s">
        <v>934</v>
      </c>
      <c r="E15" s="2206"/>
      <c r="F15" s="485">
        <v>0.75</v>
      </c>
      <c r="G15" s="515"/>
      <c r="H15" s="510"/>
      <c r="I15" s="515"/>
      <c r="J15" s="510"/>
      <c r="K15" s="510"/>
      <c r="L15" s="516"/>
      <c r="M15" s="515"/>
      <c r="N15" s="510"/>
      <c r="O15" s="510"/>
      <c r="P15" s="515"/>
      <c r="Q15" s="510"/>
      <c r="R15" s="510"/>
      <c r="S15" s="481"/>
      <c r="T15" s="457"/>
      <c r="U15" s="457"/>
    </row>
    <row r="16" spans="1:23" ht="29.25" customHeight="1">
      <c r="B16" s="2198"/>
      <c r="C16" s="2202"/>
      <c r="D16" s="2207" t="s">
        <v>935</v>
      </c>
      <c r="E16" s="2208"/>
      <c r="F16" s="486">
        <v>1</v>
      </c>
      <c r="G16" s="517"/>
      <c r="H16" s="518"/>
      <c r="I16" s="517"/>
      <c r="J16" s="518"/>
      <c r="K16" s="518"/>
      <c r="L16" s="519"/>
      <c r="M16" s="517"/>
      <c r="N16" s="518"/>
      <c r="O16" s="518"/>
      <c r="P16" s="517"/>
      <c r="Q16" s="518"/>
      <c r="R16" s="518"/>
      <c r="S16" s="481"/>
      <c r="T16" s="457"/>
      <c r="U16" s="457"/>
    </row>
    <row r="17" spans="2:21" ht="29.25" customHeight="1">
      <c r="B17" s="2199"/>
      <c r="C17" s="487" t="s">
        <v>936</v>
      </c>
      <c r="D17" s="2209" t="s">
        <v>937</v>
      </c>
      <c r="E17" s="2210"/>
      <c r="F17" s="488">
        <v>1</v>
      </c>
      <c r="G17" s="512"/>
      <c r="H17" s="513"/>
      <c r="I17" s="512"/>
      <c r="J17" s="513"/>
      <c r="K17" s="513"/>
      <c r="L17" s="514"/>
      <c r="M17" s="512"/>
      <c r="N17" s="513"/>
      <c r="O17" s="513"/>
      <c r="P17" s="512"/>
      <c r="Q17" s="513"/>
      <c r="R17" s="513"/>
      <c r="S17" s="481"/>
      <c r="T17" s="457"/>
      <c r="U17" s="457"/>
    </row>
    <row r="18" spans="2:21" ht="3.75" customHeight="1">
      <c r="B18" s="489"/>
      <c r="C18" s="490"/>
      <c r="D18" s="491"/>
      <c r="E18" s="491"/>
      <c r="F18" s="492"/>
      <c r="G18" s="493"/>
      <c r="H18" s="494"/>
      <c r="I18" s="494"/>
      <c r="J18" s="494"/>
      <c r="K18" s="494"/>
      <c r="L18" s="494"/>
      <c r="M18" s="494"/>
      <c r="N18" s="494"/>
      <c r="O18" s="494"/>
      <c r="P18" s="494"/>
      <c r="Q18" s="494"/>
      <c r="R18" s="494"/>
      <c r="S18" s="495"/>
      <c r="T18" s="457"/>
      <c r="U18" s="457"/>
    </row>
    <row r="19" spans="2:21" ht="18" customHeight="1">
      <c r="B19" s="496"/>
      <c r="C19" s="2177" t="s">
        <v>938</v>
      </c>
      <c r="D19" s="2177"/>
      <c r="E19" s="2177"/>
      <c r="F19" s="497"/>
      <c r="G19" s="520">
        <f>$F$9*G9+$F$11*G11+$F$10*G10+$F$12*G12+$F$13*G13+$F$14*G14+$F$15*G15+$F$16*G16+$F$17*G17</f>
        <v>0</v>
      </c>
      <c r="H19" s="520">
        <f t="shared" ref="H19:R19" si="0">$F$9*H9+$F$11*H11+$F$10*H10+$F$12*H12+$F$13*H13+$F$14*H14+$F$15*H15+$F$16*H16+$F$17*H17</f>
        <v>0</v>
      </c>
      <c r="I19" s="520">
        <f t="shared" si="0"/>
        <v>0</v>
      </c>
      <c r="J19" s="520">
        <f t="shared" si="0"/>
        <v>0</v>
      </c>
      <c r="K19" s="520">
        <f t="shared" si="0"/>
        <v>0</v>
      </c>
      <c r="L19" s="520">
        <f t="shared" si="0"/>
        <v>0</v>
      </c>
      <c r="M19" s="520">
        <f t="shared" si="0"/>
        <v>0</v>
      </c>
      <c r="N19" s="520">
        <f t="shared" si="0"/>
        <v>0</v>
      </c>
      <c r="O19" s="520">
        <f t="shared" si="0"/>
        <v>0</v>
      </c>
      <c r="P19" s="520">
        <f t="shared" si="0"/>
        <v>0</v>
      </c>
      <c r="Q19" s="520">
        <f t="shared" si="0"/>
        <v>0</v>
      </c>
      <c r="R19" s="520">
        <f t="shared" si="0"/>
        <v>0</v>
      </c>
      <c r="S19" s="481"/>
      <c r="T19" s="457"/>
      <c r="U19" s="457"/>
    </row>
    <row r="20" spans="2:21" ht="18" customHeight="1">
      <c r="B20" s="2178" t="s">
        <v>939</v>
      </c>
      <c r="C20" s="2179"/>
      <c r="D20" s="2179"/>
      <c r="E20" s="2180"/>
      <c r="F20" s="484">
        <v>0.8571428571428571</v>
      </c>
      <c r="G20" s="521"/>
      <c r="H20" s="521"/>
      <c r="I20" s="521"/>
      <c r="J20" s="521"/>
      <c r="K20" s="521"/>
      <c r="L20" s="521"/>
      <c r="M20" s="521"/>
      <c r="N20" s="521"/>
      <c r="O20" s="521"/>
      <c r="P20" s="521"/>
      <c r="Q20" s="521"/>
      <c r="R20" s="521"/>
      <c r="S20" s="498"/>
      <c r="T20" s="457"/>
      <c r="U20" s="457"/>
    </row>
    <row r="21" spans="2:21" ht="18" customHeight="1">
      <c r="B21" s="499"/>
      <c r="C21" s="2181" t="s">
        <v>940</v>
      </c>
      <c r="D21" s="2181"/>
      <c r="E21" s="2181"/>
      <c r="F21" s="500"/>
      <c r="G21" s="522">
        <f>IF(G20="",G19,ROUND(G19*6/7,2))</f>
        <v>0</v>
      </c>
      <c r="H21" s="522">
        <f t="shared" ref="H21:R21" si="1">IF(H20="",H19,ROUND(H19*6/7,2))</f>
        <v>0</v>
      </c>
      <c r="I21" s="523">
        <f t="shared" si="1"/>
        <v>0</v>
      </c>
      <c r="J21" s="523">
        <f t="shared" si="1"/>
        <v>0</v>
      </c>
      <c r="K21" s="523">
        <f t="shared" si="1"/>
        <v>0</v>
      </c>
      <c r="L21" s="523">
        <f t="shared" si="1"/>
        <v>0</v>
      </c>
      <c r="M21" s="523">
        <f t="shared" si="1"/>
        <v>0</v>
      </c>
      <c r="N21" s="523">
        <f t="shared" si="1"/>
        <v>0</v>
      </c>
      <c r="O21" s="523">
        <f t="shared" si="1"/>
        <v>0</v>
      </c>
      <c r="P21" s="520">
        <f t="shared" si="1"/>
        <v>0</v>
      </c>
      <c r="Q21" s="520">
        <f t="shared" si="1"/>
        <v>0</v>
      </c>
      <c r="R21" s="520">
        <f t="shared" si="1"/>
        <v>0</v>
      </c>
      <c r="S21" s="524">
        <f>SUM(G21:Q21)</f>
        <v>0</v>
      </c>
      <c r="T21" s="501" t="s">
        <v>941</v>
      </c>
      <c r="U21" s="502"/>
    </row>
    <row r="22" spans="2:21" ht="45" customHeight="1" thickBot="1">
      <c r="B22" s="2182" t="s">
        <v>942</v>
      </c>
      <c r="C22" s="2183"/>
      <c r="D22" s="2183"/>
      <c r="E22" s="2183"/>
      <c r="F22" s="2183"/>
      <c r="G22" s="2183"/>
      <c r="H22" s="2183"/>
      <c r="I22" s="2183"/>
      <c r="J22" s="2183"/>
      <c r="K22" s="2183"/>
      <c r="L22" s="2183"/>
      <c r="M22" s="2183"/>
      <c r="N22" s="2183"/>
      <c r="O22" s="2184"/>
      <c r="P22" s="2190" t="s">
        <v>943</v>
      </c>
      <c r="Q22" s="2190"/>
      <c r="R22" s="2191"/>
      <c r="S22" s="525">
        <f>COUNTIF(G21:Q21,"&gt;0")</f>
        <v>0</v>
      </c>
      <c r="T22" s="502" t="s">
        <v>944</v>
      </c>
      <c r="U22" s="502"/>
    </row>
    <row r="23" spans="2:21" ht="45" customHeight="1" thickBot="1">
      <c r="B23" s="2185"/>
      <c r="C23" s="2166"/>
      <c r="D23" s="2166"/>
      <c r="E23" s="2166"/>
      <c r="F23" s="2166"/>
      <c r="G23" s="2166"/>
      <c r="H23" s="2166"/>
      <c r="I23" s="2166"/>
      <c r="J23" s="2166"/>
      <c r="K23" s="2166"/>
      <c r="L23" s="2166"/>
      <c r="M23" s="2166"/>
      <c r="N23" s="2166"/>
      <c r="O23" s="2186"/>
      <c r="P23" s="2192" t="s">
        <v>945</v>
      </c>
      <c r="Q23" s="2192"/>
      <c r="R23" s="2193"/>
      <c r="S23" s="526" t="str">
        <f>IF(S22&lt;1,"",S21/S22)</f>
        <v/>
      </c>
      <c r="T23" s="503" t="s">
        <v>946</v>
      </c>
      <c r="U23" s="503"/>
    </row>
    <row r="24" spans="2:21" ht="126.75" customHeight="1">
      <c r="B24" s="2187"/>
      <c r="C24" s="2188"/>
      <c r="D24" s="2188"/>
      <c r="E24" s="2188"/>
      <c r="F24" s="2188"/>
      <c r="G24" s="2188"/>
      <c r="H24" s="2188"/>
      <c r="I24" s="2188"/>
      <c r="J24" s="2188"/>
      <c r="K24" s="2188"/>
      <c r="L24" s="2188"/>
      <c r="M24" s="2188"/>
      <c r="N24" s="2188"/>
      <c r="O24" s="2189"/>
      <c r="P24" s="2194" t="s">
        <v>947</v>
      </c>
      <c r="Q24" s="2195"/>
      <c r="R24" s="2195"/>
      <c r="S24" s="2195"/>
      <c r="T24" s="457"/>
      <c r="U24" s="457"/>
    </row>
    <row r="25" spans="2:21">
      <c r="B25" s="504"/>
      <c r="C25" s="504"/>
      <c r="D25" s="504"/>
      <c r="E25" s="504"/>
      <c r="F25" s="504"/>
      <c r="G25" s="504"/>
      <c r="H25" s="504"/>
      <c r="I25" s="504"/>
      <c r="J25" s="504"/>
      <c r="K25" s="504"/>
      <c r="L25" s="504"/>
      <c r="M25" s="504"/>
      <c r="N25" s="504"/>
    </row>
    <row r="26" spans="2:21" ht="14.4">
      <c r="B26" s="462" t="s">
        <v>948</v>
      </c>
      <c r="C26" s="504"/>
      <c r="D26" s="504"/>
      <c r="E26" s="504"/>
      <c r="F26" s="504"/>
      <c r="G26" s="504"/>
      <c r="H26" s="504"/>
      <c r="I26" s="504"/>
      <c r="J26" s="504"/>
      <c r="K26" s="504"/>
      <c r="L26" s="504"/>
      <c r="M26" s="504"/>
      <c r="N26" s="504"/>
    </row>
    <row r="27" spans="2:21" ht="6" customHeight="1" thickBot="1">
      <c r="B27" s="504"/>
      <c r="C27" s="504"/>
      <c r="D27" s="504"/>
      <c r="E27" s="504"/>
      <c r="F27" s="504"/>
      <c r="G27" s="504"/>
      <c r="H27" s="504"/>
      <c r="I27" s="504"/>
      <c r="J27" s="504"/>
      <c r="K27" s="504"/>
      <c r="L27" s="504"/>
      <c r="M27" s="504"/>
      <c r="N27" s="504"/>
    </row>
    <row r="28" spans="2:21" ht="13.5" customHeight="1">
      <c r="B28" s="2167" t="s">
        <v>949</v>
      </c>
      <c r="C28" s="2168"/>
      <c r="D28" s="504"/>
      <c r="E28" s="504"/>
      <c r="F28" s="504"/>
      <c r="G28" s="2169" t="s">
        <v>950</v>
      </c>
      <c r="H28" s="2170"/>
      <c r="I28" s="504"/>
      <c r="J28" s="2171" t="s">
        <v>951</v>
      </c>
      <c r="K28" s="2172"/>
      <c r="M28" s="504"/>
      <c r="N28" s="504"/>
    </row>
    <row r="29" spans="2:21" ht="27.75" customHeight="1" thickBot="1">
      <c r="B29" s="2173"/>
      <c r="C29" s="2174"/>
      <c r="D29" s="505" t="s">
        <v>952</v>
      </c>
      <c r="E29" s="506">
        <v>0.9</v>
      </c>
      <c r="F29" s="505" t="s">
        <v>952</v>
      </c>
      <c r="G29" s="2173"/>
      <c r="H29" s="2174"/>
      <c r="I29" s="505" t="s">
        <v>953</v>
      </c>
      <c r="J29" s="2175">
        <f>B29*E29*G29</f>
        <v>0</v>
      </c>
      <c r="K29" s="2176"/>
      <c r="M29" s="504"/>
      <c r="N29" s="504"/>
    </row>
    <row r="30" spans="2:21" ht="93.6" customHeight="1">
      <c r="B30" s="2166" t="s">
        <v>954</v>
      </c>
      <c r="C30" s="2166"/>
      <c r="D30" s="2166"/>
      <c r="E30" s="2166"/>
      <c r="F30" s="2166"/>
      <c r="G30" s="2166"/>
      <c r="H30" s="2166"/>
      <c r="I30" s="2166"/>
      <c r="J30" s="2166"/>
      <c r="K30" s="2166"/>
      <c r="L30" s="2166"/>
      <c r="M30" s="2166"/>
      <c r="N30" s="2166"/>
      <c r="O30" s="2166"/>
      <c r="P30" s="2166"/>
      <c r="Q30" s="2166"/>
      <c r="R30" s="2166"/>
      <c r="S30" s="2166"/>
    </row>
    <row r="31" spans="2:21">
      <c r="B31" s="504"/>
      <c r="C31" s="504"/>
      <c r="D31" s="504"/>
      <c r="E31" s="504"/>
      <c r="F31" s="504"/>
      <c r="G31" s="504"/>
      <c r="H31" s="504"/>
      <c r="I31" s="504"/>
      <c r="J31" s="504"/>
      <c r="K31" s="504"/>
      <c r="L31" s="504"/>
      <c r="M31" s="504"/>
      <c r="N31" s="504"/>
    </row>
    <row r="32" spans="2:21">
      <c r="B32" s="504"/>
      <c r="C32" s="504"/>
      <c r="D32" s="504"/>
      <c r="E32" s="504"/>
      <c r="F32" s="504"/>
      <c r="G32" s="504"/>
      <c r="H32" s="504"/>
      <c r="I32" s="504"/>
      <c r="J32" s="504"/>
      <c r="K32" s="504"/>
      <c r="L32" s="504"/>
      <c r="M32" s="504"/>
      <c r="N32" s="504"/>
    </row>
    <row r="33" spans="2:19">
      <c r="B33" s="507"/>
      <c r="C33" s="507"/>
      <c r="D33" s="507"/>
      <c r="E33" s="507"/>
      <c r="F33" s="507"/>
      <c r="G33" s="507"/>
      <c r="H33" s="507"/>
      <c r="I33" s="507"/>
      <c r="J33" s="507"/>
      <c r="K33" s="507"/>
      <c r="L33" s="507"/>
      <c r="M33" s="507"/>
      <c r="N33" s="507"/>
      <c r="O33" s="507"/>
      <c r="P33" s="507"/>
      <c r="Q33" s="507"/>
      <c r="R33" s="507"/>
      <c r="S33" s="507"/>
    </row>
  </sheetData>
  <mergeCells count="31">
    <mergeCell ref="B9:B12"/>
    <mergeCell ref="C9:E9"/>
    <mergeCell ref="C10:E10"/>
    <mergeCell ref="C11:E11"/>
    <mergeCell ref="C12:E12"/>
    <mergeCell ref="A2:T2"/>
    <mergeCell ref="B4:S4"/>
    <mergeCell ref="F7:F8"/>
    <mergeCell ref="P7:R7"/>
    <mergeCell ref="S7:S8"/>
    <mergeCell ref="B13:B17"/>
    <mergeCell ref="C13:C16"/>
    <mergeCell ref="D13:E13"/>
    <mergeCell ref="D14:E14"/>
    <mergeCell ref="D15:E15"/>
    <mergeCell ref="D16:E16"/>
    <mergeCell ref="D17:E17"/>
    <mergeCell ref="C19:E19"/>
    <mergeCell ref="B20:E20"/>
    <mergeCell ref="C21:E21"/>
    <mergeCell ref="B22:O24"/>
    <mergeCell ref="P22:R22"/>
    <mergeCell ref="P23:R23"/>
    <mergeCell ref="P24:S24"/>
    <mergeCell ref="B30:S30"/>
    <mergeCell ref="B28:C28"/>
    <mergeCell ref="G28:H28"/>
    <mergeCell ref="J28:K28"/>
    <mergeCell ref="B29:C29"/>
    <mergeCell ref="G29:H29"/>
    <mergeCell ref="J29:K29"/>
  </mergeCells>
  <phoneticPr fontId="3"/>
  <dataValidations count="1">
    <dataValidation type="list" allowBlank="1" showInputMessage="1" sqref="G20:R20" xr:uid="{00000000-0002-0000-1700-000000000000}">
      <formula1>"○, "</formula1>
    </dataValidation>
  </dataValidations>
  <pageMargins left="0.7" right="0.7" top="0.75" bottom="0.75" header="0.3" footer="0.3"/>
  <pageSetup scale="62" orientation="landscape" r:id="rId1"/>
  <rowBreaks count="1" manualBreakCount="1">
    <brk id="31" max="19" man="1"/>
  </rowBreaks>
  <colBreaks count="1" manualBreakCount="1">
    <brk id="2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5EE20-AADF-45FE-A653-60D3A163F2A2}">
  <sheetPr>
    <tabColor rgb="FFFF0000"/>
    <pageSetUpPr fitToPage="1"/>
  </sheetPr>
  <dimension ref="B1:BC176"/>
  <sheetViews>
    <sheetView view="pageBreakPreview" zoomScale="70" zoomScaleNormal="85" zoomScaleSheetLayoutView="70" workbookViewId="0">
      <pane xSplit="4" ySplit="18" topLeftCell="E19" activePane="bottomRight" state="frozen"/>
      <selection activeCell="M53" sqref="M53"/>
      <selection pane="topRight" activeCell="M53" sqref="M53"/>
      <selection pane="bottomLeft" activeCell="M53" sqref="M53"/>
      <selection pane="bottomRight"/>
    </sheetView>
  </sheetViews>
  <sheetFormatPr defaultColWidth="9" defaultRowHeight="12"/>
  <cols>
    <col min="1" max="1" width="1" style="85" customWidth="1"/>
    <col min="2" max="2" width="8.21875" style="85" customWidth="1"/>
    <col min="3" max="3" width="29" style="89" customWidth="1"/>
    <col min="4" max="4" width="7.33203125" style="89" customWidth="1"/>
    <col min="5" max="24" width="5.77734375" style="85" customWidth="1"/>
    <col min="25" max="25" width="100.6640625" style="85" customWidth="1"/>
    <col min="26" max="26" width="1.109375" style="85" customWidth="1"/>
    <col min="27" max="55" width="3.109375" style="85" customWidth="1"/>
    <col min="56" max="16384" width="9" style="85"/>
  </cols>
  <sheetData>
    <row r="1" spans="2:55" ht="16.2">
      <c r="B1" s="183" t="s">
        <v>2243</v>
      </c>
    </row>
    <row r="3" spans="2:55" s="87" customFormat="1" ht="13.5" customHeight="1">
      <c r="B3" s="184"/>
      <c r="C3" s="185" t="s">
        <v>119</v>
      </c>
      <c r="D3" s="186"/>
      <c r="E3" s="187">
        <v>2</v>
      </c>
      <c r="F3" s="188" t="s">
        <v>2223</v>
      </c>
      <c r="G3" s="189">
        <v>7</v>
      </c>
      <c r="H3" s="187">
        <v>11</v>
      </c>
      <c r="I3" s="1260" t="s">
        <v>1478</v>
      </c>
      <c r="J3" s="188" t="s">
        <v>1830</v>
      </c>
      <c r="K3" s="187" t="s">
        <v>1831</v>
      </c>
      <c r="L3" s="187" t="s">
        <v>1832</v>
      </c>
      <c r="M3" s="188">
        <v>20</v>
      </c>
      <c r="N3" s="1260">
        <v>22</v>
      </c>
      <c r="O3" s="1260" t="s">
        <v>1706</v>
      </c>
      <c r="P3" s="188">
        <v>24</v>
      </c>
      <c r="Q3" s="1260">
        <v>28</v>
      </c>
      <c r="R3" s="188">
        <v>29</v>
      </c>
      <c r="S3" s="188" t="s">
        <v>1368</v>
      </c>
      <c r="T3" s="188" t="s">
        <v>1369</v>
      </c>
      <c r="U3" s="188">
        <v>35</v>
      </c>
      <c r="V3" s="188">
        <v>38</v>
      </c>
      <c r="W3" s="1260">
        <v>40</v>
      </c>
      <c r="X3" s="1260">
        <v>41</v>
      </c>
      <c r="Y3" s="196" t="s">
        <v>139</v>
      </c>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row>
    <row r="4" spans="2:55" ht="12" customHeight="1">
      <c r="B4" s="190"/>
      <c r="C4" s="191"/>
      <c r="D4" s="192"/>
      <c r="E4" s="1520" t="s">
        <v>667</v>
      </c>
      <c r="F4" s="1520" t="s">
        <v>124</v>
      </c>
      <c r="G4" s="1517" t="s">
        <v>1925</v>
      </c>
      <c r="H4" s="1517" t="s">
        <v>1738</v>
      </c>
      <c r="I4" s="1517" t="s">
        <v>1105</v>
      </c>
      <c r="J4" s="1517" t="s">
        <v>1829</v>
      </c>
      <c r="K4" s="1511" t="s">
        <v>1008</v>
      </c>
      <c r="L4" s="1511" t="s">
        <v>1009</v>
      </c>
      <c r="M4" s="1514" t="s">
        <v>1803</v>
      </c>
      <c r="N4" s="1517" t="s">
        <v>1106</v>
      </c>
      <c r="O4" s="1505" t="s">
        <v>1107</v>
      </c>
      <c r="P4" s="1511" t="s">
        <v>1010</v>
      </c>
      <c r="Q4" s="1517" t="s">
        <v>1616</v>
      </c>
      <c r="R4" s="1523" t="s">
        <v>1371</v>
      </c>
      <c r="S4" s="1523" t="s">
        <v>1370</v>
      </c>
      <c r="T4" s="1502" t="s">
        <v>792</v>
      </c>
      <c r="U4" s="1505" t="s">
        <v>1559</v>
      </c>
      <c r="V4" s="1508" t="s">
        <v>1007</v>
      </c>
      <c r="W4" s="1505" t="s">
        <v>1516</v>
      </c>
      <c r="X4" s="1508" t="s">
        <v>117</v>
      </c>
      <c r="Y4" s="1469" t="s">
        <v>2205</v>
      </c>
      <c r="Z4" s="93"/>
      <c r="AA4" s="93"/>
      <c r="AB4" s="93"/>
      <c r="AC4" s="93"/>
      <c r="AD4" s="97"/>
      <c r="AE4" s="93"/>
      <c r="AF4" s="93"/>
      <c r="AG4" s="93"/>
      <c r="AH4" s="93"/>
      <c r="AI4" s="94"/>
      <c r="AJ4" s="93"/>
      <c r="AK4" s="93"/>
      <c r="AL4" s="93" t="s">
        <v>134</v>
      </c>
      <c r="AM4" s="93"/>
      <c r="AN4" s="93" t="s">
        <v>134</v>
      </c>
      <c r="AO4" s="97"/>
      <c r="AP4" s="97"/>
      <c r="AQ4" s="93"/>
      <c r="AR4" s="93"/>
      <c r="AX4" s="93"/>
      <c r="BC4" s="1456"/>
    </row>
    <row r="5" spans="2:55" ht="12" customHeight="1">
      <c r="B5" s="190"/>
      <c r="C5" s="191"/>
      <c r="D5" s="192"/>
      <c r="E5" s="1521"/>
      <c r="F5" s="1521"/>
      <c r="G5" s="1518"/>
      <c r="H5" s="1518"/>
      <c r="I5" s="1518"/>
      <c r="J5" s="1518"/>
      <c r="K5" s="1512"/>
      <c r="L5" s="1512"/>
      <c r="M5" s="1515"/>
      <c r="N5" s="1518"/>
      <c r="O5" s="1506"/>
      <c r="P5" s="1512"/>
      <c r="Q5" s="1518"/>
      <c r="R5" s="1524"/>
      <c r="S5" s="1524"/>
      <c r="T5" s="1503"/>
      <c r="U5" s="1506"/>
      <c r="V5" s="1509"/>
      <c r="W5" s="1506"/>
      <c r="X5" s="1509"/>
      <c r="Y5" s="1470"/>
      <c r="Z5" s="93"/>
      <c r="AA5" s="93"/>
      <c r="AB5" s="93"/>
      <c r="AC5" s="93"/>
      <c r="AD5" s="93"/>
      <c r="AE5" s="93"/>
      <c r="AF5" s="93"/>
      <c r="AG5" s="93"/>
      <c r="AH5" s="93"/>
      <c r="AI5" s="94"/>
      <c r="AJ5" s="93"/>
      <c r="AK5" s="93"/>
      <c r="AL5" s="93"/>
      <c r="AM5" s="93"/>
      <c r="AN5" s="93"/>
      <c r="AO5" s="93"/>
      <c r="AP5" s="93"/>
      <c r="AQ5" s="93"/>
      <c r="AR5" s="93"/>
      <c r="AU5" s="93"/>
      <c r="AV5" s="94"/>
      <c r="AW5" s="93"/>
      <c r="AX5" s="93"/>
      <c r="AY5" s="93"/>
      <c r="AZ5" s="93"/>
      <c r="BA5" s="93"/>
      <c r="BB5" s="93"/>
      <c r="BC5" s="1456"/>
    </row>
    <row r="6" spans="2:55" ht="12" customHeight="1">
      <c r="B6" s="190"/>
      <c r="C6" s="191"/>
      <c r="D6" s="192"/>
      <c r="E6" s="1521"/>
      <c r="F6" s="1521"/>
      <c r="G6" s="1518"/>
      <c r="H6" s="1518"/>
      <c r="I6" s="1518"/>
      <c r="J6" s="1518"/>
      <c r="K6" s="1512"/>
      <c r="L6" s="1512"/>
      <c r="M6" s="1515"/>
      <c r="N6" s="1518"/>
      <c r="O6" s="1506"/>
      <c r="P6" s="1512"/>
      <c r="Q6" s="1518"/>
      <c r="R6" s="1524"/>
      <c r="S6" s="1524"/>
      <c r="T6" s="1503"/>
      <c r="U6" s="1506"/>
      <c r="V6" s="1509"/>
      <c r="W6" s="1506"/>
      <c r="X6" s="1509"/>
      <c r="Y6" s="1470"/>
      <c r="Z6" s="93"/>
      <c r="AA6" s="93"/>
      <c r="AB6" s="93"/>
      <c r="AC6" s="93"/>
      <c r="AD6" s="93"/>
      <c r="AE6" s="93"/>
      <c r="AF6" s="93"/>
      <c r="AG6" s="93"/>
      <c r="AH6" s="93"/>
      <c r="AI6" s="94"/>
      <c r="AJ6" s="93"/>
      <c r="AK6" s="93"/>
      <c r="AL6" s="93"/>
      <c r="AM6" s="93"/>
      <c r="AN6" s="93"/>
      <c r="AO6" s="93"/>
      <c r="AP6" s="93"/>
      <c r="AQ6" s="93"/>
      <c r="AR6" s="93"/>
      <c r="AU6" s="93"/>
      <c r="AV6" s="94"/>
      <c r="AW6" s="93"/>
      <c r="AX6" s="93"/>
      <c r="AY6" s="93"/>
      <c r="AZ6" s="93"/>
      <c r="BA6" s="93"/>
      <c r="BB6" s="93"/>
      <c r="BC6" s="1456"/>
    </row>
    <row r="7" spans="2:55" ht="12" customHeight="1">
      <c r="B7" s="190"/>
      <c r="C7" s="191"/>
      <c r="D7" s="192"/>
      <c r="E7" s="1521"/>
      <c r="F7" s="1521"/>
      <c r="G7" s="1518"/>
      <c r="H7" s="1518"/>
      <c r="I7" s="1518"/>
      <c r="J7" s="1518"/>
      <c r="K7" s="1512"/>
      <c r="L7" s="1512"/>
      <c r="M7" s="1515"/>
      <c r="N7" s="1518"/>
      <c r="O7" s="1506"/>
      <c r="P7" s="1512"/>
      <c r="Q7" s="1518"/>
      <c r="R7" s="1524"/>
      <c r="S7" s="1524"/>
      <c r="T7" s="1503"/>
      <c r="U7" s="1506"/>
      <c r="V7" s="1509"/>
      <c r="W7" s="1506"/>
      <c r="X7" s="1509"/>
      <c r="Y7" s="1470"/>
      <c r="Z7" s="93"/>
      <c r="AA7" s="93"/>
      <c r="AB7" s="93"/>
      <c r="AC7" s="93"/>
      <c r="AD7" s="93"/>
      <c r="AE7" s="93"/>
      <c r="AF7" s="93"/>
      <c r="AG7" s="93"/>
      <c r="AH7" s="93"/>
      <c r="AI7" s="94"/>
      <c r="AJ7" s="93"/>
      <c r="AK7" s="93"/>
      <c r="AL7" s="93"/>
      <c r="AM7" s="93"/>
      <c r="AN7" s="93"/>
      <c r="AO7" s="93"/>
      <c r="AP7" s="93"/>
      <c r="AQ7" s="93"/>
      <c r="AR7" s="93"/>
      <c r="AU7" s="93"/>
      <c r="AV7" s="94"/>
      <c r="AW7" s="93"/>
      <c r="AX7" s="93"/>
      <c r="AY7" s="93"/>
      <c r="AZ7" s="93"/>
      <c r="BA7" s="93"/>
      <c r="BB7" s="93"/>
      <c r="BC7" s="1456"/>
    </row>
    <row r="8" spans="2:55" ht="12" customHeight="1">
      <c r="B8" s="190"/>
      <c r="C8" s="191"/>
      <c r="D8" s="192"/>
      <c r="E8" s="1521"/>
      <c r="F8" s="1521"/>
      <c r="G8" s="1518"/>
      <c r="H8" s="1518"/>
      <c r="I8" s="1518"/>
      <c r="J8" s="1518"/>
      <c r="K8" s="1512"/>
      <c r="L8" s="1512"/>
      <c r="M8" s="1515"/>
      <c r="N8" s="1518"/>
      <c r="O8" s="1506"/>
      <c r="P8" s="1512"/>
      <c r="Q8" s="1518"/>
      <c r="R8" s="1524"/>
      <c r="S8" s="1524"/>
      <c r="T8" s="1503"/>
      <c r="U8" s="1506"/>
      <c r="V8" s="1509"/>
      <c r="W8" s="1506"/>
      <c r="X8" s="1509"/>
      <c r="Y8" s="1470"/>
      <c r="Z8" s="93"/>
      <c r="AA8" s="93"/>
      <c r="AB8" s="93"/>
      <c r="AC8" s="93"/>
      <c r="AD8" s="93"/>
      <c r="AE8" s="93"/>
      <c r="AF8" s="93"/>
      <c r="AG8" s="93"/>
      <c r="AH8" s="93"/>
      <c r="AI8" s="94"/>
      <c r="AJ8" s="93"/>
      <c r="AK8" s="93"/>
      <c r="AL8" s="93"/>
      <c r="AM8" s="93"/>
      <c r="AN8" s="93"/>
      <c r="AO8" s="93"/>
      <c r="AP8" s="93"/>
      <c r="AQ8" s="93"/>
      <c r="AR8" s="93"/>
      <c r="AU8" s="93"/>
      <c r="AV8" s="94"/>
      <c r="AW8" s="93"/>
      <c r="AX8" s="93"/>
      <c r="AY8" s="93"/>
      <c r="AZ8" s="93"/>
      <c r="BA8" s="93"/>
      <c r="BB8" s="93"/>
      <c r="BC8" s="1456"/>
    </row>
    <row r="9" spans="2:55" ht="12" customHeight="1">
      <c r="B9" s="190"/>
      <c r="C9" s="191"/>
      <c r="D9" s="192"/>
      <c r="E9" s="1521"/>
      <c r="F9" s="1521"/>
      <c r="G9" s="1518"/>
      <c r="H9" s="1518"/>
      <c r="I9" s="1518"/>
      <c r="J9" s="1518"/>
      <c r="K9" s="1512"/>
      <c r="L9" s="1512"/>
      <c r="M9" s="1515"/>
      <c r="N9" s="1518"/>
      <c r="O9" s="1506"/>
      <c r="P9" s="1512"/>
      <c r="Q9" s="1518"/>
      <c r="R9" s="1524"/>
      <c r="S9" s="1524"/>
      <c r="T9" s="1503"/>
      <c r="U9" s="1506"/>
      <c r="V9" s="1509"/>
      <c r="W9" s="1506"/>
      <c r="X9" s="1509"/>
      <c r="Y9" s="1470"/>
      <c r="Z9" s="93"/>
      <c r="AA9" s="93"/>
      <c r="AB9" s="93"/>
      <c r="AC9" s="93"/>
      <c r="AD9" s="93"/>
      <c r="AE9" s="93"/>
      <c r="AF9" s="93"/>
      <c r="AG9" s="93"/>
      <c r="AH9" s="93"/>
      <c r="AI9" s="94"/>
      <c r="AJ9" s="93"/>
      <c r="AK9" s="93"/>
      <c r="AL9" s="93"/>
      <c r="AM9" s="93"/>
      <c r="AN9" s="93"/>
      <c r="AO9" s="93"/>
      <c r="AP9" s="93"/>
      <c r="AQ9" s="93"/>
      <c r="AR9" s="93"/>
      <c r="AU9" s="93"/>
      <c r="AV9" s="94"/>
      <c r="AW9" s="93"/>
      <c r="AX9" s="93"/>
      <c r="AY9" s="93"/>
      <c r="AZ9" s="93"/>
      <c r="BA9" s="93"/>
      <c r="BB9" s="93"/>
      <c r="BC9" s="1456"/>
    </row>
    <row r="10" spans="2:55" ht="12" customHeight="1">
      <c r="B10" s="190"/>
      <c r="C10" s="191"/>
      <c r="D10" s="192"/>
      <c r="E10" s="1521"/>
      <c r="F10" s="1521"/>
      <c r="G10" s="1518"/>
      <c r="H10" s="1518"/>
      <c r="I10" s="1518"/>
      <c r="J10" s="1518"/>
      <c r="K10" s="1512"/>
      <c r="L10" s="1512"/>
      <c r="M10" s="1515"/>
      <c r="N10" s="1518"/>
      <c r="O10" s="1506"/>
      <c r="P10" s="1512"/>
      <c r="Q10" s="1518"/>
      <c r="R10" s="1524"/>
      <c r="S10" s="1524"/>
      <c r="T10" s="1503"/>
      <c r="U10" s="1506"/>
      <c r="V10" s="1509"/>
      <c r="W10" s="1506"/>
      <c r="X10" s="1509"/>
      <c r="Y10" s="1470"/>
      <c r="Z10" s="93"/>
      <c r="AA10" s="93"/>
      <c r="AB10" s="93"/>
      <c r="AC10" s="93"/>
      <c r="AD10" s="93"/>
      <c r="AE10" s="93"/>
      <c r="AF10" s="93"/>
      <c r="AG10" s="93"/>
      <c r="AH10" s="93"/>
      <c r="AI10" s="94"/>
      <c r="AJ10" s="93"/>
      <c r="AK10" s="93"/>
      <c r="AL10" s="93"/>
      <c r="AM10" s="93"/>
      <c r="AN10" s="93"/>
      <c r="AO10" s="93"/>
      <c r="AP10" s="93"/>
      <c r="AQ10" s="93"/>
      <c r="AR10" s="93"/>
      <c r="AU10" s="93"/>
      <c r="AV10" s="94"/>
      <c r="AW10" s="93"/>
      <c r="AX10" s="93"/>
      <c r="AY10" s="93"/>
      <c r="AZ10" s="93"/>
      <c r="BA10" s="93"/>
      <c r="BB10" s="93"/>
      <c r="BC10" s="1456"/>
    </row>
    <row r="11" spans="2:55" ht="12" customHeight="1">
      <c r="B11" s="190"/>
      <c r="C11" s="191"/>
      <c r="D11" s="192"/>
      <c r="E11" s="1521"/>
      <c r="F11" s="1521"/>
      <c r="G11" s="1518"/>
      <c r="H11" s="1518"/>
      <c r="I11" s="1518"/>
      <c r="J11" s="1518"/>
      <c r="K11" s="1512"/>
      <c r="L11" s="1512"/>
      <c r="M11" s="1515"/>
      <c r="N11" s="1518"/>
      <c r="O11" s="1506"/>
      <c r="P11" s="1512"/>
      <c r="Q11" s="1518"/>
      <c r="R11" s="1524"/>
      <c r="S11" s="1524"/>
      <c r="T11" s="1503"/>
      <c r="U11" s="1506"/>
      <c r="V11" s="1509"/>
      <c r="W11" s="1506"/>
      <c r="X11" s="1509"/>
      <c r="Y11" s="1470"/>
      <c r="Z11" s="93"/>
      <c r="AA11" s="93"/>
      <c r="AB11" s="93"/>
      <c r="AC11" s="93"/>
      <c r="AD11" s="93"/>
      <c r="AE11" s="93"/>
      <c r="AF11" s="93"/>
      <c r="AG11" s="93"/>
      <c r="AH11" s="93"/>
      <c r="AI11" s="94"/>
      <c r="AJ11" s="93"/>
      <c r="AK11" s="93"/>
      <c r="AL11" s="93"/>
      <c r="AM11" s="93"/>
      <c r="AN11" s="93"/>
      <c r="AO11" s="93"/>
      <c r="AP11" s="93"/>
      <c r="AQ11" s="93"/>
      <c r="AR11" s="93"/>
      <c r="AU11" s="93"/>
      <c r="AV11" s="94"/>
      <c r="AW11" s="93"/>
      <c r="AX11" s="93"/>
      <c r="AY11" s="93"/>
      <c r="AZ11" s="93"/>
      <c r="BA11" s="93"/>
      <c r="BB11" s="93"/>
      <c r="BC11" s="1456"/>
    </row>
    <row r="12" spans="2:55" ht="12" customHeight="1">
      <c r="B12" s="190"/>
      <c r="C12" s="191"/>
      <c r="D12" s="192"/>
      <c r="E12" s="1521"/>
      <c r="F12" s="1521"/>
      <c r="G12" s="1518"/>
      <c r="H12" s="1518"/>
      <c r="I12" s="1518"/>
      <c r="J12" s="1518"/>
      <c r="K12" s="1512"/>
      <c r="L12" s="1512"/>
      <c r="M12" s="1515"/>
      <c r="N12" s="1518"/>
      <c r="O12" s="1506"/>
      <c r="P12" s="1512"/>
      <c r="Q12" s="1518"/>
      <c r="R12" s="1524"/>
      <c r="S12" s="1524"/>
      <c r="T12" s="1503"/>
      <c r="U12" s="1506"/>
      <c r="V12" s="1509"/>
      <c r="W12" s="1506"/>
      <c r="X12" s="1509"/>
      <c r="Y12" s="1470"/>
      <c r="Z12" s="93"/>
      <c r="AA12" s="93"/>
      <c r="AB12" s="93"/>
      <c r="AC12" s="93"/>
      <c r="AD12" s="93"/>
      <c r="AE12" s="93"/>
      <c r="AF12" s="93"/>
      <c r="AG12" s="93"/>
      <c r="AH12" s="93"/>
      <c r="AI12" s="94"/>
      <c r="AJ12" s="93"/>
      <c r="AK12" s="93"/>
      <c r="AL12" s="93"/>
      <c r="AM12" s="93"/>
      <c r="AN12" s="93"/>
      <c r="AO12" s="93"/>
      <c r="AP12" s="93"/>
      <c r="AQ12" s="93"/>
      <c r="AR12" s="93"/>
      <c r="AU12" s="93"/>
      <c r="AV12" s="94"/>
      <c r="AW12" s="93"/>
      <c r="AX12" s="93"/>
      <c r="AY12" s="93"/>
      <c r="AZ12" s="93"/>
      <c r="BA12" s="93"/>
      <c r="BB12" s="93"/>
      <c r="BC12" s="1456"/>
    </row>
    <row r="13" spans="2:55" ht="12" customHeight="1">
      <c r="B13" s="190"/>
      <c r="C13" s="191"/>
      <c r="D13" s="192"/>
      <c r="E13" s="1521"/>
      <c r="F13" s="1521"/>
      <c r="G13" s="1518"/>
      <c r="H13" s="1518"/>
      <c r="I13" s="1518"/>
      <c r="J13" s="1518"/>
      <c r="K13" s="1512"/>
      <c r="L13" s="1512"/>
      <c r="M13" s="1515"/>
      <c r="N13" s="1518"/>
      <c r="O13" s="1506"/>
      <c r="P13" s="1512"/>
      <c r="Q13" s="1518"/>
      <c r="R13" s="1524"/>
      <c r="S13" s="1524"/>
      <c r="T13" s="1503"/>
      <c r="U13" s="1506"/>
      <c r="V13" s="1509"/>
      <c r="W13" s="1506"/>
      <c r="X13" s="1509"/>
      <c r="Y13" s="1470"/>
      <c r="Z13" s="93"/>
      <c r="AA13" s="93"/>
      <c r="AB13" s="93"/>
      <c r="AC13" s="93"/>
      <c r="AD13" s="93"/>
      <c r="AE13" s="93"/>
      <c r="AF13" s="93"/>
      <c r="AG13" s="93"/>
      <c r="AH13" s="93"/>
      <c r="AI13" s="94"/>
      <c r="AJ13" s="93"/>
      <c r="AK13" s="93"/>
      <c r="AL13" s="93"/>
      <c r="AM13" s="93"/>
      <c r="AN13" s="93"/>
      <c r="AO13" s="93"/>
      <c r="AP13" s="93"/>
      <c r="AQ13" s="93"/>
      <c r="AR13" s="93"/>
      <c r="AU13" s="93"/>
      <c r="AV13" s="94"/>
      <c r="AW13" s="93"/>
      <c r="AX13" s="93"/>
      <c r="AY13" s="93"/>
      <c r="AZ13" s="93"/>
      <c r="BA13" s="93"/>
      <c r="BB13" s="93"/>
      <c r="BC13" s="1456"/>
    </row>
    <row r="14" spans="2:55" ht="12" customHeight="1">
      <c r="B14" s="190"/>
      <c r="C14" s="191"/>
      <c r="D14" s="192"/>
      <c r="E14" s="1521"/>
      <c r="F14" s="1521"/>
      <c r="G14" s="1518"/>
      <c r="H14" s="1518"/>
      <c r="I14" s="1518"/>
      <c r="J14" s="1518"/>
      <c r="K14" s="1512"/>
      <c r="L14" s="1512"/>
      <c r="M14" s="1515"/>
      <c r="N14" s="1518"/>
      <c r="O14" s="1506"/>
      <c r="P14" s="1512"/>
      <c r="Q14" s="1518"/>
      <c r="R14" s="1524"/>
      <c r="S14" s="1524"/>
      <c r="T14" s="1503"/>
      <c r="U14" s="1506"/>
      <c r="V14" s="1509"/>
      <c r="W14" s="1506"/>
      <c r="X14" s="1509"/>
      <c r="Y14" s="1470"/>
      <c r="Z14" s="93"/>
      <c r="AA14" s="93"/>
      <c r="AB14" s="93"/>
      <c r="AC14" s="93"/>
      <c r="AD14" s="93"/>
      <c r="AE14" s="93"/>
      <c r="AF14" s="93"/>
      <c r="AG14" s="93"/>
      <c r="AH14" s="93"/>
      <c r="AI14" s="94"/>
      <c r="AJ14" s="93"/>
      <c r="AK14" s="93"/>
      <c r="AL14" s="93"/>
      <c r="AM14" s="93"/>
      <c r="AN14" s="93"/>
      <c r="AO14" s="93"/>
      <c r="AP14" s="93"/>
      <c r="AQ14" s="93"/>
      <c r="AR14" s="93"/>
      <c r="AU14" s="93"/>
      <c r="AV14" s="94"/>
      <c r="AW14" s="93"/>
      <c r="AX14" s="93"/>
      <c r="AY14" s="93"/>
      <c r="AZ14" s="93"/>
      <c r="BA14" s="93"/>
      <c r="BB14" s="93"/>
      <c r="BC14" s="1456"/>
    </row>
    <row r="15" spans="2:55" ht="12" customHeight="1">
      <c r="B15" s="190"/>
      <c r="C15" s="191"/>
      <c r="D15" s="192"/>
      <c r="E15" s="1521"/>
      <c r="F15" s="1521"/>
      <c r="G15" s="1518"/>
      <c r="H15" s="1518"/>
      <c r="I15" s="1518"/>
      <c r="J15" s="1518"/>
      <c r="K15" s="1512"/>
      <c r="L15" s="1512"/>
      <c r="M15" s="1515"/>
      <c r="N15" s="1518"/>
      <c r="O15" s="1506"/>
      <c r="P15" s="1512"/>
      <c r="Q15" s="1518"/>
      <c r="R15" s="1524"/>
      <c r="S15" s="1524"/>
      <c r="T15" s="1503"/>
      <c r="U15" s="1506"/>
      <c r="V15" s="1509"/>
      <c r="W15" s="1506"/>
      <c r="X15" s="1509"/>
      <c r="Y15" s="1470"/>
      <c r="Z15" s="93"/>
      <c r="AA15" s="93"/>
      <c r="AB15" s="93"/>
      <c r="AC15" s="93"/>
      <c r="AD15" s="93"/>
      <c r="AE15" s="93"/>
      <c r="AF15" s="93"/>
      <c r="AG15" s="93"/>
      <c r="AH15" s="93"/>
      <c r="AI15" s="94"/>
      <c r="AJ15" s="93"/>
      <c r="AK15" s="93"/>
      <c r="AL15" s="93"/>
      <c r="AM15" s="93"/>
      <c r="AN15" s="93"/>
      <c r="AO15" s="93"/>
      <c r="AP15" s="93"/>
      <c r="AQ15" s="93"/>
      <c r="AR15" s="93"/>
      <c r="AU15" s="93"/>
      <c r="AV15" s="94"/>
      <c r="AW15" s="93"/>
      <c r="AX15" s="93"/>
      <c r="AY15" s="93"/>
      <c r="AZ15" s="93"/>
      <c r="BA15" s="93"/>
      <c r="BB15" s="93"/>
      <c r="BC15" s="1456"/>
    </row>
    <row r="16" spans="2:55" ht="12" customHeight="1">
      <c r="B16" s="190"/>
      <c r="C16" s="191"/>
      <c r="D16" s="192"/>
      <c r="E16" s="1521"/>
      <c r="F16" s="1521"/>
      <c r="G16" s="1518"/>
      <c r="H16" s="1518"/>
      <c r="I16" s="1518"/>
      <c r="J16" s="1518"/>
      <c r="K16" s="1512"/>
      <c r="L16" s="1512"/>
      <c r="M16" s="1515"/>
      <c r="N16" s="1518"/>
      <c r="O16" s="1506"/>
      <c r="P16" s="1512"/>
      <c r="Q16" s="1518"/>
      <c r="R16" s="1524"/>
      <c r="S16" s="1524"/>
      <c r="T16" s="1503"/>
      <c r="U16" s="1506"/>
      <c r="V16" s="1509"/>
      <c r="W16" s="1506"/>
      <c r="X16" s="1509"/>
      <c r="Y16" s="1470"/>
      <c r="Z16" s="93"/>
      <c r="AA16" s="93"/>
      <c r="AB16" s="93"/>
      <c r="AC16" s="93"/>
      <c r="AD16" s="93"/>
      <c r="AE16" s="93"/>
      <c r="AF16" s="93"/>
      <c r="AG16" s="93"/>
      <c r="AH16" s="93"/>
      <c r="AI16" s="94"/>
      <c r="AJ16" s="93"/>
      <c r="AK16" s="93"/>
      <c r="AL16" s="93"/>
      <c r="AM16" s="93"/>
      <c r="AN16" s="93"/>
      <c r="AO16" s="93"/>
      <c r="AP16" s="93"/>
      <c r="AQ16" s="93"/>
      <c r="AR16" s="93"/>
      <c r="AU16" s="93"/>
      <c r="AV16" s="94"/>
      <c r="AW16" s="93"/>
      <c r="AX16" s="93"/>
      <c r="AY16" s="93"/>
      <c r="AZ16" s="93"/>
      <c r="BA16" s="93"/>
      <c r="BB16" s="93"/>
      <c r="BC16" s="1456"/>
    </row>
    <row r="17" spans="2:55" ht="12" customHeight="1">
      <c r="B17" s="190"/>
      <c r="C17" s="191"/>
      <c r="D17" s="192"/>
      <c r="E17" s="1521"/>
      <c r="F17" s="1521"/>
      <c r="G17" s="1518"/>
      <c r="H17" s="1518"/>
      <c r="I17" s="1518"/>
      <c r="J17" s="1518"/>
      <c r="K17" s="1512"/>
      <c r="L17" s="1512"/>
      <c r="M17" s="1515"/>
      <c r="N17" s="1518"/>
      <c r="O17" s="1506"/>
      <c r="P17" s="1512"/>
      <c r="Q17" s="1518"/>
      <c r="R17" s="1524"/>
      <c r="S17" s="1524"/>
      <c r="T17" s="1503"/>
      <c r="U17" s="1506"/>
      <c r="V17" s="1509"/>
      <c r="W17" s="1506"/>
      <c r="X17" s="1509"/>
      <c r="Y17" s="1470"/>
      <c r="Z17" s="93"/>
      <c r="AA17" s="93"/>
      <c r="AB17" s="93"/>
      <c r="AC17" s="93"/>
      <c r="AD17" s="93"/>
      <c r="AE17" s="93"/>
      <c r="AF17" s="93"/>
      <c r="AG17" s="93"/>
      <c r="AH17" s="93"/>
      <c r="AI17" s="94"/>
      <c r="AJ17" s="93"/>
      <c r="AK17" s="93"/>
      <c r="AL17" s="93"/>
      <c r="AM17" s="93"/>
      <c r="AN17" s="93"/>
      <c r="AO17" s="93"/>
      <c r="AP17" s="93"/>
      <c r="AQ17" s="93"/>
      <c r="AR17" s="93"/>
      <c r="AS17" s="93"/>
      <c r="AT17" s="93"/>
      <c r="AU17" s="93"/>
      <c r="AV17" s="94"/>
      <c r="AW17" s="93"/>
      <c r="AX17" s="93"/>
      <c r="AY17" s="93"/>
      <c r="AZ17" s="93"/>
      <c r="BA17" s="93"/>
      <c r="BB17" s="93"/>
      <c r="BC17" s="1456"/>
    </row>
    <row r="18" spans="2:55" ht="12" customHeight="1">
      <c r="B18" s="193" t="s">
        <v>120</v>
      </c>
      <c r="C18" s="194" t="s">
        <v>118</v>
      </c>
      <c r="D18" s="195"/>
      <c r="E18" s="1522"/>
      <c r="F18" s="1522"/>
      <c r="G18" s="1519"/>
      <c r="H18" s="1519"/>
      <c r="I18" s="1519"/>
      <c r="J18" s="1519"/>
      <c r="K18" s="1513"/>
      <c r="L18" s="1513"/>
      <c r="M18" s="1516"/>
      <c r="N18" s="1519"/>
      <c r="O18" s="1507"/>
      <c r="P18" s="1513"/>
      <c r="Q18" s="1519"/>
      <c r="R18" s="1525"/>
      <c r="S18" s="1525"/>
      <c r="T18" s="1504"/>
      <c r="U18" s="1507"/>
      <c r="V18" s="1510"/>
      <c r="W18" s="1507"/>
      <c r="X18" s="1510"/>
      <c r="Y18" s="1471"/>
      <c r="Z18" s="93"/>
      <c r="AA18" s="93"/>
      <c r="AB18" s="93"/>
      <c r="AC18" s="93"/>
      <c r="AD18" s="93"/>
      <c r="AE18" s="93"/>
      <c r="AF18" s="93"/>
      <c r="AG18" s="93"/>
      <c r="AH18" s="93"/>
      <c r="AI18" s="94"/>
      <c r="AJ18" s="93"/>
      <c r="AK18" s="93"/>
      <c r="AL18" s="93"/>
      <c r="AM18" s="93"/>
      <c r="AN18" s="93"/>
      <c r="AO18" s="93"/>
      <c r="AP18" s="93"/>
      <c r="AQ18" s="93"/>
      <c r="AR18" s="93"/>
      <c r="AS18" s="93"/>
      <c r="AT18" s="93"/>
      <c r="AU18" s="93"/>
      <c r="AV18" s="94"/>
      <c r="AW18" s="93"/>
      <c r="AX18" s="93"/>
      <c r="AY18" s="93"/>
      <c r="AZ18" s="93"/>
      <c r="BA18" s="93"/>
      <c r="BB18" s="93"/>
      <c r="BC18" s="1456"/>
    </row>
    <row r="19" spans="2:55" ht="13.5" customHeight="1">
      <c r="AG19" s="93"/>
      <c r="AH19" s="93"/>
      <c r="AI19" s="94"/>
      <c r="AJ19" s="93"/>
      <c r="AK19" s="93"/>
      <c r="AL19" s="93"/>
      <c r="AM19" s="93"/>
      <c r="AN19" s="93"/>
    </row>
    <row r="20" spans="2:55" s="90" customFormat="1" ht="16.2">
      <c r="B20" s="197" t="s">
        <v>454</v>
      </c>
      <c r="D20" s="90" t="s">
        <v>326</v>
      </c>
      <c r="E20" s="98"/>
      <c r="F20" s="98"/>
      <c r="G20" s="98"/>
      <c r="H20" s="98"/>
      <c r="I20" s="98"/>
      <c r="J20" s="98"/>
      <c r="K20" s="98"/>
      <c r="L20" s="98"/>
      <c r="M20" s="98"/>
      <c r="N20" s="98"/>
      <c r="O20" s="98"/>
      <c r="P20" s="98"/>
      <c r="Q20" s="98"/>
      <c r="R20" s="98"/>
      <c r="S20" s="98"/>
      <c r="T20" s="98"/>
      <c r="U20" s="98"/>
      <c r="V20" s="98"/>
      <c r="W20" s="98"/>
      <c r="X20" s="98"/>
      <c r="AG20" s="91"/>
      <c r="AH20" s="91"/>
      <c r="AI20" s="91"/>
      <c r="AJ20" s="91"/>
      <c r="AK20" s="91"/>
      <c r="AL20" s="91"/>
      <c r="AM20" s="91"/>
      <c r="AN20" s="91"/>
      <c r="AO20" s="92"/>
      <c r="AP20" s="92"/>
      <c r="AQ20" s="92"/>
      <c r="AR20" s="92"/>
      <c r="AS20" s="92"/>
      <c r="AT20" s="92"/>
      <c r="AU20" s="92"/>
      <c r="AV20" s="92"/>
      <c r="AW20" s="92"/>
      <c r="AX20" s="92"/>
      <c r="AY20" s="92"/>
      <c r="AZ20" s="92"/>
      <c r="BA20" s="92"/>
      <c r="BB20" s="92"/>
      <c r="BC20" s="92"/>
    </row>
    <row r="21" spans="2:55" ht="25.2" customHeight="1">
      <c r="B21" s="323" t="s">
        <v>149</v>
      </c>
      <c r="C21" s="1230" t="s">
        <v>193</v>
      </c>
      <c r="D21" s="1231"/>
      <c r="E21" s="1211" t="s">
        <v>190</v>
      </c>
      <c r="F21" s="1211" t="s">
        <v>190</v>
      </c>
      <c r="G21" s="1232" t="s">
        <v>138</v>
      </c>
      <c r="H21" s="1211"/>
      <c r="I21" s="1261"/>
      <c r="J21" s="1262"/>
      <c r="K21" s="1211"/>
      <c r="L21" s="1211"/>
      <c r="M21" s="1211"/>
      <c r="N21" s="1261"/>
      <c r="O21" s="1261"/>
      <c r="P21" s="1211"/>
      <c r="Q21" s="1261"/>
      <c r="R21" s="1211" t="s">
        <v>190</v>
      </c>
      <c r="S21" s="1211" t="s">
        <v>190</v>
      </c>
      <c r="T21" s="1211"/>
      <c r="U21" s="1262"/>
      <c r="V21" s="1211"/>
      <c r="W21" s="1261"/>
      <c r="X21" s="1232"/>
      <c r="Y21" s="557"/>
      <c r="AI21" s="91"/>
      <c r="AJ21" s="91"/>
      <c r="AK21" s="91"/>
      <c r="AL21" s="91"/>
      <c r="AM21" s="91"/>
      <c r="AN21" s="91"/>
      <c r="AO21" s="91"/>
      <c r="AP21" s="91"/>
      <c r="AQ21" s="91"/>
      <c r="AR21" s="91"/>
      <c r="AS21" s="1455"/>
      <c r="AT21" s="1455"/>
      <c r="AU21" s="1455"/>
      <c r="AV21" s="1455"/>
      <c r="AW21" s="91"/>
      <c r="AX21" s="91"/>
      <c r="AY21" s="91"/>
      <c r="AZ21" s="1455"/>
      <c r="BA21" s="1455"/>
      <c r="BB21" s="1455"/>
      <c r="BC21" s="1455"/>
    </row>
    <row r="22" spans="2:55" ht="25.2" customHeight="1">
      <c r="B22" s="329" t="s">
        <v>150</v>
      </c>
      <c r="C22" s="865" t="s">
        <v>195</v>
      </c>
      <c r="D22" s="1214"/>
      <c r="E22" s="982" t="s">
        <v>190</v>
      </c>
      <c r="F22" s="982" t="s">
        <v>190</v>
      </c>
      <c r="G22" s="1208" t="s">
        <v>138</v>
      </c>
      <c r="H22" s="982"/>
      <c r="I22" s="1208"/>
      <c r="J22" s="982"/>
      <c r="K22" s="982"/>
      <c r="L22" s="982"/>
      <c r="M22" s="982"/>
      <c r="N22" s="1208"/>
      <c r="O22" s="1208"/>
      <c r="P22" s="982"/>
      <c r="Q22" s="1208"/>
      <c r="R22" s="982" t="s">
        <v>190</v>
      </c>
      <c r="S22" s="982" t="s">
        <v>190</v>
      </c>
      <c r="T22" s="982"/>
      <c r="U22" s="982"/>
      <c r="V22" s="982"/>
      <c r="W22" s="1208"/>
      <c r="X22" s="1208"/>
      <c r="Y22" s="334"/>
      <c r="AI22" s="91"/>
      <c r="AJ22" s="91"/>
      <c r="AK22" s="91"/>
      <c r="AL22" s="91"/>
      <c r="AM22" s="91"/>
      <c r="AN22" s="91"/>
      <c r="AO22" s="91"/>
      <c r="AP22" s="91"/>
      <c r="AQ22" s="91"/>
      <c r="AR22" s="91"/>
      <c r="AS22" s="91"/>
      <c r="AT22" s="91"/>
      <c r="AU22" s="91"/>
      <c r="AV22" s="91"/>
      <c r="AW22" s="91"/>
      <c r="AX22" s="91"/>
      <c r="AY22" s="91"/>
      <c r="AZ22" s="91"/>
      <c r="BA22" s="91"/>
      <c r="BB22" s="91"/>
      <c r="BC22" s="91"/>
    </row>
    <row r="23" spans="2:55" ht="25.2" customHeight="1">
      <c r="B23" s="329" t="s">
        <v>151</v>
      </c>
      <c r="C23" s="865" t="s">
        <v>194</v>
      </c>
      <c r="D23" s="1214"/>
      <c r="E23" s="982"/>
      <c r="F23" s="982"/>
      <c r="G23" s="1208"/>
      <c r="H23" s="982"/>
      <c r="I23" s="1208"/>
      <c r="J23" s="982"/>
      <c r="K23" s="982"/>
      <c r="L23" s="982"/>
      <c r="M23" s="982"/>
      <c r="N23" s="1208"/>
      <c r="O23" s="1208"/>
      <c r="P23" s="982"/>
      <c r="Q23" s="1208"/>
      <c r="R23" s="982"/>
      <c r="S23" s="982"/>
      <c r="T23" s="982"/>
      <c r="U23" s="982"/>
      <c r="V23" s="982"/>
      <c r="W23" s="1208"/>
      <c r="X23" s="1208"/>
      <c r="Y23" s="334"/>
      <c r="AI23" s="91"/>
      <c r="AJ23" s="91"/>
      <c r="AK23" s="91"/>
      <c r="AL23" s="91"/>
      <c r="AM23" s="91"/>
      <c r="AN23" s="91"/>
      <c r="AO23" s="91"/>
      <c r="AP23" s="91"/>
      <c r="AQ23" s="91"/>
      <c r="AR23" s="91"/>
      <c r="AS23" s="91"/>
      <c r="AT23" s="91"/>
      <c r="AU23" s="91"/>
      <c r="AV23" s="91"/>
      <c r="AW23" s="91"/>
      <c r="AX23" s="91"/>
      <c r="AY23" s="91"/>
      <c r="AZ23" s="91"/>
      <c r="BA23" s="91"/>
      <c r="BB23" s="91"/>
      <c r="BC23" s="91"/>
    </row>
    <row r="24" spans="2:55" ht="25.2" customHeight="1">
      <c r="B24" s="329" t="s">
        <v>152</v>
      </c>
      <c r="C24" s="1214" t="s">
        <v>108</v>
      </c>
      <c r="D24" s="865" t="s">
        <v>164</v>
      </c>
      <c r="E24" s="982" t="s">
        <v>137</v>
      </c>
      <c r="F24" s="982" t="s">
        <v>137</v>
      </c>
      <c r="G24" s="1208" t="s">
        <v>138</v>
      </c>
      <c r="H24" s="1208"/>
      <c r="I24" s="1263"/>
      <c r="J24" s="1263"/>
      <c r="K24" s="1263"/>
      <c r="L24" s="1263"/>
      <c r="M24" s="1263"/>
      <c r="N24" s="1263"/>
      <c r="O24" s="1263"/>
      <c r="P24" s="1263"/>
      <c r="Q24" s="1263"/>
      <c r="R24" s="1263"/>
      <c r="S24" s="1263"/>
      <c r="T24" s="1263"/>
      <c r="U24" s="1263"/>
      <c r="V24" s="1263"/>
      <c r="W24" s="1263"/>
      <c r="X24" s="1263"/>
      <c r="Y24" s="334" t="s">
        <v>452</v>
      </c>
      <c r="AI24" s="91"/>
      <c r="AJ24" s="91"/>
      <c r="AK24" s="91"/>
      <c r="AL24" s="91"/>
      <c r="AM24" s="91"/>
      <c r="AN24" s="91"/>
      <c r="AO24" s="91"/>
      <c r="AP24" s="91"/>
      <c r="AQ24" s="91"/>
      <c r="AR24" s="91"/>
      <c r="AS24" s="91"/>
      <c r="AT24" s="91"/>
      <c r="AU24" s="91"/>
      <c r="AV24" s="91"/>
      <c r="AW24" s="91"/>
      <c r="AX24" s="91"/>
      <c r="AY24" s="91"/>
      <c r="AZ24" s="91"/>
      <c r="BA24" s="91"/>
      <c r="BB24" s="91"/>
      <c r="BC24" s="91"/>
    </row>
    <row r="25" spans="2:55" ht="25.2" customHeight="1">
      <c r="B25" s="329" t="s">
        <v>153</v>
      </c>
      <c r="C25" s="865" t="s">
        <v>90</v>
      </c>
      <c r="D25" s="1214" t="s">
        <v>164</v>
      </c>
      <c r="E25" s="982" t="s">
        <v>137</v>
      </c>
      <c r="F25" s="982" t="s">
        <v>137</v>
      </c>
      <c r="G25" s="1208" t="s">
        <v>138</v>
      </c>
      <c r="H25" s="982"/>
      <c r="I25" s="1208"/>
      <c r="J25" s="982"/>
      <c r="K25" s="982"/>
      <c r="L25" s="982"/>
      <c r="M25" s="982"/>
      <c r="N25" s="1208"/>
      <c r="O25" s="1208"/>
      <c r="P25" s="982"/>
      <c r="Q25" s="1208"/>
      <c r="R25" s="982"/>
      <c r="S25" s="982"/>
      <c r="T25" s="982"/>
      <c r="U25" s="982"/>
      <c r="V25" s="982"/>
      <c r="W25" s="1208"/>
      <c r="X25" s="1208"/>
      <c r="Y25" s="334" t="s">
        <v>1039</v>
      </c>
      <c r="AI25" s="91"/>
      <c r="AJ25" s="91"/>
      <c r="AK25" s="91"/>
      <c r="AL25" s="91"/>
      <c r="AM25" s="91"/>
      <c r="AN25" s="91"/>
      <c r="AO25" s="91"/>
      <c r="AP25" s="91"/>
      <c r="AQ25" s="91"/>
      <c r="AR25" s="91"/>
      <c r="AS25" s="91"/>
      <c r="AT25" s="91"/>
      <c r="AU25" s="91"/>
      <c r="AV25" s="91"/>
      <c r="AW25" s="91"/>
      <c r="AX25" s="91"/>
      <c r="AY25" s="91"/>
      <c r="AZ25" s="91"/>
      <c r="BA25" s="91"/>
      <c r="BB25" s="1455"/>
      <c r="BC25" s="1455"/>
    </row>
    <row r="26" spans="2:55" ht="25.2" customHeight="1">
      <c r="B26" s="329" t="s">
        <v>154</v>
      </c>
      <c r="C26" s="865" t="s">
        <v>91</v>
      </c>
      <c r="D26" s="1214" t="s">
        <v>164</v>
      </c>
      <c r="E26" s="982" t="s">
        <v>190</v>
      </c>
      <c r="F26" s="982" t="s">
        <v>137</v>
      </c>
      <c r="G26" s="1208" t="s">
        <v>191</v>
      </c>
      <c r="H26" s="982"/>
      <c r="I26" s="1208"/>
      <c r="J26" s="982"/>
      <c r="K26" s="982"/>
      <c r="L26" s="982"/>
      <c r="M26" s="982"/>
      <c r="N26" s="1208"/>
      <c r="O26" s="1208"/>
      <c r="P26" s="982"/>
      <c r="Q26" s="1208"/>
      <c r="R26" s="982"/>
      <c r="S26" s="982"/>
      <c r="T26" s="982"/>
      <c r="U26" s="982"/>
      <c r="V26" s="982"/>
      <c r="W26" s="1208"/>
      <c r="X26" s="1208"/>
      <c r="Y26" s="334"/>
      <c r="AI26" s="91"/>
      <c r="AJ26" s="91"/>
      <c r="AK26" s="91"/>
      <c r="AL26" s="91"/>
      <c r="AM26" s="91"/>
      <c r="AN26" s="91"/>
      <c r="AO26" s="91"/>
      <c r="AP26" s="91"/>
      <c r="AQ26" s="91"/>
      <c r="AR26" s="91"/>
      <c r="AS26" s="91"/>
      <c r="AT26" s="91"/>
      <c r="AU26" s="91"/>
      <c r="AV26" s="91"/>
      <c r="AW26" s="91"/>
      <c r="AX26" s="91"/>
      <c r="AY26" s="91"/>
      <c r="AZ26" s="91"/>
      <c r="BA26" s="91"/>
      <c r="BB26" s="1455"/>
      <c r="BC26" s="1455"/>
    </row>
    <row r="27" spans="2:55" ht="25.2" customHeight="1">
      <c r="B27" s="329" t="s">
        <v>155</v>
      </c>
      <c r="C27" s="865" t="s">
        <v>110</v>
      </c>
      <c r="D27" s="1214" t="s">
        <v>164</v>
      </c>
      <c r="E27" s="982" t="s">
        <v>190</v>
      </c>
      <c r="F27" s="982" t="s">
        <v>190</v>
      </c>
      <c r="G27" s="1208"/>
      <c r="H27" s="982"/>
      <c r="I27" s="1208"/>
      <c r="J27" s="982"/>
      <c r="K27" s="982"/>
      <c r="L27" s="982"/>
      <c r="M27" s="982"/>
      <c r="N27" s="1208"/>
      <c r="O27" s="1208"/>
      <c r="P27" s="982"/>
      <c r="Q27" s="1208"/>
      <c r="R27" s="982"/>
      <c r="S27" s="982"/>
      <c r="T27" s="982"/>
      <c r="U27" s="982"/>
      <c r="V27" s="982"/>
      <c r="W27" s="1208"/>
      <c r="X27" s="1208"/>
      <c r="Y27" s="334"/>
      <c r="AI27" s="91"/>
      <c r="AJ27" s="91"/>
      <c r="AK27" s="91"/>
      <c r="AL27" s="91"/>
      <c r="AM27" s="91"/>
      <c r="AN27" s="91"/>
      <c r="AO27" s="91"/>
      <c r="AP27" s="91"/>
      <c r="AQ27" s="91"/>
      <c r="AR27" s="91"/>
      <c r="AS27" s="91"/>
      <c r="AT27" s="91"/>
      <c r="AU27" s="91"/>
      <c r="AV27" s="91"/>
      <c r="AW27" s="91"/>
      <c r="AX27" s="91"/>
      <c r="AY27" s="91"/>
      <c r="AZ27" s="91"/>
      <c r="BA27" s="91"/>
      <c r="BB27" s="1455"/>
      <c r="BC27" s="1455"/>
    </row>
    <row r="28" spans="2:55" ht="25.2" customHeight="1">
      <c r="B28" s="329" t="s">
        <v>156</v>
      </c>
      <c r="C28" s="865" t="s">
        <v>753</v>
      </c>
      <c r="D28" s="1214" t="s">
        <v>164</v>
      </c>
      <c r="E28" s="982" t="s">
        <v>190</v>
      </c>
      <c r="F28" s="982" t="s">
        <v>190</v>
      </c>
      <c r="G28" s="1208"/>
      <c r="H28" s="982"/>
      <c r="I28" s="1208"/>
      <c r="J28" s="982"/>
      <c r="K28" s="982"/>
      <c r="L28" s="982"/>
      <c r="M28" s="982"/>
      <c r="N28" s="1208"/>
      <c r="O28" s="1208"/>
      <c r="P28" s="982"/>
      <c r="Q28" s="1208"/>
      <c r="R28" s="982"/>
      <c r="S28" s="982"/>
      <c r="T28" s="982"/>
      <c r="U28" s="982"/>
      <c r="V28" s="982"/>
      <c r="W28" s="1208"/>
      <c r="X28" s="1208"/>
      <c r="Y28" s="334"/>
      <c r="AI28" s="91"/>
      <c r="AJ28" s="91"/>
      <c r="AK28" s="91"/>
      <c r="AL28" s="91"/>
      <c r="AM28" s="91"/>
      <c r="AN28" s="91"/>
      <c r="AO28" s="91"/>
      <c r="AP28" s="91"/>
      <c r="AQ28" s="91"/>
      <c r="AR28" s="91"/>
      <c r="AS28" s="91"/>
      <c r="AT28" s="91"/>
      <c r="AU28" s="91"/>
      <c r="AV28" s="91"/>
      <c r="AW28" s="91"/>
      <c r="AX28" s="91"/>
      <c r="AY28" s="91"/>
      <c r="AZ28" s="91"/>
      <c r="BA28" s="91"/>
      <c r="BB28" s="91"/>
      <c r="BC28" s="91"/>
    </row>
    <row r="29" spans="2:55" ht="25.2" customHeight="1">
      <c r="B29" s="329" t="s">
        <v>157</v>
      </c>
      <c r="C29" s="865" t="s">
        <v>1372</v>
      </c>
      <c r="D29" s="1214" t="s">
        <v>164</v>
      </c>
      <c r="E29" s="982" t="s">
        <v>190</v>
      </c>
      <c r="F29" s="982" t="s">
        <v>190</v>
      </c>
      <c r="G29" s="1208"/>
      <c r="H29" s="982"/>
      <c r="I29" s="1208"/>
      <c r="J29" s="982"/>
      <c r="K29" s="982"/>
      <c r="L29" s="982"/>
      <c r="M29" s="982"/>
      <c r="N29" s="1208"/>
      <c r="O29" s="1208"/>
      <c r="P29" s="982"/>
      <c r="Q29" s="1208"/>
      <c r="R29" s="982"/>
      <c r="S29" s="982"/>
      <c r="T29" s="982"/>
      <c r="U29" s="982"/>
      <c r="V29" s="982"/>
      <c r="W29" s="1208"/>
      <c r="X29" s="1208"/>
      <c r="Y29" s="334"/>
      <c r="AI29" s="91"/>
      <c r="AJ29" s="91"/>
      <c r="AK29" s="91"/>
      <c r="AL29" s="91"/>
      <c r="AM29" s="91"/>
      <c r="AN29" s="91"/>
      <c r="AO29" s="91"/>
      <c r="AP29" s="91"/>
      <c r="AQ29" s="91"/>
      <c r="AR29" s="91"/>
      <c r="AS29" s="91"/>
      <c r="AT29" s="91"/>
      <c r="AU29" s="91"/>
      <c r="AV29" s="91"/>
      <c r="AW29" s="91"/>
      <c r="AX29" s="91"/>
      <c r="AY29" s="91"/>
      <c r="AZ29" s="91"/>
      <c r="BA29" s="91"/>
      <c r="BB29" s="91"/>
      <c r="BC29" s="91"/>
    </row>
    <row r="30" spans="2:55" ht="25.2" customHeight="1">
      <c r="B30" s="329" t="s">
        <v>158</v>
      </c>
      <c r="C30" s="865" t="s">
        <v>1373</v>
      </c>
      <c r="D30" s="1214" t="s">
        <v>164</v>
      </c>
      <c r="E30" s="982" t="s">
        <v>190</v>
      </c>
      <c r="F30" s="982" t="s">
        <v>190</v>
      </c>
      <c r="G30" s="1208"/>
      <c r="H30" s="982"/>
      <c r="I30" s="1208"/>
      <c r="J30" s="982"/>
      <c r="K30" s="982"/>
      <c r="L30" s="982"/>
      <c r="M30" s="982"/>
      <c r="N30" s="1208"/>
      <c r="O30" s="1208"/>
      <c r="P30" s="982"/>
      <c r="Q30" s="1208"/>
      <c r="R30" s="982"/>
      <c r="S30" s="982"/>
      <c r="T30" s="982"/>
      <c r="U30" s="982"/>
      <c r="V30" s="982"/>
      <c r="W30" s="1208"/>
      <c r="X30" s="1208"/>
      <c r="Y30" s="334"/>
      <c r="AI30" s="91"/>
      <c r="AJ30" s="91"/>
      <c r="AK30" s="91"/>
      <c r="AL30" s="91"/>
      <c r="AM30" s="91"/>
      <c r="AN30" s="91"/>
      <c r="AO30" s="91"/>
      <c r="AP30" s="91"/>
      <c r="AQ30" s="91"/>
      <c r="AR30" s="91"/>
      <c r="AS30" s="91"/>
      <c r="AT30" s="91"/>
      <c r="AU30" s="91"/>
      <c r="AV30" s="91"/>
      <c r="AW30" s="91"/>
      <c r="AX30" s="91"/>
      <c r="AY30" s="91"/>
      <c r="AZ30" s="91"/>
      <c r="BA30" s="91"/>
      <c r="BB30" s="91"/>
      <c r="BC30" s="91"/>
    </row>
    <row r="31" spans="2:55" ht="25.2" customHeight="1">
      <c r="B31" s="329" t="s">
        <v>159</v>
      </c>
      <c r="C31" s="865" t="s">
        <v>754</v>
      </c>
      <c r="D31" s="1214" t="s">
        <v>164</v>
      </c>
      <c r="E31" s="982" t="s">
        <v>190</v>
      </c>
      <c r="F31" s="982" t="s">
        <v>190</v>
      </c>
      <c r="G31" s="1208"/>
      <c r="H31" s="982"/>
      <c r="I31" s="1208"/>
      <c r="J31" s="982"/>
      <c r="K31" s="982"/>
      <c r="L31" s="982"/>
      <c r="M31" s="982"/>
      <c r="N31" s="1208"/>
      <c r="O31" s="1208"/>
      <c r="P31" s="982"/>
      <c r="Q31" s="1208"/>
      <c r="R31" s="982"/>
      <c r="S31" s="982"/>
      <c r="T31" s="982"/>
      <c r="U31" s="982"/>
      <c r="V31" s="982"/>
      <c r="W31" s="1208"/>
      <c r="X31" s="1208"/>
      <c r="Y31" s="334"/>
      <c r="AI31" s="91"/>
      <c r="AJ31" s="91"/>
      <c r="AK31" s="91"/>
      <c r="AL31" s="91"/>
      <c r="AM31" s="91"/>
      <c r="AN31" s="91"/>
      <c r="AO31" s="91"/>
      <c r="AP31" s="91"/>
      <c r="AQ31" s="91"/>
      <c r="AR31" s="91"/>
      <c r="AS31" s="91"/>
      <c r="AT31" s="91"/>
      <c r="AU31" s="91"/>
      <c r="AV31" s="91"/>
      <c r="AW31" s="91"/>
      <c r="AX31" s="91"/>
      <c r="AY31" s="91"/>
      <c r="AZ31" s="91"/>
      <c r="BA31" s="91"/>
      <c r="BB31" s="91"/>
      <c r="BC31" s="91"/>
    </row>
    <row r="32" spans="2:55" ht="25.2" customHeight="1">
      <c r="B32" s="329" t="s">
        <v>160</v>
      </c>
      <c r="C32" s="865" t="s">
        <v>140</v>
      </c>
      <c r="D32" s="1214" t="s">
        <v>164</v>
      </c>
      <c r="E32" s="982" t="s">
        <v>190</v>
      </c>
      <c r="F32" s="982" t="s">
        <v>190</v>
      </c>
      <c r="G32" s="1208"/>
      <c r="H32" s="982"/>
      <c r="I32" s="1208"/>
      <c r="J32" s="982"/>
      <c r="K32" s="982"/>
      <c r="L32" s="982"/>
      <c r="M32" s="982"/>
      <c r="N32" s="1208"/>
      <c r="O32" s="1208"/>
      <c r="P32" s="982"/>
      <c r="Q32" s="1208"/>
      <c r="R32" s="982"/>
      <c r="S32" s="982"/>
      <c r="T32" s="982"/>
      <c r="U32" s="982"/>
      <c r="V32" s="982"/>
      <c r="W32" s="1208"/>
      <c r="X32" s="1208"/>
      <c r="Y32" s="334" t="s">
        <v>2211</v>
      </c>
      <c r="AI32" s="91"/>
      <c r="AJ32" s="91"/>
      <c r="AK32" s="91"/>
      <c r="AL32" s="91"/>
      <c r="AM32" s="91"/>
      <c r="AN32" s="91"/>
      <c r="AO32" s="91"/>
      <c r="AP32" s="91"/>
      <c r="AQ32" s="91"/>
      <c r="AR32" s="91"/>
      <c r="AS32" s="91"/>
      <c r="AT32" s="91"/>
      <c r="AU32" s="91"/>
      <c r="AV32" s="91"/>
      <c r="AW32" s="91"/>
      <c r="AX32" s="91"/>
      <c r="AY32" s="91"/>
      <c r="AZ32" s="91"/>
      <c r="BA32" s="91"/>
      <c r="BB32" s="1455"/>
      <c r="BC32" s="1455"/>
    </row>
    <row r="33" spans="2:55" ht="25.2" customHeight="1">
      <c r="B33" s="329" t="s">
        <v>161</v>
      </c>
      <c r="C33" s="865" t="s">
        <v>1402</v>
      </c>
      <c r="D33" s="1214" t="s">
        <v>164</v>
      </c>
      <c r="E33" s="982" t="s">
        <v>190</v>
      </c>
      <c r="F33" s="982" t="s">
        <v>190</v>
      </c>
      <c r="G33" s="1208"/>
      <c r="H33" s="982"/>
      <c r="I33" s="1208"/>
      <c r="J33" s="982"/>
      <c r="K33" s="982"/>
      <c r="L33" s="982"/>
      <c r="M33" s="982"/>
      <c r="N33" s="1208"/>
      <c r="O33" s="1208"/>
      <c r="P33" s="982"/>
      <c r="Q33" s="1208"/>
      <c r="R33" s="982"/>
      <c r="S33" s="982"/>
      <c r="T33" s="982"/>
      <c r="U33" s="982"/>
      <c r="V33" s="982"/>
      <c r="W33" s="1208"/>
      <c r="X33" s="1208"/>
      <c r="Y33" s="334"/>
      <c r="AI33" s="91"/>
      <c r="AJ33" s="91"/>
      <c r="AK33" s="91"/>
      <c r="AL33" s="91"/>
      <c r="AM33" s="91"/>
      <c r="AN33" s="91"/>
      <c r="AO33" s="91"/>
      <c r="AP33" s="91"/>
      <c r="AQ33" s="91"/>
      <c r="AR33" s="91"/>
      <c r="AS33" s="91"/>
      <c r="AT33" s="91"/>
      <c r="AU33" s="91"/>
      <c r="AV33" s="91"/>
      <c r="AW33" s="91"/>
      <c r="AX33" s="91"/>
      <c r="AY33" s="91"/>
      <c r="AZ33" s="91"/>
      <c r="BA33" s="91"/>
      <c r="BB33" s="91"/>
      <c r="BC33" s="91"/>
    </row>
    <row r="34" spans="2:55" ht="25.2" customHeight="1">
      <c r="B34" s="329" t="s">
        <v>162</v>
      </c>
      <c r="C34" s="865" t="s">
        <v>141</v>
      </c>
      <c r="D34" s="1214" t="s">
        <v>164</v>
      </c>
      <c r="E34" s="982" t="s">
        <v>190</v>
      </c>
      <c r="F34" s="982" t="s">
        <v>190</v>
      </c>
      <c r="G34" s="1208"/>
      <c r="H34" s="982"/>
      <c r="I34" s="1208"/>
      <c r="J34" s="982"/>
      <c r="K34" s="982"/>
      <c r="L34" s="982"/>
      <c r="M34" s="982"/>
      <c r="N34" s="1208"/>
      <c r="O34" s="1208"/>
      <c r="P34" s="982"/>
      <c r="Q34" s="1208"/>
      <c r="R34" s="982"/>
      <c r="S34" s="982"/>
      <c r="T34" s="982"/>
      <c r="U34" s="982"/>
      <c r="V34" s="982"/>
      <c r="W34" s="1208"/>
      <c r="X34" s="1208"/>
      <c r="Y34" s="334" t="s">
        <v>1885</v>
      </c>
      <c r="AI34" s="91"/>
      <c r="AJ34" s="91"/>
      <c r="AK34" s="91"/>
      <c r="AL34" s="91"/>
      <c r="AM34" s="91"/>
      <c r="AN34" s="91"/>
      <c r="AO34" s="91"/>
      <c r="AP34" s="91"/>
      <c r="AQ34" s="91"/>
      <c r="AR34" s="91"/>
      <c r="AS34" s="91"/>
      <c r="AT34" s="91"/>
      <c r="AU34" s="91"/>
      <c r="AV34" s="91"/>
      <c r="AW34" s="91"/>
      <c r="AX34" s="91"/>
      <c r="AY34" s="91"/>
      <c r="AZ34" s="91"/>
      <c r="BA34" s="91"/>
      <c r="BB34" s="1455"/>
      <c r="BC34" s="1455"/>
    </row>
    <row r="35" spans="2:55" ht="25.2" customHeight="1">
      <c r="B35" s="329" t="s">
        <v>165</v>
      </c>
      <c r="C35" s="865" t="s">
        <v>142</v>
      </c>
      <c r="D35" s="1214" t="s">
        <v>164</v>
      </c>
      <c r="E35" s="982" t="s">
        <v>190</v>
      </c>
      <c r="F35" s="982" t="s">
        <v>190</v>
      </c>
      <c r="G35" s="1208"/>
      <c r="H35" s="982"/>
      <c r="I35" s="1219"/>
      <c r="J35" s="1218"/>
      <c r="K35" s="982"/>
      <c r="L35" s="982"/>
      <c r="M35" s="982"/>
      <c r="N35" s="1219"/>
      <c r="O35" s="1219"/>
      <c r="P35" s="982"/>
      <c r="Q35" s="1219"/>
      <c r="R35" s="982"/>
      <c r="S35" s="982"/>
      <c r="T35" s="982"/>
      <c r="U35" s="1218"/>
      <c r="V35" s="982"/>
      <c r="W35" s="1219"/>
      <c r="X35" s="1208"/>
      <c r="Y35" s="399"/>
      <c r="AI35" s="91"/>
      <c r="AJ35" s="91"/>
      <c r="AK35" s="91"/>
      <c r="AL35" s="91"/>
      <c r="AM35" s="91"/>
      <c r="AN35" s="91"/>
      <c r="AO35" s="91"/>
      <c r="AP35" s="91"/>
      <c r="AQ35" s="91"/>
      <c r="AR35" s="91"/>
      <c r="AS35" s="91"/>
      <c r="AT35" s="91"/>
      <c r="AU35" s="91"/>
      <c r="AV35" s="91"/>
      <c r="AW35" s="91"/>
      <c r="AX35" s="91"/>
      <c r="AY35" s="91"/>
      <c r="AZ35" s="91"/>
      <c r="BA35" s="91"/>
      <c r="BB35" s="1455"/>
      <c r="BC35" s="1455"/>
    </row>
    <row r="36" spans="2:55" ht="50.1" customHeight="1">
      <c r="B36" s="329" t="s">
        <v>166</v>
      </c>
      <c r="C36" s="865" t="s">
        <v>143</v>
      </c>
      <c r="D36" s="1214" t="s">
        <v>163</v>
      </c>
      <c r="E36" s="982" t="s">
        <v>190</v>
      </c>
      <c r="F36" s="982" t="s">
        <v>190</v>
      </c>
      <c r="G36" s="1208" t="s">
        <v>191</v>
      </c>
      <c r="H36" s="982"/>
      <c r="I36" s="1208"/>
      <c r="J36" s="982"/>
      <c r="K36" s="982"/>
      <c r="L36" s="982"/>
      <c r="M36" s="982"/>
      <c r="N36" s="1208"/>
      <c r="O36" s="1208"/>
      <c r="P36" s="982"/>
      <c r="Q36" s="1208"/>
      <c r="R36" s="982" t="s">
        <v>190</v>
      </c>
      <c r="S36" s="982" t="s">
        <v>190</v>
      </c>
      <c r="T36" s="982"/>
      <c r="U36" s="982"/>
      <c r="V36" s="982"/>
      <c r="W36" s="1208"/>
      <c r="X36" s="1208"/>
      <c r="Y36" s="334" t="s">
        <v>1209</v>
      </c>
      <c r="AI36" s="91"/>
      <c r="AJ36" s="91"/>
      <c r="AK36" s="91"/>
      <c r="AL36" s="91"/>
      <c r="AM36" s="91"/>
      <c r="AN36" s="91"/>
      <c r="AO36" s="91"/>
      <c r="AP36" s="91"/>
      <c r="AQ36" s="91"/>
      <c r="AR36" s="91"/>
      <c r="AS36" s="91"/>
      <c r="AT36" s="91"/>
      <c r="AU36" s="91"/>
      <c r="AV36" s="91"/>
      <c r="AW36" s="91"/>
      <c r="AX36" s="91"/>
      <c r="AY36" s="91"/>
      <c r="AZ36" s="91"/>
      <c r="BA36" s="91"/>
      <c r="BB36" s="1455"/>
      <c r="BC36" s="1455"/>
    </row>
    <row r="37" spans="2:55" ht="25.2" customHeight="1">
      <c r="B37" s="329" t="s">
        <v>167</v>
      </c>
      <c r="C37" s="865" t="s">
        <v>144</v>
      </c>
      <c r="D37" s="1214" t="s">
        <v>164</v>
      </c>
      <c r="E37" s="982" t="s">
        <v>190</v>
      </c>
      <c r="F37" s="982" t="s">
        <v>190</v>
      </c>
      <c r="G37" s="1208"/>
      <c r="H37" s="982"/>
      <c r="I37" s="1208"/>
      <c r="J37" s="982"/>
      <c r="K37" s="982"/>
      <c r="L37" s="982"/>
      <c r="M37" s="982"/>
      <c r="N37" s="1208"/>
      <c r="O37" s="1208"/>
      <c r="P37" s="982"/>
      <c r="Q37" s="1208"/>
      <c r="R37" s="982"/>
      <c r="S37" s="982"/>
      <c r="T37" s="982"/>
      <c r="U37" s="982"/>
      <c r="V37" s="982"/>
      <c r="W37" s="1208"/>
      <c r="X37" s="1208"/>
      <c r="Y37" s="334"/>
      <c r="AI37" s="91"/>
      <c r="AJ37" s="91"/>
      <c r="AK37" s="91"/>
      <c r="AL37" s="91"/>
      <c r="AM37" s="91"/>
      <c r="AN37" s="91"/>
      <c r="AO37" s="91"/>
      <c r="AP37" s="91"/>
      <c r="AQ37" s="91"/>
      <c r="AR37" s="91"/>
      <c r="AS37" s="91"/>
      <c r="AT37" s="91"/>
      <c r="AU37" s="91"/>
      <c r="AV37" s="91"/>
      <c r="AW37" s="91"/>
      <c r="AX37" s="91"/>
      <c r="AY37" s="91"/>
      <c r="AZ37" s="91"/>
      <c r="BA37" s="91"/>
      <c r="BB37" s="1455"/>
      <c r="BC37" s="1455"/>
    </row>
    <row r="38" spans="2:55" ht="25.2" customHeight="1">
      <c r="B38" s="329" t="s">
        <v>168</v>
      </c>
      <c r="C38" s="388" t="s">
        <v>1055</v>
      </c>
      <c r="D38" s="389" t="s">
        <v>327</v>
      </c>
      <c r="E38" s="390" t="s">
        <v>190</v>
      </c>
      <c r="F38" s="390" t="s">
        <v>190</v>
      </c>
      <c r="G38" s="391"/>
      <c r="H38" s="390"/>
      <c r="I38" s="391"/>
      <c r="J38" s="390"/>
      <c r="K38" s="390"/>
      <c r="L38" s="390"/>
      <c r="M38" s="390"/>
      <c r="N38" s="391"/>
      <c r="O38" s="391"/>
      <c r="P38" s="390"/>
      <c r="Q38" s="391"/>
      <c r="R38" s="390"/>
      <c r="S38" s="390"/>
      <c r="T38" s="390"/>
      <c r="U38" s="390"/>
      <c r="V38" s="390"/>
      <c r="W38" s="391"/>
      <c r="X38" s="391"/>
      <c r="Y38" s="392"/>
      <c r="AI38" s="91"/>
      <c r="AJ38" s="91"/>
      <c r="AK38" s="91"/>
      <c r="AL38" s="91"/>
      <c r="AM38" s="91"/>
      <c r="AN38" s="91"/>
      <c r="AO38" s="91"/>
      <c r="AP38" s="91"/>
      <c r="AQ38" s="91"/>
      <c r="AR38" s="91"/>
      <c r="AS38" s="91"/>
      <c r="AT38" s="91"/>
      <c r="AU38" s="91"/>
      <c r="AV38" s="91"/>
      <c r="AW38" s="91"/>
      <c r="AX38" s="91"/>
      <c r="AY38" s="91"/>
      <c r="AZ38" s="91"/>
      <c r="BA38" s="91"/>
      <c r="BB38" s="1455"/>
      <c r="BC38" s="1455"/>
    </row>
    <row r="39" spans="2:55" ht="25.2" customHeight="1">
      <c r="B39" s="329" t="s">
        <v>192</v>
      </c>
      <c r="C39" s="388" t="s">
        <v>1053</v>
      </c>
      <c r="D39" s="389" t="s">
        <v>327</v>
      </c>
      <c r="E39" s="390" t="s">
        <v>190</v>
      </c>
      <c r="F39" s="390" t="s">
        <v>190</v>
      </c>
      <c r="G39" s="391" t="s">
        <v>191</v>
      </c>
      <c r="H39" s="390"/>
      <c r="I39" s="391"/>
      <c r="J39" s="390"/>
      <c r="K39" s="390"/>
      <c r="L39" s="390"/>
      <c r="M39" s="390"/>
      <c r="N39" s="391"/>
      <c r="O39" s="391"/>
      <c r="P39" s="390"/>
      <c r="Q39" s="391"/>
      <c r="R39" s="390"/>
      <c r="S39" s="390"/>
      <c r="T39" s="390"/>
      <c r="U39" s="390"/>
      <c r="V39" s="390"/>
      <c r="W39" s="391"/>
      <c r="X39" s="391"/>
      <c r="Y39" s="392"/>
      <c r="AI39" s="91"/>
      <c r="AJ39" s="91"/>
      <c r="AK39" s="91"/>
      <c r="AL39" s="91"/>
      <c r="AM39" s="91"/>
      <c r="AN39" s="91"/>
      <c r="AO39" s="91"/>
      <c r="AP39" s="91"/>
      <c r="AQ39" s="91"/>
      <c r="AR39" s="91"/>
      <c r="AS39" s="91"/>
      <c r="AT39" s="91"/>
      <c r="AU39" s="91"/>
      <c r="AV39" s="91"/>
      <c r="AW39" s="91"/>
      <c r="AX39" s="91"/>
      <c r="AY39" s="91"/>
      <c r="AZ39" s="91"/>
      <c r="BA39" s="91"/>
      <c r="BB39" s="91"/>
      <c r="BC39" s="91"/>
    </row>
    <row r="40" spans="2:55" ht="25.2" customHeight="1">
      <c r="B40" s="329" t="s">
        <v>320</v>
      </c>
      <c r="C40" s="715" t="s">
        <v>744</v>
      </c>
      <c r="D40" s="389" t="s">
        <v>327</v>
      </c>
      <c r="E40" s="390" t="s">
        <v>190</v>
      </c>
      <c r="F40" s="390" t="s">
        <v>190</v>
      </c>
      <c r="G40" s="391" t="s">
        <v>191</v>
      </c>
      <c r="H40" s="390"/>
      <c r="I40" s="391"/>
      <c r="J40" s="390"/>
      <c r="K40" s="390"/>
      <c r="L40" s="390"/>
      <c r="M40" s="390"/>
      <c r="N40" s="391"/>
      <c r="O40" s="391"/>
      <c r="P40" s="390"/>
      <c r="Q40" s="391"/>
      <c r="R40" s="390"/>
      <c r="S40" s="390"/>
      <c r="T40" s="390"/>
      <c r="U40" s="390"/>
      <c r="V40" s="390"/>
      <c r="W40" s="391"/>
      <c r="X40" s="391"/>
      <c r="Y40" s="392"/>
      <c r="AI40" s="91"/>
      <c r="AJ40" s="91"/>
      <c r="AK40" s="91"/>
      <c r="AL40" s="91"/>
      <c r="AM40" s="91"/>
      <c r="AN40" s="91"/>
      <c r="AO40" s="91"/>
      <c r="AP40" s="91"/>
      <c r="AQ40" s="91"/>
      <c r="AR40" s="91"/>
      <c r="AS40" s="1455"/>
      <c r="AT40" s="1455"/>
      <c r="AU40" s="1455"/>
      <c r="AV40" s="1455"/>
      <c r="AW40" s="91"/>
      <c r="AX40" s="91"/>
      <c r="AY40" s="91"/>
      <c r="AZ40" s="1455"/>
      <c r="BA40" s="1455"/>
      <c r="BB40" s="1455"/>
      <c r="BC40" s="1455"/>
    </row>
    <row r="41" spans="2:55" ht="25.2" customHeight="1">
      <c r="B41" s="329" t="s">
        <v>321</v>
      </c>
      <c r="C41" s="388" t="s">
        <v>742</v>
      </c>
      <c r="D41" s="389" t="s">
        <v>327</v>
      </c>
      <c r="E41" s="390" t="s">
        <v>190</v>
      </c>
      <c r="F41" s="390" t="s">
        <v>190</v>
      </c>
      <c r="G41" s="391" t="s">
        <v>191</v>
      </c>
      <c r="H41" s="390"/>
      <c r="I41" s="391"/>
      <c r="J41" s="390"/>
      <c r="K41" s="390"/>
      <c r="L41" s="390"/>
      <c r="M41" s="390"/>
      <c r="N41" s="391"/>
      <c r="O41" s="391"/>
      <c r="P41" s="390"/>
      <c r="Q41" s="391"/>
      <c r="R41" s="390"/>
      <c r="S41" s="390"/>
      <c r="T41" s="390"/>
      <c r="U41" s="390"/>
      <c r="V41" s="390"/>
      <c r="W41" s="391"/>
      <c r="X41" s="391"/>
      <c r="Y41" s="392"/>
      <c r="AI41" s="91"/>
      <c r="AJ41" s="91"/>
      <c r="AK41" s="91"/>
      <c r="AL41" s="91"/>
      <c r="AM41" s="91"/>
      <c r="AN41" s="91"/>
      <c r="AO41" s="91"/>
      <c r="AP41" s="91"/>
      <c r="AQ41" s="91"/>
      <c r="AR41" s="91"/>
      <c r="AS41" s="91"/>
      <c r="AT41" s="91"/>
      <c r="AU41" s="91"/>
      <c r="AV41" s="91"/>
      <c r="AW41" s="91"/>
      <c r="AX41" s="91"/>
      <c r="AY41" s="91"/>
      <c r="AZ41" s="91"/>
      <c r="BA41" s="91"/>
      <c r="BB41" s="91"/>
      <c r="BC41" s="91"/>
    </row>
    <row r="42" spans="2:55" ht="25.2" customHeight="1">
      <c r="B42" s="329" t="s">
        <v>738</v>
      </c>
      <c r="C42" s="388" t="s">
        <v>743</v>
      </c>
      <c r="D42" s="389" t="s">
        <v>327</v>
      </c>
      <c r="E42" s="390" t="s">
        <v>190</v>
      </c>
      <c r="F42" s="390" t="s">
        <v>190</v>
      </c>
      <c r="G42" s="391" t="s">
        <v>191</v>
      </c>
      <c r="H42" s="390"/>
      <c r="I42" s="391"/>
      <c r="J42" s="390"/>
      <c r="K42" s="390"/>
      <c r="L42" s="390"/>
      <c r="M42" s="390"/>
      <c r="N42" s="391"/>
      <c r="O42" s="391"/>
      <c r="P42" s="390"/>
      <c r="Q42" s="391"/>
      <c r="R42" s="390"/>
      <c r="S42" s="390"/>
      <c r="T42" s="390"/>
      <c r="U42" s="390"/>
      <c r="V42" s="390"/>
      <c r="W42" s="391"/>
      <c r="X42" s="391"/>
      <c r="Y42" s="392"/>
      <c r="AI42" s="91"/>
      <c r="AJ42" s="91"/>
      <c r="AK42" s="91"/>
      <c r="AL42" s="91"/>
      <c r="AM42" s="91"/>
      <c r="AN42" s="91"/>
      <c r="AO42" s="91"/>
      <c r="AP42" s="91"/>
      <c r="AQ42" s="91"/>
      <c r="AR42" s="91"/>
      <c r="AS42" s="91"/>
      <c r="AT42" s="91"/>
      <c r="AU42" s="91"/>
      <c r="AV42" s="91"/>
      <c r="AW42" s="91"/>
      <c r="AX42" s="91"/>
      <c r="AY42" s="91"/>
      <c r="AZ42" s="91"/>
      <c r="BA42" s="91"/>
      <c r="BB42" s="91"/>
      <c r="BC42" s="91"/>
    </row>
    <row r="43" spans="2:55" ht="25.2" customHeight="1">
      <c r="B43" s="329" t="s">
        <v>739</v>
      </c>
      <c r="C43" s="388" t="s">
        <v>745</v>
      </c>
      <c r="D43" s="389" t="s">
        <v>327</v>
      </c>
      <c r="E43" s="390" t="s">
        <v>190</v>
      </c>
      <c r="F43" s="390" t="s">
        <v>190</v>
      </c>
      <c r="G43" s="391"/>
      <c r="H43" s="390"/>
      <c r="I43" s="391"/>
      <c r="J43" s="390"/>
      <c r="K43" s="390"/>
      <c r="L43" s="390"/>
      <c r="M43" s="390"/>
      <c r="N43" s="391"/>
      <c r="O43" s="391"/>
      <c r="P43" s="390"/>
      <c r="Q43" s="391"/>
      <c r="R43" s="390"/>
      <c r="S43" s="390"/>
      <c r="T43" s="390"/>
      <c r="U43" s="390"/>
      <c r="V43" s="390"/>
      <c r="W43" s="391"/>
      <c r="X43" s="391"/>
      <c r="Y43" s="392"/>
      <c r="AI43" s="91"/>
      <c r="AJ43" s="91"/>
      <c r="AK43" s="91"/>
      <c r="AL43" s="91"/>
      <c r="AM43" s="91"/>
      <c r="AN43" s="91"/>
      <c r="AO43" s="91"/>
      <c r="AP43" s="91"/>
      <c r="AQ43" s="91"/>
      <c r="AR43" s="91"/>
      <c r="AS43" s="91"/>
      <c r="AT43" s="91"/>
      <c r="AU43" s="91"/>
      <c r="AV43" s="91"/>
      <c r="AW43" s="91"/>
      <c r="AX43" s="91"/>
      <c r="AY43" s="91"/>
      <c r="AZ43" s="91"/>
      <c r="BA43" s="91"/>
      <c r="BB43" s="91"/>
      <c r="BC43" s="91"/>
    </row>
    <row r="44" spans="2:55" ht="25.2" customHeight="1">
      <c r="B44" s="329" t="s">
        <v>740</v>
      </c>
      <c r="C44" s="865" t="s">
        <v>147</v>
      </c>
      <c r="D44" s="1214" t="s">
        <v>327</v>
      </c>
      <c r="E44" s="982" t="s">
        <v>190</v>
      </c>
      <c r="F44" s="982" t="s">
        <v>190</v>
      </c>
      <c r="G44" s="1208" t="s">
        <v>138</v>
      </c>
      <c r="H44" s="982"/>
      <c r="I44" s="1208"/>
      <c r="J44" s="982"/>
      <c r="K44" s="982"/>
      <c r="L44" s="982"/>
      <c r="M44" s="982"/>
      <c r="N44" s="1208"/>
      <c r="O44" s="1208"/>
      <c r="P44" s="982"/>
      <c r="Q44" s="1208"/>
      <c r="R44" s="982"/>
      <c r="S44" s="982"/>
      <c r="T44" s="982"/>
      <c r="U44" s="982"/>
      <c r="V44" s="982"/>
      <c r="W44" s="1208"/>
      <c r="X44" s="1208"/>
      <c r="Y44" s="334"/>
      <c r="AI44" s="91"/>
      <c r="AJ44" s="91"/>
      <c r="AK44" s="91"/>
      <c r="AL44" s="91"/>
      <c r="AM44" s="91"/>
      <c r="AN44" s="91"/>
      <c r="AO44" s="91"/>
      <c r="AP44" s="91"/>
      <c r="AQ44" s="91"/>
      <c r="AR44" s="91"/>
      <c r="AS44" s="91"/>
      <c r="AT44" s="91"/>
      <c r="AU44" s="91"/>
      <c r="AV44" s="91"/>
      <c r="AW44" s="91"/>
      <c r="AX44" s="91"/>
      <c r="AY44" s="91"/>
      <c r="AZ44" s="91"/>
      <c r="BA44" s="91"/>
      <c r="BB44" s="1455"/>
      <c r="BC44" s="1455"/>
    </row>
    <row r="45" spans="2:55" ht="25.2" customHeight="1">
      <c r="B45" s="329" t="s">
        <v>741</v>
      </c>
      <c r="C45" s="865" t="s">
        <v>148</v>
      </c>
      <c r="D45" s="1214" t="s">
        <v>327</v>
      </c>
      <c r="E45" s="982" t="s">
        <v>190</v>
      </c>
      <c r="F45" s="982" t="s">
        <v>190</v>
      </c>
      <c r="G45" s="1208" t="s">
        <v>138</v>
      </c>
      <c r="H45" s="982"/>
      <c r="I45" s="1208"/>
      <c r="J45" s="982"/>
      <c r="K45" s="982"/>
      <c r="L45" s="982"/>
      <c r="M45" s="982"/>
      <c r="N45" s="1208"/>
      <c r="O45" s="1208"/>
      <c r="P45" s="982"/>
      <c r="Q45" s="1208"/>
      <c r="R45" s="982"/>
      <c r="S45" s="982"/>
      <c r="T45" s="982" t="s">
        <v>190</v>
      </c>
      <c r="U45" s="982"/>
      <c r="V45" s="982"/>
      <c r="W45" s="1208"/>
      <c r="X45" s="1208"/>
      <c r="Y45" s="334"/>
      <c r="AI45" s="91"/>
      <c r="AJ45" s="91"/>
      <c r="AK45" s="91"/>
      <c r="AL45" s="91"/>
      <c r="AM45" s="91"/>
      <c r="AN45" s="91"/>
      <c r="AO45" s="91"/>
      <c r="AP45" s="91"/>
      <c r="AQ45" s="91"/>
      <c r="AR45" s="91"/>
      <c r="AS45" s="91"/>
      <c r="AT45" s="91"/>
      <c r="AU45" s="91"/>
      <c r="AV45" s="91"/>
      <c r="AW45" s="91"/>
      <c r="AX45" s="91"/>
      <c r="AY45" s="91"/>
      <c r="AZ45" s="91"/>
      <c r="BA45" s="91"/>
      <c r="BB45" s="1455"/>
      <c r="BC45" s="1455"/>
    </row>
    <row r="46" spans="2:55" ht="25.2" customHeight="1">
      <c r="B46" s="329" t="s">
        <v>1015</v>
      </c>
      <c r="C46" s="865" t="s">
        <v>755</v>
      </c>
      <c r="D46" s="1214" t="s">
        <v>164</v>
      </c>
      <c r="E46" s="982" t="s">
        <v>137</v>
      </c>
      <c r="F46" s="982" t="s">
        <v>137</v>
      </c>
      <c r="G46" s="1208" t="s">
        <v>138</v>
      </c>
      <c r="H46" s="982"/>
      <c r="I46" s="1208"/>
      <c r="J46" s="982"/>
      <c r="K46" s="982"/>
      <c r="L46" s="982"/>
      <c r="M46" s="982"/>
      <c r="N46" s="1208"/>
      <c r="O46" s="1208"/>
      <c r="P46" s="982"/>
      <c r="Q46" s="1208"/>
      <c r="R46" s="982"/>
      <c r="S46" s="982"/>
      <c r="T46" s="982"/>
      <c r="U46" s="982"/>
      <c r="V46" s="982" t="s">
        <v>190</v>
      </c>
      <c r="W46" s="1208"/>
      <c r="X46" s="1208"/>
      <c r="Y46" s="334" t="s">
        <v>1886</v>
      </c>
      <c r="AI46" s="91"/>
      <c r="AJ46" s="91"/>
      <c r="AK46" s="91"/>
      <c r="AL46" s="91"/>
      <c r="AM46" s="91"/>
      <c r="AN46" s="91"/>
      <c r="AO46" s="91"/>
      <c r="AP46" s="91"/>
      <c r="AQ46" s="91"/>
      <c r="AR46" s="91"/>
      <c r="AS46" s="91"/>
      <c r="AT46" s="91"/>
      <c r="AU46" s="91"/>
      <c r="AV46" s="91"/>
      <c r="AW46" s="91"/>
      <c r="AX46" s="91"/>
      <c r="AY46" s="91"/>
      <c r="AZ46" s="91"/>
      <c r="BA46" s="91"/>
      <c r="BB46" s="1455"/>
      <c r="BC46" s="1455"/>
    </row>
    <row r="47" spans="2:55" ht="25.2" customHeight="1">
      <c r="B47" s="329" t="s">
        <v>1016</v>
      </c>
      <c r="C47" s="865" t="s">
        <v>145</v>
      </c>
      <c r="D47" s="1214" t="s">
        <v>164</v>
      </c>
      <c r="E47" s="982" t="s">
        <v>190</v>
      </c>
      <c r="F47" s="982" t="s">
        <v>190</v>
      </c>
      <c r="G47" s="1208"/>
      <c r="H47" s="982"/>
      <c r="I47" s="1208"/>
      <c r="J47" s="982"/>
      <c r="K47" s="982"/>
      <c r="L47" s="982"/>
      <c r="M47" s="982"/>
      <c r="N47" s="1208"/>
      <c r="O47" s="1208"/>
      <c r="P47" s="982"/>
      <c r="Q47" s="1208"/>
      <c r="R47" s="982"/>
      <c r="S47" s="982"/>
      <c r="T47" s="982"/>
      <c r="U47" s="982"/>
      <c r="V47" s="982"/>
      <c r="W47" s="1208"/>
      <c r="X47" s="1208"/>
      <c r="Y47" s="334"/>
      <c r="AI47" s="91"/>
      <c r="AJ47" s="91"/>
      <c r="AK47" s="91"/>
      <c r="AL47" s="91"/>
      <c r="AM47" s="91"/>
      <c r="AN47" s="91"/>
      <c r="AO47" s="91"/>
      <c r="AP47" s="91"/>
      <c r="AQ47" s="91"/>
      <c r="AR47" s="91"/>
      <c r="AS47" s="91"/>
      <c r="AT47" s="91"/>
      <c r="AU47" s="91"/>
      <c r="AV47" s="91"/>
      <c r="AW47" s="91"/>
      <c r="AX47" s="91"/>
      <c r="AY47" s="91"/>
      <c r="AZ47" s="91"/>
      <c r="BA47" s="91"/>
      <c r="BB47" s="1455"/>
      <c r="BC47" s="1455"/>
    </row>
    <row r="48" spans="2:55" ht="25.2" customHeight="1">
      <c r="B48" s="329" t="s">
        <v>1017</v>
      </c>
      <c r="C48" s="865" t="s">
        <v>146</v>
      </c>
      <c r="D48" s="1214" t="s">
        <v>164</v>
      </c>
      <c r="E48" s="982" t="s">
        <v>190</v>
      </c>
      <c r="F48" s="982" t="s">
        <v>190</v>
      </c>
      <c r="G48" s="1208"/>
      <c r="H48" s="982"/>
      <c r="I48" s="1208" t="s">
        <v>190</v>
      </c>
      <c r="J48" s="982"/>
      <c r="K48" s="982"/>
      <c r="L48" s="982"/>
      <c r="M48" s="982"/>
      <c r="N48" s="1208"/>
      <c r="O48" s="1208"/>
      <c r="P48" s="982"/>
      <c r="Q48" s="1208"/>
      <c r="R48" s="982"/>
      <c r="S48" s="982"/>
      <c r="T48" s="982"/>
      <c r="U48" s="982"/>
      <c r="V48" s="982"/>
      <c r="W48" s="1208"/>
      <c r="X48" s="1208"/>
      <c r="Y48" s="334"/>
      <c r="AI48" s="91"/>
      <c r="AJ48" s="91"/>
      <c r="AK48" s="91"/>
      <c r="AL48" s="91"/>
      <c r="AM48" s="91"/>
      <c r="AN48" s="91"/>
      <c r="AO48" s="91"/>
      <c r="AP48" s="91"/>
      <c r="AQ48" s="91"/>
      <c r="AR48" s="91"/>
      <c r="AS48" s="91"/>
      <c r="AT48" s="91"/>
      <c r="AU48" s="91"/>
      <c r="AV48" s="91"/>
      <c r="AW48" s="91"/>
      <c r="AX48" s="91"/>
      <c r="AY48" s="91"/>
      <c r="AZ48" s="91"/>
      <c r="BA48" s="91"/>
      <c r="BB48" s="1455"/>
      <c r="BC48" s="1455"/>
    </row>
    <row r="49" spans="2:55" ht="25.2" customHeight="1">
      <c r="B49" s="329" t="s">
        <v>1018</v>
      </c>
      <c r="C49" s="865" t="s">
        <v>1746</v>
      </c>
      <c r="D49" s="1214" t="s">
        <v>164</v>
      </c>
      <c r="E49" s="982" t="s">
        <v>190</v>
      </c>
      <c r="F49" s="982" t="s">
        <v>190</v>
      </c>
      <c r="G49" s="1208"/>
      <c r="H49" s="982"/>
      <c r="I49" s="1208"/>
      <c r="J49" s="982"/>
      <c r="K49" s="982"/>
      <c r="L49" s="982"/>
      <c r="M49" s="982"/>
      <c r="N49" s="1208"/>
      <c r="O49" s="1208"/>
      <c r="P49" s="982"/>
      <c r="Q49" s="1208"/>
      <c r="R49" s="982"/>
      <c r="S49" s="982"/>
      <c r="T49" s="982"/>
      <c r="U49" s="982"/>
      <c r="V49" s="982"/>
      <c r="W49" s="1208" t="s">
        <v>190</v>
      </c>
      <c r="X49" s="1208"/>
      <c r="Y49" s="888"/>
      <c r="AI49" s="91"/>
      <c r="AJ49" s="91"/>
      <c r="AK49" s="91"/>
      <c r="AL49" s="91"/>
      <c r="AM49" s="91"/>
      <c r="AN49" s="91"/>
      <c r="AO49" s="91"/>
      <c r="AP49" s="91"/>
      <c r="AQ49" s="91"/>
      <c r="AR49" s="91"/>
      <c r="AS49" s="91"/>
      <c r="AT49" s="91"/>
      <c r="AU49" s="91"/>
      <c r="AV49" s="91"/>
      <c r="AW49" s="91"/>
      <c r="AX49" s="91"/>
      <c r="AY49" s="91"/>
      <c r="AZ49" s="91"/>
      <c r="BA49" s="91"/>
      <c r="BB49" s="91"/>
      <c r="BC49" s="91"/>
    </row>
    <row r="50" spans="2:55" ht="25.2" customHeight="1">
      <c r="B50" s="329" t="s">
        <v>1019</v>
      </c>
      <c r="C50" s="865" t="s">
        <v>756</v>
      </c>
      <c r="D50" s="1214" t="s">
        <v>1023</v>
      </c>
      <c r="E50" s="982" t="s">
        <v>190</v>
      </c>
      <c r="F50" s="982" t="s">
        <v>190</v>
      </c>
      <c r="G50" s="1208"/>
      <c r="H50" s="982"/>
      <c r="I50" s="1208"/>
      <c r="J50" s="982"/>
      <c r="K50" s="982"/>
      <c r="L50" s="982"/>
      <c r="M50" s="982"/>
      <c r="N50" s="1208"/>
      <c r="O50" s="1208"/>
      <c r="P50" s="982"/>
      <c r="Q50" s="1208"/>
      <c r="R50" s="982"/>
      <c r="S50" s="982"/>
      <c r="T50" s="982"/>
      <c r="U50" s="982"/>
      <c r="V50" s="982"/>
      <c r="W50" s="1208"/>
      <c r="X50" s="1208"/>
      <c r="Y50" s="334"/>
      <c r="AI50" s="91"/>
      <c r="AJ50" s="91"/>
      <c r="AK50" s="91"/>
      <c r="AL50" s="91"/>
      <c r="AM50" s="91"/>
      <c r="AN50" s="91"/>
      <c r="AO50" s="91"/>
      <c r="AP50" s="91"/>
      <c r="AQ50" s="91"/>
      <c r="AR50" s="91"/>
      <c r="AS50" s="91"/>
      <c r="AT50" s="91"/>
      <c r="AU50" s="91"/>
      <c r="AV50" s="91"/>
      <c r="AW50" s="91"/>
      <c r="AX50" s="91"/>
      <c r="AY50" s="91"/>
      <c r="AZ50" s="91"/>
      <c r="BA50" s="91"/>
      <c r="BB50" s="91"/>
      <c r="BC50" s="91"/>
    </row>
    <row r="51" spans="2:55" ht="25.2" customHeight="1">
      <c r="B51" s="329" t="s">
        <v>1020</v>
      </c>
      <c r="C51" s="865" t="s">
        <v>112</v>
      </c>
      <c r="D51" s="1214" t="s">
        <v>163</v>
      </c>
      <c r="E51" s="982" t="s">
        <v>190</v>
      </c>
      <c r="F51" s="982" t="s">
        <v>190</v>
      </c>
      <c r="G51" s="1208"/>
      <c r="H51" s="982"/>
      <c r="I51" s="1208"/>
      <c r="J51" s="982"/>
      <c r="K51" s="982"/>
      <c r="L51" s="982"/>
      <c r="M51" s="982"/>
      <c r="N51" s="1208"/>
      <c r="O51" s="1208"/>
      <c r="P51" s="982"/>
      <c r="Q51" s="1208"/>
      <c r="R51" s="982"/>
      <c r="S51" s="982"/>
      <c r="T51" s="982"/>
      <c r="U51" s="982"/>
      <c r="V51" s="982"/>
      <c r="W51" s="1208"/>
      <c r="X51" s="1208" t="s">
        <v>190</v>
      </c>
      <c r="Y51" s="334"/>
      <c r="AI51" s="91"/>
      <c r="AJ51" s="91"/>
      <c r="AK51" s="91"/>
      <c r="AL51" s="91"/>
      <c r="AM51" s="91"/>
      <c r="AN51" s="91"/>
      <c r="AO51" s="91"/>
      <c r="AP51" s="91"/>
      <c r="AQ51" s="91"/>
      <c r="AR51" s="91"/>
      <c r="AS51" s="1455"/>
      <c r="AT51" s="1455"/>
      <c r="AU51" s="1455"/>
      <c r="AV51" s="1455"/>
      <c r="AW51" s="91"/>
      <c r="AX51" s="91"/>
      <c r="AY51" s="91"/>
      <c r="AZ51" s="1455"/>
      <c r="BA51" s="1455"/>
      <c r="BB51" s="1455"/>
      <c r="BC51" s="1455"/>
    </row>
    <row r="52" spans="2:55" ht="25.2" customHeight="1">
      <c r="B52" s="329" t="s">
        <v>1021</v>
      </c>
      <c r="C52" s="1215" t="s">
        <v>757</v>
      </c>
      <c r="D52" s="1214" t="s">
        <v>1023</v>
      </c>
      <c r="E52" s="982" t="s">
        <v>190</v>
      </c>
      <c r="F52" s="982" t="s">
        <v>190</v>
      </c>
      <c r="G52" s="1219"/>
      <c r="H52" s="1218"/>
      <c r="I52" s="1219"/>
      <c r="J52" s="1218"/>
      <c r="K52" s="1218"/>
      <c r="L52" s="1218"/>
      <c r="M52" s="1218"/>
      <c r="N52" s="1219"/>
      <c r="O52" s="1219"/>
      <c r="P52" s="1218"/>
      <c r="Q52" s="1219"/>
      <c r="R52" s="1218"/>
      <c r="S52" s="1218"/>
      <c r="T52" s="1218"/>
      <c r="U52" s="1218"/>
      <c r="V52" s="1218"/>
      <c r="W52" s="1219"/>
      <c r="X52" s="1219"/>
      <c r="Y52" s="399"/>
      <c r="AI52" s="91"/>
      <c r="AJ52" s="91"/>
      <c r="AK52" s="91"/>
      <c r="AL52" s="91"/>
      <c r="AM52" s="91"/>
      <c r="AN52" s="91"/>
      <c r="AO52" s="91"/>
      <c r="AP52" s="91"/>
      <c r="AQ52" s="91"/>
      <c r="AR52" s="91"/>
      <c r="AS52" s="91"/>
      <c r="AT52" s="91"/>
      <c r="AU52" s="91"/>
      <c r="AV52" s="91"/>
      <c r="AW52" s="91"/>
      <c r="AX52" s="91"/>
      <c r="AY52" s="91"/>
      <c r="AZ52" s="91"/>
      <c r="BA52" s="91"/>
      <c r="BB52" s="91"/>
      <c r="BC52" s="91"/>
    </row>
    <row r="53" spans="2:55" ht="25.2" customHeight="1">
      <c r="B53" s="329" t="s">
        <v>1022</v>
      </c>
      <c r="C53" s="1215" t="s">
        <v>758</v>
      </c>
      <c r="D53" s="1214" t="s">
        <v>1023</v>
      </c>
      <c r="E53" s="982" t="s">
        <v>190</v>
      </c>
      <c r="F53" s="982" t="s">
        <v>190</v>
      </c>
      <c r="G53" s="1219"/>
      <c r="H53" s="1218"/>
      <c r="I53" s="1219"/>
      <c r="J53" s="1218"/>
      <c r="K53" s="1218"/>
      <c r="L53" s="1218"/>
      <c r="M53" s="1218"/>
      <c r="N53" s="1219"/>
      <c r="O53" s="1219"/>
      <c r="P53" s="1218"/>
      <c r="Q53" s="1219"/>
      <c r="R53" s="1218"/>
      <c r="S53" s="1218"/>
      <c r="T53" s="1218"/>
      <c r="U53" s="1218"/>
      <c r="V53" s="1218"/>
      <c r="W53" s="1219"/>
      <c r="X53" s="1219"/>
      <c r="Y53" s="399"/>
      <c r="AI53" s="91"/>
      <c r="AJ53" s="91"/>
      <c r="AK53" s="91"/>
      <c r="AL53" s="91"/>
      <c r="AM53" s="91"/>
      <c r="AN53" s="91"/>
      <c r="AO53" s="91"/>
      <c r="AP53" s="91"/>
      <c r="AQ53" s="91"/>
      <c r="AR53" s="91"/>
      <c r="AS53" s="91"/>
      <c r="AT53" s="91"/>
      <c r="AU53" s="91"/>
      <c r="AV53" s="91"/>
      <c r="AW53" s="91"/>
      <c r="AX53" s="91"/>
      <c r="AY53" s="91"/>
      <c r="AZ53" s="91"/>
      <c r="BA53" s="91"/>
      <c r="BB53" s="91"/>
      <c r="BC53" s="91"/>
    </row>
    <row r="54" spans="2:55" ht="25.2" customHeight="1">
      <c r="B54" s="329" t="s">
        <v>1459</v>
      </c>
      <c r="C54" s="1215" t="s">
        <v>759</v>
      </c>
      <c r="D54" s="1214" t="s">
        <v>1023</v>
      </c>
      <c r="E54" s="982" t="s">
        <v>190</v>
      </c>
      <c r="F54" s="982" t="s">
        <v>190</v>
      </c>
      <c r="G54" s="1219"/>
      <c r="H54" s="1218"/>
      <c r="I54" s="1219"/>
      <c r="J54" s="1218"/>
      <c r="K54" s="1218"/>
      <c r="L54" s="1218"/>
      <c r="M54" s="1218"/>
      <c r="N54" s="1219"/>
      <c r="O54" s="1219"/>
      <c r="P54" s="1218"/>
      <c r="Q54" s="1219"/>
      <c r="R54" s="1218"/>
      <c r="S54" s="1218"/>
      <c r="T54" s="1218"/>
      <c r="U54" s="1218"/>
      <c r="V54" s="1218"/>
      <c r="W54" s="1219"/>
      <c r="X54" s="1219"/>
      <c r="Y54" s="399"/>
      <c r="AI54" s="91"/>
      <c r="AJ54" s="91"/>
      <c r="AK54" s="91"/>
      <c r="AL54" s="91"/>
      <c r="AM54" s="91"/>
      <c r="AN54" s="91"/>
      <c r="AO54" s="91"/>
      <c r="AP54" s="91"/>
      <c r="AQ54" s="91"/>
      <c r="AR54" s="91"/>
      <c r="AS54" s="91"/>
      <c r="AT54" s="91"/>
      <c r="AU54" s="91"/>
      <c r="AV54" s="91"/>
      <c r="AW54" s="91"/>
      <c r="AX54" s="91"/>
      <c r="AY54" s="91"/>
      <c r="AZ54" s="91"/>
      <c r="BA54" s="91"/>
      <c r="BB54" s="91"/>
      <c r="BC54" s="91"/>
    </row>
    <row r="55" spans="2:55" ht="25.2" customHeight="1">
      <c r="B55" s="329" t="s">
        <v>1460</v>
      </c>
      <c r="C55" s="1215" t="s">
        <v>760</v>
      </c>
      <c r="D55" s="1214" t="s">
        <v>1023</v>
      </c>
      <c r="E55" s="982" t="s">
        <v>190</v>
      </c>
      <c r="F55" s="982" t="s">
        <v>190</v>
      </c>
      <c r="G55" s="1219"/>
      <c r="H55" s="1218"/>
      <c r="I55" s="1219"/>
      <c r="J55" s="1218"/>
      <c r="K55" s="1218"/>
      <c r="L55" s="1218"/>
      <c r="M55" s="1218"/>
      <c r="N55" s="1219"/>
      <c r="O55" s="1219"/>
      <c r="P55" s="1218"/>
      <c r="Q55" s="1219"/>
      <c r="R55" s="1218"/>
      <c r="S55" s="1218"/>
      <c r="T55" s="1218"/>
      <c r="U55" s="1218"/>
      <c r="V55" s="1218"/>
      <c r="W55" s="1219"/>
      <c r="X55" s="1219"/>
      <c r="Y55" s="399"/>
      <c r="AI55" s="91"/>
      <c r="AJ55" s="91"/>
      <c r="AK55" s="91"/>
      <c r="AL55" s="91"/>
      <c r="AM55" s="91"/>
      <c r="AN55" s="91"/>
      <c r="AO55" s="91"/>
      <c r="AP55" s="91"/>
      <c r="AQ55" s="91"/>
      <c r="AR55" s="91"/>
      <c r="AS55" s="91"/>
      <c r="AT55" s="91"/>
      <c r="AU55" s="91"/>
      <c r="AV55" s="91"/>
      <c r="AW55" s="91"/>
      <c r="AX55" s="91"/>
      <c r="AY55" s="91"/>
      <c r="AZ55" s="91"/>
      <c r="BA55" s="91"/>
      <c r="BB55" s="91"/>
      <c r="BC55" s="91"/>
    </row>
    <row r="56" spans="2:55" ht="25.2" customHeight="1">
      <c r="B56" s="329" t="s">
        <v>1461</v>
      </c>
      <c r="C56" s="1215" t="s">
        <v>1747</v>
      </c>
      <c r="D56" s="1214" t="s">
        <v>164</v>
      </c>
      <c r="E56" s="982" t="s">
        <v>190</v>
      </c>
      <c r="F56" s="982" t="s">
        <v>190</v>
      </c>
      <c r="G56" s="1219"/>
      <c r="H56" s="1218"/>
      <c r="I56" s="1219"/>
      <c r="J56" s="1218"/>
      <c r="K56" s="1218"/>
      <c r="L56" s="1218"/>
      <c r="M56" s="1218"/>
      <c r="N56" s="1219"/>
      <c r="O56" s="1219"/>
      <c r="P56" s="1218"/>
      <c r="Q56" s="1219"/>
      <c r="R56" s="1218"/>
      <c r="S56" s="1218"/>
      <c r="T56" s="1218"/>
      <c r="U56" s="1218" t="s">
        <v>190</v>
      </c>
      <c r="V56" s="1218"/>
      <c r="W56" s="1219"/>
      <c r="X56" s="1219"/>
      <c r="Y56" s="399"/>
      <c r="AI56" s="91"/>
      <c r="AJ56" s="91"/>
      <c r="AK56" s="91"/>
      <c r="AL56" s="91"/>
      <c r="AM56" s="91"/>
      <c r="AN56" s="91"/>
      <c r="AO56" s="91"/>
      <c r="AP56" s="91"/>
      <c r="AQ56" s="91"/>
      <c r="AR56" s="91"/>
      <c r="AS56" s="91"/>
      <c r="AT56" s="91"/>
      <c r="AU56" s="91"/>
      <c r="AV56" s="91"/>
      <c r="AW56" s="91"/>
      <c r="AX56" s="91"/>
      <c r="AY56" s="91"/>
      <c r="AZ56" s="91"/>
      <c r="BA56" s="91"/>
      <c r="BB56" s="91"/>
      <c r="BC56" s="91"/>
    </row>
    <row r="57" spans="2:55" ht="25.2" customHeight="1">
      <c r="B57" s="329" t="s">
        <v>1750</v>
      </c>
      <c r="C57" s="1215" t="s">
        <v>1748</v>
      </c>
      <c r="D57" s="1214" t="s">
        <v>164</v>
      </c>
      <c r="E57" s="982" t="s">
        <v>190</v>
      </c>
      <c r="F57" s="982" t="s">
        <v>190</v>
      </c>
      <c r="G57" s="1219"/>
      <c r="H57" s="1218"/>
      <c r="I57" s="1219"/>
      <c r="J57" s="1218"/>
      <c r="K57" s="1218"/>
      <c r="L57" s="1218"/>
      <c r="M57" s="1218"/>
      <c r="N57" s="1219"/>
      <c r="O57" s="1219"/>
      <c r="P57" s="1218"/>
      <c r="Q57" s="1219"/>
      <c r="R57" s="1218"/>
      <c r="S57" s="1218"/>
      <c r="T57" s="1218"/>
      <c r="U57" s="1218" t="s">
        <v>190</v>
      </c>
      <c r="V57" s="1218"/>
      <c r="W57" s="1219"/>
      <c r="X57" s="1219"/>
      <c r="Y57" s="399"/>
      <c r="AI57" s="91"/>
      <c r="AJ57" s="91"/>
      <c r="AK57" s="91"/>
      <c r="AL57" s="91"/>
      <c r="AM57" s="91"/>
      <c r="AN57" s="91"/>
      <c r="AO57" s="91"/>
      <c r="AP57" s="91"/>
      <c r="AQ57" s="91"/>
      <c r="AR57" s="91"/>
      <c r="AS57" s="91"/>
      <c r="AT57" s="91"/>
      <c r="AU57" s="91"/>
      <c r="AV57" s="91"/>
      <c r="AW57" s="91"/>
      <c r="AX57" s="91"/>
      <c r="AY57" s="91"/>
      <c r="AZ57" s="91"/>
      <c r="BA57" s="91"/>
      <c r="BB57" s="91"/>
      <c r="BC57" s="91"/>
    </row>
    <row r="58" spans="2:55" ht="25.2" customHeight="1">
      <c r="B58" s="329" t="s">
        <v>1751</v>
      </c>
      <c r="C58" s="1215" t="s">
        <v>1749</v>
      </c>
      <c r="D58" s="1214" t="s">
        <v>164</v>
      </c>
      <c r="E58" s="982" t="s">
        <v>190</v>
      </c>
      <c r="F58" s="982" t="s">
        <v>190</v>
      </c>
      <c r="G58" s="1219"/>
      <c r="H58" s="1218"/>
      <c r="I58" s="1219"/>
      <c r="J58" s="1218"/>
      <c r="K58" s="1218"/>
      <c r="L58" s="1218"/>
      <c r="M58" s="1218"/>
      <c r="N58" s="1219"/>
      <c r="O58" s="1219"/>
      <c r="P58" s="1218"/>
      <c r="Q58" s="1219" t="s">
        <v>137</v>
      </c>
      <c r="R58" s="1218"/>
      <c r="S58" s="1218"/>
      <c r="T58" s="1218"/>
      <c r="U58" s="1218"/>
      <c r="V58" s="1218"/>
      <c r="W58" s="1219"/>
      <c r="X58" s="1219"/>
      <c r="Y58" s="889"/>
      <c r="AI58" s="91"/>
      <c r="AJ58" s="91"/>
      <c r="AK58" s="91"/>
      <c r="AL58" s="91"/>
      <c r="AM58" s="91"/>
      <c r="AN58" s="91"/>
      <c r="AO58" s="91"/>
      <c r="AP58" s="91"/>
      <c r="AQ58" s="91"/>
      <c r="AR58" s="91"/>
      <c r="AS58" s="91"/>
      <c r="AT58" s="91"/>
      <c r="AU58" s="91"/>
      <c r="AV58" s="91"/>
      <c r="AW58" s="91"/>
      <c r="AX58" s="91"/>
      <c r="AY58" s="91"/>
      <c r="AZ58" s="91"/>
      <c r="BA58" s="91"/>
      <c r="BB58" s="91"/>
      <c r="BC58" s="91"/>
    </row>
    <row r="59" spans="2:55" ht="25.2" customHeight="1">
      <c r="B59" s="329" t="s">
        <v>1752</v>
      </c>
      <c r="C59" s="865" t="s">
        <v>113</v>
      </c>
      <c r="D59" s="1214" t="s">
        <v>164</v>
      </c>
      <c r="E59" s="982" t="s">
        <v>190</v>
      </c>
      <c r="F59" s="982" t="s">
        <v>190</v>
      </c>
      <c r="G59" s="1208"/>
      <c r="H59" s="982"/>
      <c r="I59" s="1219"/>
      <c r="J59" s="1219"/>
      <c r="K59" s="1219"/>
      <c r="L59" s="1208" t="s">
        <v>190</v>
      </c>
      <c r="M59" s="1218"/>
      <c r="N59" s="1219"/>
      <c r="O59" s="1219"/>
      <c r="P59" s="1218"/>
      <c r="Q59" s="1219"/>
      <c r="R59" s="1218"/>
      <c r="S59" s="1218"/>
      <c r="T59" s="1218"/>
      <c r="U59" s="1208"/>
      <c r="V59" s="1208"/>
      <c r="W59" s="1219"/>
      <c r="X59" s="1219"/>
      <c r="Y59" s="399"/>
      <c r="AI59" s="91"/>
      <c r="AJ59" s="91"/>
      <c r="AK59" s="91"/>
      <c r="AL59" s="91"/>
      <c r="AM59" s="91"/>
      <c r="AN59" s="91"/>
      <c r="AO59" s="91"/>
      <c r="AP59" s="91"/>
      <c r="AQ59" s="91"/>
      <c r="AR59" s="91"/>
      <c r="AS59" s="91"/>
      <c r="AT59" s="91"/>
      <c r="AU59" s="91"/>
      <c r="AV59" s="91"/>
      <c r="AW59" s="91"/>
      <c r="AX59" s="91"/>
      <c r="AY59" s="91"/>
      <c r="AZ59" s="91"/>
      <c r="BA59" s="91"/>
      <c r="BB59" s="91"/>
      <c r="BC59" s="91"/>
    </row>
    <row r="60" spans="2:55" ht="25.2" customHeight="1">
      <c r="B60" s="394" t="s">
        <v>1753</v>
      </c>
      <c r="C60" s="1242" t="s">
        <v>1006</v>
      </c>
      <c r="D60" s="1243" t="s">
        <v>164</v>
      </c>
      <c r="E60" s="1264" t="s">
        <v>190</v>
      </c>
      <c r="F60" s="1265" t="s">
        <v>190</v>
      </c>
      <c r="G60" s="1245"/>
      <c r="H60" s="1244"/>
      <c r="I60" s="1265"/>
      <c r="J60" s="1265"/>
      <c r="K60" s="1265"/>
      <c r="L60" s="1244"/>
      <c r="M60" s="1264"/>
      <c r="N60" s="1265"/>
      <c r="O60" s="1265"/>
      <c r="P60" s="1264"/>
      <c r="Q60" s="1265"/>
      <c r="R60" s="1264"/>
      <c r="S60" s="1264"/>
      <c r="T60" s="1264"/>
      <c r="U60" s="1244"/>
      <c r="V60" s="1244"/>
      <c r="W60" s="1265"/>
      <c r="X60" s="1265"/>
      <c r="Y60" s="340"/>
      <c r="AI60" s="91"/>
      <c r="AJ60" s="91"/>
      <c r="AK60" s="91"/>
      <c r="AL60" s="91"/>
      <c r="AM60" s="91"/>
      <c r="AN60" s="91"/>
      <c r="AO60" s="91"/>
      <c r="AP60" s="91"/>
      <c r="AQ60" s="91"/>
      <c r="AR60" s="91"/>
      <c r="AS60" s="1455"/>
      <c r="AT60" s="1455"/>
      <c r="AU60" s="1455"/>
      <c r="AV60" s="1455"/>
      <c r="AW60" s="91"/>
      <c r="AX60" s="91"/>
      <c r="AY60" s="91"/>
      <c r="AZ60" s="1455"/>
      <c r="BA60" s="1455"/>
      <c r="BB60" s="1455"/>
      <c r="BC60" s="1455"/>
    </row>
    <row r="61" spans="2:55" ht="15" customHeight="1">
      <c r="B61" s="172"/>
      <c r="AG61" s="93"/>
      <c r="AH61" s="93"/>
      <c r="AI61" s="94"/>
      <c r="AJ61" s="93"/>
      <c r="AK61" s="93"/>
      <c r="AL61" s="93"/>
      <c r="AM61" s="93"/>
      <c r="AN61" s="93"/>
    </row>
    <row r="62" spans="2:55" ht="15" customHeight="1">
      <c r="AG62" s="93"/>
      <c r="AH62" s="93"/>
      <c r="AI62" s="94"/>
      <c r="AJ62" s="93"/>
      <c r="AK62" s="93"/>
      <c r="AL62" s="93"/>
      <c r="AM62" s="93"/>
      <c r="AN62" s="93"/>
    </row>
    <row r="63" spans="2:55" s="90" customFormat="1" ht="16.2">
      <c r="B63" s="197" t="s">
        <v>455</v>
      </c>
      <c r="C63" s="86"/>
      <c r="Y63" s="90" t="s">
        <v>1924</v>
      </c>
    </row>
    <row r="64" spans="2:55" ht="25.2" customHeight="1">
      <c r="B64" s="323" t="s">
        <v>178</v>
      </c>
      <c r="C64" s="324" t="s">
        <v>318</v>
      </c>
      <c r="D64" s="325"/>
      <c r="E64" s="326" t="s">
        <v>190</v>
      </c>
      <c r="F64" s="326" t="s">
        <v>190</v>
      </c>
      <c r="G64" s="327"/>
      <c r="H64" s="326"/>
      <c r="I64" s="327"/>
      <c r="J64" s="326"/>
      <c r="K64" s="326"/>
      <c r="L64" s="326"/>
      <c r="M64" s="326"/>
      <c r="N64" s="327"/>
      <c r="O64" s="327"/>
      <c r="P64" s="326"/>
      <c r="Q64" s="327"/>
      <c r="R64" s="326"/>
      <c r="S64" s="326"/>
      <c r="T64" s="326"/>
      <c r="U64" s="326"/>
      <c r="V64" s="326"/>
      <c r="W64" s="327"/>
      <c r="X64" s="327"/>
      <c r="Y64" s="328"/>
      <c r="AG64" s="91"/>
      <c r="AH64" s="91"/>
      <c r="AI64" s="95"/>
      <c r="AJ64" s="95"/>
      <c r="AK64" s="95"/>
      <c r="AL64" s="95"/>
      <c r="AM64" s="95"/>
      <c r="AN64" s="95"/>
      <c r="AO64" s="1454"/>
      <c r="AP64" s="1454"/>
      <c r="AQ64" s="1454"/>
      <c r="AR64" s="1454"/>
      <c r="AS64" s="1454"/>
      <c r="AT64" s="1454"/>
      <c r="AU64" s="1454"/>
      <c r="AV64" s="1454"/>
      <c r="AW64" s="95"/>
      <c r="AX64" s="95"/>
      <c r="AY64" s="95"/>
      <c r="AZ64" s="1454"/>
      <c r="BA64" s="1454"/>
      <c r="BB64" s="1454"/>
      <c r="BC64" s="1454"/>
    </row>
    <row r="65" spans="2:55" ht="25.2" customHeight="1">
      <c r="B65" s="394" t="s">
        <v>304</v>
      </c>
      <c r="C65" s="865" t="s">
        <v>90</v>
      </c>
      <c r="D65" s="1214"/>
      <c r="E65" s="982" t="s">
        <v>137</v>
      </c>
      <c r="F65" s="982" t="s">
        <v>137</v>
      </c>
      <c r="G65" s="1208" t="s">
        <v>138</v>
      </c>
      <c r="H65" s="982"/>
      <c r="I65" s="1208"/>
      <c r="J65" s="982"/>
      <c r="K65" s="332"/>
      <c r="L65" s="332"/>
      <c r="M65" s="332"/>
      <c r="N65" s="333"/>
      <c r="O65" s="333"/>
      <c r="P65" s="332"/>
      <c r="Q65" s="333"/>
      <c r="R65" s="332"/>
      <c r="S65" s="332"/>
      <c r="T65" s="332"/>
      <c r="U65" s="332"/>
      <c r="V65" s="332"/>
      <c r="W65" s="333"/>
      <c r="X65" s="333"/>
      <c r="Y65" s="334" t="s">
        <v>1043</v>
      </c>
      <c r="AG65" s="91"/>
      <c r="AH65" s="91"/>
      <c r="AI65" s="95"/>
      <c r="AJ65" s="95"/>
      <c r="AK65" s="95"/>
      <c r="AL65" s="95"/>
      <c r="AM65" s="95"/>
      <c r="AN65" s="95"/>
      <c r="AO65" s="95"/>
      <c r="AP65" s="95"/>
      <c r="AQ65" s="95"/>
      <c r="AR65" s="95"/>
      <c r="AS65" s="95"/>
      <c r="AT65" s="95"/>
      <c r="AU65" s="95"/>
      <c r="AV65" s="95"/>
      <c r="AW65" s="95"/>
      <c r="AX65" s="95"/>
      <c r="AY65" s="95"/>
      <c r="AZ65" s="95"/>
      <c r="BA65" s="95"/>
      <c r="BB65" s="95"/>
      <c r="BC65" s="95"/>
    </row>
    <row r="66" spans="2:55" ht="25.2" customHeight="1">
      <c r="B66" s="394" t="s">
        <v>305</v>
      </c>
      <c r="C66" s="865" t="s">
        <v>1372</v>
      </c>
      <c r="D66" s="1214"/>
      <c r="E66" s="982" t="s">
        <v>190</v>
      </c>
      <c r="F66" s="982" t="s">
        <v>190</v>
      </c>
      <c r="G66" s="1208"/>
      <c r="H66" s="982"/>
      <c r="I66" s="1208"/>
      <c r="J66" s="982"/>
      <c r="K66" s="332"/>
      <c r="L66" s="332"/>
      <c r="M66" s="332"/>
      <c r="N66" s="333"/>
      <c r="O66" s="333"/>
      <c r="P66" s="332"/>
      <c r="Q66" s="333"/>
      <c r="R66" s="332"/>
      <c r="S66" s="332"/>
      <c r="T66" s="332"/>
      <c r="U66" s="332"/>
      <c r="V66" s="332"/>
      <c r="W66" s="333"/>
      <c r="X66" s="333"/>
      <c r="Y66" s="334"/>
      <c r="AI66" s="91"/>
      <c r="AJ66" s="91"/>
      <c r="AK66" s="91"/>
      <c r="AL66" s="91"/>
      <c r="AM66" s="91"/>
      <c r="AN66" s="91"/>
      <c r="AO66" s="91"/>
      <c r="AP66" s="91"/>
      <c r="AQ66" s="91"/>
      <c r="AR66" s="91"/>
      <c r="AS66" s="91"/>
      <c r="AT66" s="91"/>
      <c r="AU66" s="91"/>
      <c r="AV66" s="91"/>
      <c r="AW66" s="91"/>
      <c r="AX66" s="91"/>
      <c r="AY66" s="91"/>
      <c r="AZ66" s="91"/>
      <c r="BA66" s="91"/>
      <c r="BB66" s="91"/>
      <c r="BC66" s="91"/>
    </row>
    <row r="67" spans="2:55" ht="25.2" customHeight="1">
      <c r="B67" s="394" t="s">
        <v>306</v>
      </c>
      <c r="C67" s="865" t="s">
        <v>1373</v>
      </c>
      <c r="D67" s="1214"/>
      <c r="E67" s="982" t="s">
        <v>190</v>
      </c>
      <c r="F67" s="982" t="s">
        <v>190</v>
      </c>
      <c r="G67" s="1208"/>
      <c r="H67" s="982"/>
      <c r="I67" s="1208"/>
      <c r="J67" s="982"/>
      <c r="K67" s="332"/>
      <c r="L67" s="332"/>
      <c r="M67" s="332"/>
      <c r="N67" s="333"/>
      <c r="O67" s="333"/>
      <c r="P67" s="332"/>
      <c r="Q67" s="333"/>
      <c r="R67" s="332"/>
      <c r="S67" s="332"/>
      <c r="T67" s="332"/>
      <c r="U67" s="332"/>
      <c r="V67" s="332"/>
      <c r="W67" s="333"/>
      <c r="X67" s="333"/>
      <c r="Y67" s="334"/>
      <c r="AI67" s="91"/>
      <c r="AJ67" s="91"/>
      <c r="AK67" s="91"/>
      <c r="AL67" s="91"/>
      <c r="AM67" s="91"/>
      <c r="AN67" s="91"/>
      <c r="AO67" s="91"/>
      <c r="AP67" s="91"/>
      <c r="AQ67" s="91"/>
      <c r="AR67" s="91"/>
      <c r="AS67" s="91"/>
      <c r="AT67" s="91"/>
      <c r="AU67" s="91"/>
      <c r="AV67" s="91"/>
      <c r="AW67" s="91"/>
      <c r="AX67" s="91"/>
      <c r="AY67" s="91"/>
      <c r="AZ67" s="91"/>
      <c r="BA67" s="91"/>
      <c r="BB67" s="91"/>
      <c r="BC67" s="91"/>
    </row>
    <row r="68" spans="2:55" ht="48" customHeight="1">
      <c r="B68" s="394" t="s">
        <v>307</v>
      </c>
      <c r="C68" s="1224" t="s">
        <v>761</v>
      </c>
      <c r="D68" s="1214"/>
      <c r="E68" s="982" t="s">
        <v>137</v>
      </c>
      <c r="F68" s="982" t="s">
        <v>137</v>
      </c>
      <c r="G68" s="1208"/>
      <c r="H68" s="982"/>
      <c r="I68" s="1208"/>
      <c r="J68" s="982"/>
      <c r="K68" s="332"/>
      <c r="L68" s="332"/>
      <c r="M68" s="332"/>
      <c r="N68" s="333"/>
      <c r="O68" s="333"/>
      <c r="P68" s="332"/>
      <c r="Q68" s="333"/>
      <c r="R68" s="332"/>
      <c r="S68" s="332"/>
      <c r="T68" s="332"/>
      <c r="U68" s="332"/>
      <c r="V68" s="332"/>
      <c r="W68" s="333"/>
      <c r="X68" s="333"/>
      <c r="Y68" s="334" t="s">
        <v>1035</v>
      </c>
      <c r="AG68" s="91"/>
      <c r="AH68" s="91"/>
      <c r="AI68" s="95"/>
      <c r="AJ68" s="95"/>
      <c r="AK68" s="95"/>
      <c r="AL68" s="95"/>
      <c r="AM68" s="95"/>
      <c r="AN68" s="95"/>
      <c r="AO68" s="95"/>
      <c r="AP68" s="95"/>
      <c r="AQ68" s="95"/>
      <c r="AR68" s="95"/>
      <c r="AS68" s="95"/>
      <c r="AT68" s="95"/>
      <c r="AU68" s="95"/>
      <c r="AV68" s="95"/>
      <c r="AW68" s="95"/>
      <c r="AX68" s="95"/>
      <c r="AY68" s="95"/>
      <c r="AZ68" s="95"/>
      <c r="BA68" s="95"/>
      <c r="BB68" s="95"/>
      <c r="BC68" s="95"/>
    </row>
    <row r="69" spans="2:55" ht="25.2" customHeight="1">
      <c r="B69" s="394" t="s">
        <v>308</v>
      </c>
      <c r="C69" s="865" t="s">
        <v>170</v>
      </c>
      <c r="D69" s="1214"/>
      <c r="E69" s="982" t="s">
        <v>190</v>
      </c>
      <c r="F69" s="982" t="s">
        <v>190</v>
      </c>
      <c r="G69" s="1208" t="s">
        <v>191</v>
      </c>
      <c r="H69" s="982"/>
      <c r="I69" s="1208"/>
      <c r="J69" s="982"/>
      <c r="K69" s="332"/>
      <c r="L69" s="332"/>
      <c r="M69" s="332"/>
      <c r="N69" s="333"/>
      <c r="O69" s="333"/>
      <c r="P69" s="332"/>
      <c r="Q69" s="333"/>
      <c r="R69" s="332"/>
      <c r="S69" s="332"/>
      <c r="T69" s="332"/>
      <c r="U69" s="332"/>
      <c r="V69" s="332"/>
      <c r="W69" s="333"/>
      <c r="X69" s="333"/>
      <c r="Y69" s="334" t="s">
        <v>1052</v>
      </c>
      <c r="AG69" s="91"/>
      <c r="AH69" s="91"/>
      <c r="AI69" s="95"/>
      <c r="AJ69" s="95"/>
      <c r="AK69" s="95"/>
      <c r="AL69" s="95"/>
      <c r="AM69" s="95"/>
      <c r="AN69" s="95"/>
      <c r="AO69" s="1454"/>
      <c r="AP69" s="1454"/>
      <c r="AQ69" s="1454"/>
      <c r="AR69" s="1454"/>
      <c r="AS69" s="1454"/>
      <c r="AT69" s="1454"/>
      <c r="AU69" s="1454"/>
      <c r="AV69" s="1454"/>
      <c r="AW69" s="95"/>
      <c r="AX69" s="95"/>
      <c r="AY69" s="95"/>
      <c r="AZ69" s="1454"/>
      <c r="BA69" s="1454"/>
      <c r="BB69" s="1454"/>
      <c r="BC69" s="1454"/>
    </row>
    <row r="70" spans="2:55" ht="25.2" customHeight="1">
      <c r="B70" s="394" t="s">
        <v>309</v>
      </c>
      <c r="C70" s="865" t="s">
        <v>171</v>
      </c>
      <c r="D70" s="1214"/>
      <c r="E70" s="982" t="s">
        <v>190</v>
      </c>
      <c r="F70" s="982" t="s">
        <v>190</v>
      </c>
      <c r="G70" s="1208" t="s">
        <v>191</v>
      </c>
      <c r="H70" s="982"/>
      <c r="I70" s="1208"/>
      <c r="J70" s="982"/>
      <c r="K70" s="332"/>
      <c r="L70" s="332"/>
      <c r="M70" s="332"/>
      <c r="N70" s="333"/>
      <c r="O70" s="333"/>
      <c r="P70" s="332"/>
      <c r="Q70" s="333"/>
      <c r="R70" s="332"/>
      <c r="S70" s="332"/>
      <c r="T70" s="332"/>
      <c r="U70" s="332"/>
      <c r="V70" s="332"/>
      <c r="W70" s="333"/>
      <c r="X70" s="333"/>
      <c r="Y70" s="334" t="s">
        <v>453</v>
      </c>
      <c r="AI70" s="95"/>
      <c r="AJ70" s="95"/>
      <c r="AK70" s="95"/>
      <c r="AL70" s="95"/>
      <c r="AM70" s="95"/>
      <c r="AN70" s="95"/>
      <c r="AO70" s="1454"/>
      <c r="AP70" s="1454"/>
      <c r="AQ70" s="1454"/>
      <c r="AR70" s="1454"/>
      <c r="AS70" s="1454"/>
      <c r="AT70" s="1454"/>
      <c r="AU70" s="1454"/>
      <c r="AV70" s="1454"/>
      <c r="AW70" s="95"/>
      <c r="AX70" s="95"/>
      <c r="AY70" s="95"/>
      <c r="AZ70" s="1454"/>
      <c r="BA70" s="1454"/>
      <c r="BB70" s="1454"/>
      <c r="BC70" s="1454"/>
    </row>
    <row r="71" spans="2:55" ht="25.2" customHeight="1">
      <c r="B71" s="394" t="s">
        <v>310</v>
      </c>
      <c r="C71" s="865" t="s">
        <v>762</v>
      </c>
      <c r="D71" s="1214"/>
      <c r="E71" s="982" t="s">
        <v>190</v>
      </c>
      <c r="F71" s="982" t="s">
        <v>190</v>
      </c>
      <c r="G71" s="1208"/>
      <c r="H71" s="982"/>
      <c r="I71" s="1208"/>
      <c r="J71" s="982"/>
      <c r="K71" s="332"/>
      <c r="L71" s="332"/>
      <c r="M71" s="332"/>
      <c r="N71" s="333"/>
      <c r="O71" s="333"/>
      <c r="P71" s="332"/>
      <c r="Q71" s="333"/>
      <c r="R71" s="332"/>
      <c r="S71" s="332"/>
      <c r="T71" s="332"/>
      <c r="U71" s="332"/>
      <c r="V71" s="332"/>
      <c r="W71" s="333"/>
      <c r="X71" s="333"/>
      <c r="Y71" s="885"/>
      <c r="AG71" s="92"/>
      <c r="AH71" s="92"/>
      <c r="AI71" s="95"/>
      <c r="AJ71" s="95"/>
      <c r="AK71" s="95"/>
      <c r="AL71" s="95"/>
      <c r="AM71" s="95"/>
      <c r="AN71" s="95"/>
      <c r="AO71" s="1454"/>
      <c r="AP71" s="1454"/>
      <c r="AQ71" s="1454"/>
      <c r="AR71" s="1454"/>
      <c r="AS71" s="1454"/>
      <c r="AT71" s="1454"/>
      <c r="AU71" s="1454"/>
      <c r="AV71" s="1454"/>
      <c r="AW71" s="95"/>
      <c r="AX71" s="95"/>
      <c r="AY71" s="95"/>
      <c r="AZ71" s="1454"/>
      <c r="BA71" s="1454"/>
      <c r="BB71" s="1454"/>
      <c r="BC71" s="1454"/>
    </row>
    <row r="72" spans="2:55" ht="25.2" customHeight="1">
      <c r="B72" s="394" t="s">
        <v>311</v>
      </c>
      <c r="C72" s="865" t="s">
        <v>172</v>
      </c>
      <c r="D72" s="1214"/>
      <c r="E72" s="982" t="s">
        <v>190</v>
      </c>
      <c r="F72" s="982" t="s">
        <v>190</v>
      </c>
      <c r="G72" s="1208" t="s">
        <v>191</v>
      </c>
      <c r="H72" s="982"/>
      <c r="I72" s="1208"/>
      <c r="J72" s="982"/>
      <c r="K72" s="332"/>
      <c r="L72" s="332"/>
      <c r="M72" s="332"/>
      <c r="N72" s="333"/>
      <c r="O72" s="333"/>
      <c r="P72" s="332"/>
      <c r="Q72" s="333"/>
      <c r="R72" s="332"/>
      <c r="S72" s="332"/>
      <c r="T72" s="332"/>
      <c r="U72" s="332"/>
      <c r="V72" s="332"/>
      <c r="W72" s="333"/>
      <c r="X72" s="333"/>
      <c r="Y72" s="334" t="s">
        <v>1887</v>
      </c>
      <c r="AG72" s="91"/>
      <c r="AH72" s="91"/>
      <c r="AI72" s="95"/>
      <c r="AJ72" s="95"/>
      <c r="AK72" s="95"/>
      <c r="AL72" s="95"/>
      <c r="AM72" s="95"/>
      <c r="AN72" s="95"/>
      <c r="AO72" s="1454"/>
      <c r="AP72" s="1454"/>
      <c r="AQ72" s="1454"/>
      <c r="AR72" s="1454"/>
      <c r="AS72" s="1454"/>
      <c r="AT72" s="1454"/>
      <c r="AU72" s="1454"/>
      <c r="AV72" s="1454"/>
      <c r="AW72" s="95"/>
      <c r="AX72" s="95"/>
      <c r="AY72" s="95"/>
      <c r="AZ72" s="1454"/>
      <c r="BA72" s="1454"/>
      <c r="BB72" s="1454"/>
      <c r="BC72" s="1454"/>
    </row>
    <row r="73" spans="2:55" ht="25.2" customHeight="1">
      <c r="B73" s="394" t="s">
        <v>312</v>
      </c>
      <c r="C73" s="1224" t="s">
        <v>1300</v>
      </c>
      <c r="D73" s="1214"/>
      <c r="E73" s="982" t="s">
        <v>190</v>
      </c>
      <c r="F73" s="982" t="s">
        <v>190</v>
      </c>
      <c r="G73" s="1208"/>
      <c r="H73" s="982"/>
      <c r="I73" s="1208"/>
      <c r="J73" s="982"/>
      <c r="K73" s="332"/>
      <c r="L73" s="332"/>
      <c r="M73" s="332"/>
      <c r="N73" s="333"/>
      <c r="O73" s="333"/>
      <c r="P73" s="332"/>
      <c r="Q73" s="333"/>
      <c r="R73" s="332"/>
      <c r="S73" s="332"/>
      <c r="T73" s="332"/>
      <c r="U73" s="332"/>
      <c r="V73" s="332"/>
      <c r="W73" s="333"/>
      <c r="X73" s="333"/>
      <c r="Y73" s="334"/>
      <c r="AG73" s="91"/>
      <c r="AH73" s="91"/>
      <c r="AI73" s="95"/>
      <c r="AJ73" s="95"/>
      <c r="AK73" s="95"/>
      <c r="AL73" s="95"/>
      <c r="AM73" s="95"/>
      <c r="AN73" s="95"/>
      <c r="AO73" s="95"/>
      <c r="AP73" s="95"/>
      <c r="AQ73" s="95"/>
      <c r="AR73" s="95"/>
      <c r="AS73" s="95"/>
      <c r="AT73" s="95"/>
      <c r="AU73" s="95"/>
      <c r="AV73" s="95"/>
      <c r="AW73" s="95"/>
      <c r="AX73" s="95"/>
      <c r="AY73" s="95"/>
      <c r="AZ73" s="95"/>
      <c r="BA73" s="95"/>
      <c r="BB73" s="95"/>
      <c r="BC73" s="95"/>
    </row>
    <row r="74" spans="2:55" ht="25.2" customHeight="1">
      <c r="B74" s="394" t="s">
        <v>313</v>
      </c>
      <c r="C74" s="330" t="s">
        <v>173</v>
      </c>
      <c r="D74" s="331"/>
      <c r="E74" s="332" t="s">
        <v>190</v>
      </c>
      <c r="F74" s="332" t="s">
        <v>190</v>
      </c>
      <c r="G74" s="333" t="s">
        <v>191</v>
      </c>
      <c r="H74" s="332"/>
      <c r="I74" s="333"/>
      <c r="J74" s="332"/>
      <c r="K74" s="332"/>
      <c r="L74" s="332"/>
      <c r="M74" s="332"/>
      <c r="N74" s="333"/>
      <c r="O74" s="333"/>
      <c r="P74" s="332"/>
      <c r="Q74" s="333"/>
      <c r="R74" s="332"/>
      <c r="S74" s="332"/>
      <c r="T74" s="332"/>
      <c r="U74" s="332"/>
      <c r="V74" s="332"/>
      <c r="W74" s="333"/>
      <c r="X74" s="333"/>
      <c r="Y74" s="334" t="s">
        <v>1887</v>
      </c>
      <c r="AG74" s="91"/>
      <c r="AH74" s="91"/>
      <c r="AI74" s="95"/>
      <c r="AJ74" s="95"/>
      <c r="AK74" s="95"/>
      <c r="AL74" s="95"/>
      <c r="AM74" s="95"/>
      <c r="AN74" s="95"/>
      <c r="AO74" s="1454"/>
      <c r="AP74" s="1454"/>
      <c r="AQ74" s="1454"/>
      <c r="AR74" s="1454"/>
      <c r="AS74" s="1454"/>
      <c r="AT74" s="1454"/>
      <c r="AU74" s="1454"/>
      <c r="AV74" s="1454"/>
      <c r="AW74" s="95"/>
      <c r="AX74" s="95"/>
      <c r="AY74" s="95"/>
      <c r="AZ74" s="1454"/>
      <c r="BA74" s="1454"/>
      <c r="BB74" s="1454"/>
      <c r="BC74" s="1454"/>
    </row>
    <row r="75" spans="2:55" ht="25.2" customHeight="1">
      <c r="B75" s="394" t="s">
        <v>314</v>
      </c>
      <c r="C75" s="330" t="s">
        <v>174</v>
      </c>
      <c r="D75" s="331"/>
      <c r="E75" s="332" t="s">
        <v>190</v>
      </c>
      <c r="F75" s="332" t="s">
        <v>190</v>
      </c>
      <c r="G75" s="333" t="s">
        <v>191</v>
      </c>
      <c r="H75" s="332"/>
      <c r="I75" s="333"/>
      <c r="J75" s="332"/>
      <c r="K75" s="332"/>
      <c r="L75" s="332"/>
      <c r="M75" s="332"/>
      <c r="N75" s="333"/>
      <c r="O75" s="333"/>
      <c r="P75" s="332"/>
      <c r="Q75" s="333"/>
      <c r="R75" s="332"/>
      <c r="S75" s="332"/>
      <c r="T75" s="332"/>
      <c r="U75" s="332"/>
      <c r="V75" s="332"/>
      <c r="W75" s="333"/>
      <c r="X75" s="333"/>
      <c r="Y75" s="334" t="s">
        <v>1887</v>
      </c>
      <c r="AG75" s="91"/>
      <c r="AH75" s="91"/>
      <c r="AI75" s="95"/>
      <c r="AJ75" s="95"/>
      <c r="AK75" s="95"/>
      <c r="AL75" s="95"/>
      <c r="AM75" s="95"/>
      <c r="AN75" s="95"/>
      <c r="AO75" s="1454"/>
      <c r="AP75" s="1454"/>
      <c r="AQ75" s="1454"/>
      <c r="AR75" s="1454"/>
      <c r="AS75" s="1454"/>
      <c r="AT75" s="1454"/>
      <c r="AU75" s="1454"/>
      <c r="AV75" s="1454"/>
      <c r="AW75" s="95"/>
      <c r="AX75" s="95"/>
      <c r="AY75" s="95"/>
      <c r="AZ75" s="1454"/>
      <c r="BA75" s="1454"/>
      <c r="BB75" s="1454"/>
      <c r="BC75" s="1454"/>
    </row>
    <row r="76" spans="2:55" ht="25.2" customHeight="1">
      <c r="B76" s="394" t="s">
        <v>315</v>
      </c>
      <c r="C76" s="330" t="s">
        <v>175</v>
      </c>
      <c r="D76" s="332"/>
      <c r="E76" s="332" t="s">
        <v>190</v>
      </c>
      <c r="F76" s="332" t="s">
        <v>190</v>
      </c>
      <c r="G76" s="333"/>
      <c r="H76" s="332"/>
      <c r="I76" s="333"/>
      <c r="J76" s="332"/>
      <c r="K76" s="332"/>
      <c r="L76" s="332"/>
      <c r="M76" s="332"/>
      <c r="N76" s="333"/>
      <c r="O76" s="333"/>
      <c r="P76" s="332"/>
      <c r="Q76" s="333"/>
      <c r="R76" s="332"/>
      <c r="S76" s="332"/>
      <c r="T76" s="332"/>
      <c r="U76" s="332"/>
      <c r="V76" s="332"/>
      <c r="W76" s="333"/>
      <c r="X76" s="333"/>
      <c r="Y76" s="334"/>
      <c r="AG76" s="91"/>
      <c r="AH76" s="91"/>
      <c r="AI76" s="95"/>
      <c r="AJ76" s="95"/>
      <c r="AK76" s="95"/>
      <c r="AL76" s="95"/>
      <c r="AM76" s="95"/>
      <c r="AN76" s="95"/>
      <c r="AO76" s="1454"/>
      <c r="AP76" s="1454"/>
      <c r="AQ76" s="1454"/>
      <c r="AR76" s="1454"/>
      <c r="AS76" s="1454"/>
      <c r="AT76" s="1454"/>
      <c r="AU76" s="1454"/>
      <c r="AV76" s="1454"/>
      <c r="AW76" s="95"/>
      <c r="AX76" s="95"/>
      <c r="AY76" s="95"/>
      <c r="AZ76" s="1454"/>
      <c r="BA76" s="1454"/>
      <c r="BB76" s="1454"/>
      <c r="BC76" s="1454"/>
    </row>
    <row r="77" spans="2:55" ht="25.2" customHeight="1">
      <c r="B77" s="394" t="s">
        <v>316</v>
      </c>
      <c r="C77" s="330" t="s">
        <v>1028</v>
      </c>
      <c r="D77" s="331"/>
      <c r="E77" s="332" t="s">
        <v>190</v>
      </c>
      <c r="F77" s="332" t="s">
        <v>190</v>
      </c>
      <c r="G77" s="333" t="s">
        <v>191</v>
      </c>
      <c r="H77" s="332"/>
      <c r="I77" s="333"/>
      <c r="J77" s="332"/>
      <c r="K77" s="332"/>
      <c r="L77" s="332"/>
      <c r="M77" s="332"/>
      <c r="N77" s="333"/>
      <c r="O77" s="333"/>
      <c r="P77" s="332"/>
      <c r="Q77" s="333"/>
      <c r="R77" s="332"/>
      <c r="S77" s="332"/>
      <c r="T77" s="332"/>
      <c r="U77" s="332"/>
      <c r="V77" s="332"/>
      <c r="W77" s="333"/>
      <c r="X77" s="333"/>
      <c r="Y77" s="334" t="s">
        <v>1887</v>
      </c>
      <c r="AG77" s="91"/>
      <c r="AH77" s="91"/>
      <c r="AI77" s="95"/>
      <c r="AJ77" s="95"/>
      <c r="AK77" s="95"/>
      <c r="AL77" s="95"/>
      <c r="AM77" s="95"/>
      <c r="AN77" s="95"/>
      <c r="AO77" s="1454"/>
      <c r="AP77" s="1454"/>
      <c r="AQ77" s="1454"/>
      <c r="AR77" s="1454"/>
      <c r="AS77" s="1454"/>
      <c r="AT77" s="1454"/>
      <c r="AU77" s="1454"/>
      <c r="AV77" s="1454"/>
      <c r="AW77" s="95"/>
      <c r="AX77" s="95"/>
      <c r="AY77" s="95"/>
      <c r="AZ77" s="1454"/>
      <c r="BA77" s="1454"/>
      <c r="BB77" s="1454"/>
      <c r="BC77" s="1454"/>
    </row>
    <row r="78" spans="2:55" ht="25.2" customHeight="1">
      <c r="B78" s="394" t="s">
        <v>317</v>
      </c>
      <c r="C78" s="330" t="s">
        <v>763</v>
      </c>
      <c r="D78" s="331"/>
      <c r="E78" s="332" t="s">
        <v>190</v>
      </c>
      <c r="F78" s="332" t="s">
        <v>190</v>
      </c>
      <c r="G78" s="333" t="s">
        <v>191</v>
      </c>
      <c r="H78" s="332"/>
      <c r="I78" s="333"/>
      <c r="J78" s="332"/>
      <c r="K78" s="332"/>
      <c r="L78" s="332"/>
      <c r="M78" s="332"/>
      <c r="N78" s="333"/>
      <c r="O78" s="333"/>
      <c r="P78" s="332"/>
      <c r="Q78" s="333"/>
      <c r="R78" s="332"/>
      <c r="S78" s="332"/>
      <c r="T78" s="332"/>
      <c r="U78" s="332"/>
      <c r="V78" s="332"/>
      <c r="W78" s="333"/>
      <c r="X78" s="333"/>
      <c r="Y78" s="334" t="s">
        <v>1833</v>
      </c>
      <c r="AG78" s="91"/>
      <c r="AH78" s="91"/>
      <c r="AI78" s="95"/>
      <c r="AJ78" s="95"/>
      <c r="AK78" s="95"/>
      <c r="AL78" s="95"/>
      <c r="AM78" s="95"/>
      <c r="AN78" s="95"/>
      <c r="AO78" s="1454"/>
      <c r="AP78" s="1454"/>
      <c r="AQ78" s="1454"/>
      <c r="AR78" s="1454"/>
      <c r="AS78" s="1454"/>
      <c r="AT78" s="1454"/>
      <c r="AU78" s="1454"/>
      <c r="AV78" s="1454"/>
      <c r="AW78" s="95"/>
      <c r="AX78" s="95"/>
      <c r="AY78" s="95"/>
      <c r="AZ78" s="1454"/>
      <c r="BA78" s="1454"/>
      <c r="BB78" s="1454"/>
      <c r="BC78" s="1454"/>
    </row>
    <row r="79" spans="2:55" ht="25.2" customHeight="1">
      <c r="B79" s="394" t="s">
        <v>1025</v>
      </c>
      <c r="C79" s="330" t="s">
        <v>176</v>
      </c>
      <c r="D79" s="331"/>
      <c r="E79" s="332" t="s">
        <v>190</v>
      </c>
      <c r="F79" s="332" t="s">
        <v>190</v>
      </c>
      <c r="G79" s="333" t="s">
        <v>191</v>
      </c>
      <c r="H79" s="332"/>
      <c r="I79" s="333"/>
      <c r="J79" s="332"/>
      <c r="K79" s="332"/>
      <c r="L79" s="332"/>
      <c r="M79" s="332"/>
      <c r="N79" s="333" t="s">
        <v>190</v>
      </c>
      <c r="O79" s="333" t="s">
        <v>190</v>
      </c>
      <c r="P79" s="332"/>
      <c r="Q79" s="333"/>
      <c r="R79" s="332"/>
      <c r="S79" s="332"/>
      <c r="T79" s="332"/>
      <c r="U79" s="332"/>
      <c r="V79" s="332"/>
      <c r="W79" s="333"/>
      <c r="X79" s="333"/>
      <c r="Y79" s="334" t="s">
        <v>1834</v>
      </c>
      <c r="AG79" s="91"/>
      <c r="AH79" s="91"/>
      <c r="AI79" s="95"/>
      <c r="AJ79" s="95"/>
      <c r="AK79" s="95"/>
      <c r="AL79" s="95"/>
      <c r="AM79" s="95"/>
      <c r="AN79" s="95"/>
      <c r="AO79" s="1454"/>
      <c r="AP79" s="1454"/>
      <c r="AQ79" s="1454"/>
      <c r="AR79" s="1454"/>
      <c r="AS79" s="1454"/>
      <c r="AT79" s="1454"/>
      <c r="AU79" s="1454"/>
      <c r="AV79" s="1454"/>
      <c r="AW79" s="95"/>
      <c r="AX79" s="95"/>
      <c r="AY79" s="95"/>
      <c r="AZ79" s="1454"/>
      <c r="BA79" s="1454"/>
      <c r="BB79" s="1454"/>
      <c r="BC79" s="1454"/>
    </row>
    <row r="80" spans="2:55" ht="25.2" customHeight="1">
      <c r="B80" s="394" t="s">
        <v>1026</v>
      </c>
      <c r="C80" s="330" t="s">
        <v>764</v>
      </c>
      <c r="D80" s="331"/>
      <c r="E80" s="332" t="s">
        <v>190</v>
      </c>
      <c r="F80" s="332" t="s">
        <v>190</v>
      </c>
      <c r="G80" s="333"/>
      <c r="H80" s="332"/>
      <c r="I80" s="333"/>
      <c r="J80" s="332"/>
      <c r="K80" s="332"/>
      <c r="L80" s="332"/>
      <c r="M80" s="332"/>
      <c r="N80" s="333"/>
      <c r="O80" s="333"/>
      <c r="P80" s="332"/>
      <c r="Q80" s="333"/>
      <c r="R80" s="332"/>
      <c r="S80" s="332"/>
      <c r="T80" s="332"/>
      <c r="U80" s="332"/>
      <c r="V80" s="332"/>
      <c r="W80" s="333"/>
      <c r="X80" s="333"/>
      <c r="Y80" s="334"/>
      <c r="AG80" s="91"/>
      <c r="AH80" s="91"/>
      <c r="AI80" s="95"/>
      <c r="AJ80" s="95"/>
      <c r="AK80" s="95"/>
      <c r="AL80" s="95"/>
      <c r="AM80" s="95"/>
      <c r="AN80" s="95"/>
      <c r="AO80" s="95"/>
      <c r="AP80" s="95"/>
      <c r="AQ80" s="95"/>
      <c r="AR80" s="95"/>
      <c r="AS80" s="95"/>
      <c r="AT80" s="95"/>
      <c r="AU80" s="95"/>
      <c r="AV80" s="95"/>
      <c r="AW80" s="95"/>
      <c r="AX80" s="95"/>
      <c r="AY80" s="95"/>
      <c r="AZ80" s="95"/>
      <c r="BA80" s="95"/>
      <c r="BB80" s="95"/>
      <c r="BC80" s="95"/>
    </row>
    <row r="81" spans="2:55" ht="25.2" customHeight="1">
      <c r="B81" s="394" t="s">
        <v>1759</v>
      </c>
      <c r="C81" s="330" t="s">
        <v>765</v>
      </c>
      <c r="D81" s="331"/>
      <c r="E81" s="332" t="s">
        <v>190</v>
      </c>
      <c r="F81" s="332" t="s">
        <v>190</v>
      </c>
      <c r="G81" s="333"/>
      <c r="H81" s="332"/>
      <c r="I81" s="333"/>
      <c r="J81" s="332"/>
      <c r="K81" s="332"/>
      <c r="L81" s="332"/>
      <c r="M81" s="332"/>
      <c r="N81" s="333"/>
      <c r="O81" s="333"/>
      <c r="P81" s="332" t="s">
        <v>190</v>
      </c>
      <c r="Q81" s="333"/>
      <c r="R81" s="332"/>
      <c r="S81" s="332"/>
      <c r="T81" s="332"/>
      <c r="U81" s="332"/>
      <c r="V81" s="332"/>
      <c r="W81" s="333"/>
      <c r="X81" s="333"/>
      <c r="Y81" s="334"/>
      <c r="AG81" s="91"/>
      <c r="AH81" s="91"/>
      <c r="AI81" s="95"/>
      <c r="AJ81" s="95"/>
      <c r="AK81" s="95"/>
      <c r="AL81" s="95"/>
      <c r="AM81" s="95"/>
      <c r="AN81" s="95"/>
      <c r="AO81" s="1454"/>
      <c r="AP81" s="1454"/>
      <c r="AQ81" s="1454"/>
      <c r="AR81" s="1454"/>
      <c r="AS81" s="1454"/>
      <c r="AT81" s="1454"/>
      <c r="AU81" s="1454"/>
      <c r="AV81" s="1454"/>
      <c r="AW81" s="95"/>
      <c r="AX81" s="95"/>
      <c r="AY81" s="95"/>
      <c r="AZ81" s="1454"/>
      <c r="BA81" s="1454"/>
      <c r="BB81" s="1454"/>
      <c r="BC81" s="1454"/>
    </row>
    <row r="82" spans="2:55" ht="25.2" customHeight="1">
      <c r="B82" s="394" t="s">
        <v>1760</v>
      </c>
      <c r="C82" s="330" t="s">
        <v>113</v>
      </c>
      <c r="D82" s="331"/>
      <c r="E82" s="332" t="s">
        <v>190</v>
      </c>
      <c r="F82" s="332" t="s">
        <v>190</v>
      </c>
      <c r="G82" s="333"/>
      <c r="H82" s="332"/>
      <c r="I82" s="333"/>
      <c r="J82" s="332"/>
      <c r="K82" s="332" t="s">
        <v>190</v>
      </c>
      <c r="L82" s="332"/>
      <c r="M82" s="332"/>
      <c r="N82" s="333"/>
      <c r="O82" s="333"/>
      <c r="P82" s="332"/>
      <c r="Q82" s="333"/>
      <c r="R82" s="332"/>
      <c r="S82" s="332"/>
      <c r="T82" s="332"/>
      <c r="U82" s="332"/>
      <c r="V82" s="332"/>
      <c r="W82" s="333"/>
      <c r="X82" s="333"/>
      <c r="Y82" s="334"/>
      <c r="AG82" s="91"/>
      <c r="AH82" s="91"/>
      <c r="AI82" s="95"/>
      <c r="AJ82" s="95"/>
      <c r="AK82" s="95"/>
      <c r="AL82" s="95"/>
      <c r="AM82" s="95"/>
      <c r="AN82" s="95"/>
      <c r="AO82" s="95"/>
      <c r="AP82" s="95"/>
      <c r="AQ82" s="95"/>
      <c r="AR82" s="95"/>
      <c r="AS82" s="95"/>
      <c r="AT82" s="95"/>
      <c r="AU82" s="95"/>
      <c r="AV82" s="95"/>
      <c r="AW82" s="95"/>
      <c r="AX82" s="95"/>
      <c r="AY82" s="95"/>
      <c r="AZ82" s="95"/>
      <c r="BA82" s="95"/>
      <c r="BB82" s="95"/>
      <c r="BC82" s="95"/>
    </row>
    <row r="83" spans="2:55" ht="25.2" customHeight="1">
      <c r="B83" s="336" t="s">
        <v>1761</v>
      </c>
      <c r="C83" s="554" t="s">
        <v>1006</v>
      </c>
      <c r="D83" s="549"/>
      <c r="E83" s="550" t="s">
        <v>190</v>
      </c>
      <c r="F83" s="550" t="s">
        <v>190</v>
      </c>
      <c r="G83" s="555"/>
      <c r="H83" s="550"/>
      <c r="I83" s="555"/>
      <c r="J83" s="550"/>
      <c r="K83" s="550"/>
      <c r="L83" s="550"/>
      <c r="M83" s="550"/>
      <c r="N83" s="555"/>
      <c r="O83" s="555"/>
      <c r="P83" s="550"/>
      <c r="Q83" s="555"/>
      <c r="R83" s="550"/>
      <c r="S83" s="550"/>
      <c r="T83" s="550"/>
      <c r="U83" s="550"/>
      <c r="V83" s="550"/>
      <c r="W83" s="555"/>
      <c r="X83" s="555"/>
      <c r="Y83" s="556"/>
      <c r="AG83" s="91"/>
      <c r="AH83" s="91"/>
      <c r="AI83" s="95"/>
      <c r="AJ83" s="95"/>
      <c r="AK83" s="95"/>
      <c r="AL83" s="95"/>
      <c r="AM83" s="95"/>
      <c r="AN83" s="95"/>
      <c r="AO83" s="1454"/>
      <c r="AP83" s="1454"/>
      <c r="AQ83" s="1454"/>
      <c r="AR83" s="1454"/>
      <c r="AS83" s="1454"/>
      <c r="AT83" s="1454"/>
      <c r="AU83" s="1454"/>
      <c r="AV83" s="1454"/>
      <c r="AW83" s="95"/>
      <c r="AX83" s="95"/>
      <c r="AY83" s="95"/>
      <c r="AZ83" s="1454"/>
      <c r="BA83" s="1454"/>
      <c r="BB83" s="1454"/>
      <c r="BC83" s="1454"/>
    </row>
    <row r="84" spans="2:55" ht="15" customHeight="1">
      <c r="Y84" s="100"/>
      <c r="AG84" s="91"/>
      <c r="AH84" s="91"/>
    </row>
    <row r="85" spans="2:55" ht="15" customHeight="1">
      <c r="Y85" s="100"/>
      <c r="AG85" s="91"/>
      <c r="AH85" s="91"/>
    </row>
    <row r="86" spans="2:55" ht="15" customHeight="1">
      <c r="Y86" s="100"/>
      <c r="AG86" s="91"/>
      <c r="AH86" s="91"/>
    </row>
    <row r="87" spans="2:55" s="90" customFormat="1" ht="16.2">
      <c r="B87" s="197" t="s">
        <v>456</v>
      </c>
      <c r="C87" s="86"/>
      <c r="D87" s="86"/>
      <c r="Y87" s="90" t="s">
        <v>177</v>
      </c>
    </row>
    <row r="88" spans="2:55" ht="25.2" customHeight="1">
      <c r="B88" s="323" t="s">
        <v>179</v>
      </c>
      <c r="C88" s="1230" t="s">
        <v>90</v>
      </c>
      <c r="D88" s="1231"/>
      <c r="E88" s="1211" t="s">
        <v>137</v>
      </c>
      <c r="F88" s="1211" t="s">
        <v>137</v>
      </c>
      <c r="G88" s="1232" t="s">
        <v>138</v>
      </c>
      <c r="H88" s="326"/>
      <c r="I88" s="327"/>
      <c r="J88" s="326"/>
      <c r="K88" s="326"/>
      <c r="L88" s="326"/>
      <c r="M88" s="326"/>
      <c r="N88" s="327"/>
      <c r="O88" s="327"/>
      <c r="P88" s="326"/>
      <c r="Q88" s="327"/>
      <c r="R88" s="326"/>
      <c r="S88" s="326"/>
      <c r="T88" s="326"/>
      <c r="U88" s="326"/>
      <c r="V88" s="326"/>
      <c r="W88" s="327"/>
      <c r="X88" s="327"/>
      <c r="Y88" s="328" t="s">
        <v>1888</v>
      </c>
      <c r="AG88" s="91"/>
      <c r="AH88" s="91"/>
      <c r="AI88" s="95"/>
      <c r="AJ88" s="95"/>
      <c r="AK88" s="95"/>
      <c r="AL88" s="95"/>
      <c r="AM88" s="95"/>
      <c r="AN88" s="95"/>
      <c r="AO88" s="1454"/>
      <c r="AP88" s="1454"/>
      <c r="AQ88" s="1454"/>
      <c r="AR88" s="1454"/>
      <c r="AS88" s="1454"/>
      <c r="AT88" s="1454"/>
      <c r="AU88" s="1454"/>
      <c r="AV88" s="1454"/>
      <c r="AW88" s="95"/>
      <c r="AX88" s="95"/>
      <c r="AY88" s="95"/>
      <c r="AZ88" s="1454"/>
      <c r="BA88" s="1454"/>
      <c r="BB88" s="1454"/>
      <c r="BC88" s="1454"/>
    </row>
    <row r="89" spans="2:55" ht="25.2" customHeight="1">
      <c r="B89" s="329" t="s">
        <v>180</v>
      </c>
      <c r="C89" s="865" t="s">
        <v>1372</v>
      </c>
      <c r="D89" s="1214"/>
      <c r="E89" s="982" t="s">
        <v>190</v>
      </c>
      <c r="F89" s="982" t="s">
        <v>190</v>
      </c>
      <c r="G89" s="1208"/>
      <c r="H89" s="332"/>
      <c r="I89" s="333"/>
      <c r="J89" s="332"/>
      <c r="K89" s="332"/>
      <c r="L89" s="332"/>
      <c r="M89" s="332"/>
      <c r="N89" s="333"/>
      <c r="O89" s="333"/>
      <c r="P89" s="332"/>
      <c r="Q89" s="333"/>
      <c r="R89" s="332"/>
      <c r="S89" s="332"/>
      <c r="T89" s="332"/>
      <c r="U89" s="332"/>
      <c r="V89" s="332"/>
      <c r="W89" s="333"/>
      <c r="X89" s="333"/>
      <c r="Y89" s="334"/>
      <c r="AI89" s="91"/>
      <c r="AJ89" s="91"/>
      <c r="AK89" s="91"/>
      <c r="AL89" s="91"/>
      <c r="AM89" s="91"/>
      <c r="AN89" s="91"/>
      <c r="AO89" s="91"/>
      <c r="AP89" s="91"/>
      <c r="AQ89" s="91"/>
      <c r="AR89" s="91"/>
      <c r="AS89" s="91"/>
      <c r="AT89" s="91"/>
      <c r="AU89" s="91"/>
      <c r="AV89" s="91"/>
      <c r="AW89" s="91"/>
      <c r="AX89" s="91"/>
      <c r="AY89" s="91"/>
      <c r="AZ89" s="91"/>
      <c r="BA89" s="91"/>
      <c r="BB89" s="91"/>
      <c r="BC89" s="91"/>
    </row>
    <row r="90" spans="2:55" ht="25.2" customHeight="1">
      <c r="B90" s="329" t="s">
        <v>181</v>
      </c>
      <c r="C90" s="865" t="s">
        <v>1373</v>
      </c>
      <c r="D90" s="1214"/>
      <c r="E90" s="982" t="s">
        <v>190</v>
      </c>
      <c r="F90" s="982" t="s">
        <v>190</v>
      </c>
      <c r="G90" s="1208"/>
      <c r="H90" s="332"/>
      <c r="I90" s="333"/>
      <c r="J90" s="332"/>
      <c r="K90" s="332"/>
      <c r="L90" s="332"/>
      <c r="M90" s="332"/>
      <c r="N90" s="333"/>
      <c r="O90" s="333"/>
      <c r="P90" s="332"/>
      <c r="Q90" s="333"/>
      <c r="R90" s="332"/>
      <c r="S90" s="332"/>
      <c r="T90" s="332"/>
      <c r="U90" s="332"/>
      <c r="V90" s="332"/>
      <c r="W90" s="333"/>
      <c r="X90" s="333"/>
      <c r="Y90" s="334"/>
      <c r="AI90" s="91"/>
      <c r="AJ90" s="91"/>
      <c r="AK90" s="91"/>
      <c r="AL90" s="91"/>
      <c r="AM90" s="91"/>
      <c r="AN90" s="91"/>
      <c r="AO90" s="91"/>
      <c r="AP90" s="91"/>
      <c r="AQ90" s="91"/>
      <c r="AR90" s="91"/>
      <c r="AS90" s="91"/>
      <c r="AT90" s="91"/>
      <c r="AU90" s="91"/>
      <c r="AV90" s="91"/>
      <c r="AW90" s="91"/>
      <c r="AX90" s="91"/>
      <c r="AY90" s="91"/>
      <c r="AZ90" s="91"/>
      <c r="BA90" s="91"/>
      <c r="BB90" s="91"/>
      <c r="BC90" s="91"/>
    </row>
    <row r="91" spans="2:55" ht="25.2" customHeight="1">
      <c r="B91" s="329" t="s">
        <v>182</v>
      </c>
      <c r="C91" s="865" t="s">
        <v>174</v>
      </c>
      <c r="D91" s="1214"/>
      <c r="E91" s="982" t="s">
        <v>137</v>
      </c>
      <c r="F91" s="982" t="s">
        <v>137</v>
      </c>
      <c r="G91" s="1208" t="s">
        <v>138</v>
      </c>
      <c r="H91" s="332"/>
      <c r="I91" s="333"/>
      <c r="J91" s="332"/>
      <c r="K91" s="332"/>
      <c r="L91" s="332"/>
      <c r="M91" s="332"/>
      <c r="N91" s="333"/>
      <c r="O91" s="333"/>
      <c r="P91" s="332"/>
      <c r="Q91" s="333"/>
      <c r="R91" s="332"/>
      <c r="S91" s="332"/>
      <c r="T91" s="332"/>
      <c r="U91" s="332"/>
      <c r="V91" s="332"/>
      <c r="W91" s="333"/>
      <c r="X91" s="333"/>
      <c r="Y91" s="334" t="s">
        <v>1887</v>
      </c>
      <c r="AI91" s="95"/>
      <c r="AJ91" s="95"/>
      <c r="AK91" s="95"/>
      <c r="AL91" s="95"/>
      <c r="AM91" s="95"/>
      <c r="AN91" s="95"/>
      <c r="AO91" s="1454"/>
      <c r="AP91" s="1454"/>
      <c r="AQ91" s="1454"/>
      <c r="AR91" s="1454"/>
      <c r="AS91" s="1454"/>
      <c r="AT91" s="1454"/>
      <c r="AU91" s="1454"/>
      <c r="AV91" s="1454"/>
      <c r="AW91" s="95"/>
      <c r="AX91" s="95"/>
      <c r="AY91" s="95"/>
      <c r="AZ91" s="1454"/>
      <c r="BA91" s="1454"/>
      <c r="BB91" s="1454"/>
      <c r="BC91" s="1454"/>
    </row>
    <row r="92" spans="2:55" ht="25.2" customHeight="1">
      <c r="B92" s="329" t="s">
        <v>183</v>
      </c>
      <c r="C92" s="865" t="s">
        <v>175</v>
      </c>
      <c r="D92" s="982"/>
      <c r="E92" s="982" t="s">
        <v>190</v>
      </c>
      <c r="F92" s="982" t="s">
        <v>190</v>
      </c>
      <c r="G92" s="1208"/>
      <c r="H92" s="332"/>
      <c r="I92" s="333"/>
      <c r="J92" s="332"/>
      <c r="K92" s="332"/>
      <c r="L92" s="332"/>
      <c r="M92" s="332"/>
      <c r="N92" s="333"/>
      <c r="O92" s="333"/>
      <c r="P92" s="332"/>
      <c r="Q92" s="333"/>
      <c r="R92" s="332"/>
      <c r="S92" s="332"/>
      <c r="T92" s="332"/>
      <c r="U92" s="332"/>
      <c r="V92" s="332"/>
      <c r="W92" s="333"/>
      <c r="X92" s="333"/>
      <c r="Y92" s="334"/>
      <c r="AG92" s="92"/>
      <c r="AH92" s="92"/>
      <c r="AI92" s="95"/>
      <c r="AJ92" s="95"/>
      <c r="AK92" s="95"/>
      <c r="AL92" s="95"/>
      <c r="AM92" s="95"/>
      <c r="AN92" s="95"/>
      <c r="AO92" s="1454"/>
      <c r="AP92" s="1454"/>
      <c r="AQ92" s="1454"/>
      <c r="AR92" s="1454"/>
      <c r="AS92" s="1454"/>
      <c r="AT92" s="1454"/>
      <c r="AU92" s="1454"/>
      <c r="AV92" s="1454"/>
      <c r="AW92" s="95"/>
      <c r="AX92" s="95"/>
      <c r="AY92" s="95"/>
      <c r="AZ92" s="1454"/>
      <c r="BA92" s="1454"/>
      <c r="BB92" s="1454"/>
      <c r="BC92" s="1454"/>
    </row>
    <row r="93" spans="2:55" ht="25.2" customHeight="1">
      <c r="B93" s="329" t="s">
        <v>184</v>
      </c>
      <c r="C93" s="865" t="s">
        <v>1028</v>
      </c>
      <c r="D93" s="1214"/>
      <c r="E93" s="982" t="s">
        <v>190</v>
      </c>
      <c r="F93" s="982" t="s">
        <v>190</v>
      </c>
      <c r="G93" s="1208" t="s">
        <v>191</v>
      </c>
      <c r="H93" s="332"/>
      <c r="I93" s="333"/>
      <c r="J93" s="332"/>
      <c r="K93" s="332"/>
      <c r="L93" s="332"/>
      <c r="M93" s="332"/>
      <c r="N93" s="333"/>
      <c r="O93" s="333"/>
      <c r="P93" s="332"/>
      <c r="Q93" s="333"/>
      <c r="R93" s="332"/>
      <c r="S93" s="332"/>
      <c r="T93" s="332"/>
      <c r="U93" s="332"/>
      <c r="V93" s="332"/>
      <c r="W93" s="333"/>
      <c r="X93" s="333"/>
      <c r="Y93" s="334" t="s">
        <v>1887</v>
      </c>
      <c r="AG93" s="91"/>
      <c r="AH93" s="91"/>
      <c r="AI93" s="95"/>
      <c r="AJ93" s="95"/>
      <c r="AK93" s="95"/>
      <c r="AL93" s="95"/>
      <c r="AM93" s="95"/>
      <c r="AN93" s="95"/>
      <c r="AO93" s="1454"/>
      <c r="AP93" s="1454"/>
      <c r="AQ93" s="1454"/>
      <c r="AR93" s="1454"/>
      <c r="AS93" s="1454"/>
      <c r="AT93" s="1454"/>
      <c r="AU93" s="1454"/>
      <c r="AV93" s="1454"/>
      <c r="AW93" s="95"/>
      <c r="AX93" s="95"/>
      <c r="AY93" s="95"/>
      <c r="AZ93" s="1454"/>
      <c r="BA93" s="1454"/>
      <c r="BB93" s="1454"/>
      <c r="BC93" s="1454"/>
    </row>
    <row r="94" spans="2:55" ht="25.2" customHeight="1">
      <c r="B94" s="329" t="s">
        <v>185</v>
      </c>
      <c r="C94" s="865" t="s">
        <v>763</v>
      </c>
      <c r="D94" s="1214"/>
      <c r="E94" s="982" t="s">
        <v>190</v>
      </c>
      <c r="F94" s="982" t="s">
        <v>190</v>
      </c>
      <c r="G94" s="1208" t="s">
        <v>191</v>
      </c>
      <c r="H94" s="332"/>
      <c r="I94" s="333"/>
      <c r="J94" s="332"/>
      <c r="K94" s="332"/>
      <c r="L94" s="332"/>
      <c r="M94" s="332"/>
      <c r="N94" s="333"/>
      <c r="O94" s="333"/>
      <c r="P94" s="332"/>
      <c r="Q94" s="333"/>
      <c r="R94" s="332"/>
      <c r="S94" s="332"/>
      <c r="T94" s="332"/>
      <c r="U94" s="332"/>
      <c r="V94" s="332"/>
      <c r="W94" s="333"/>
      <c r="X94" s="333"/>
      <c r="Y94" s="334" t="s">
        <v>1887</v>
      </c>
      <c r="AG94" s="91"/>
      <c r="AH94" s="91"/>
      <c r="AI94" s="95"/>
      <c r="AJ94" s="95"/>
      <c r="AK94" s="95"/>
      <c r="AL94" s="95"/>
      <c r="AM94" s="95"/>
      <c r="AN94" s="95"/>
      <c r="AO94" s="1454"/>
      <c r="AP94" s="1454"/>
      <c r="AQ94" s="1454"/>
      <c r="AR94" s="1454"/>
      <c r="AS94" s="1454"/>
      <c r="AT94" s="1454"/>
      <c r="AU94" s="1454"/>
      <c r="AV94" s="1454"/>
      <c r="AW94" s="95"/>
      <c r="AX94" s="95"/>
      <c r="AY94" s="95"/>
      <c r="AZ94" s="1454"/>
      <c r="BA94" s="1454"/>
      <c r="BB94" s="1454"/>
      <c r="BC94" s="1454"/>
    </row>
    <row r="95" spans="2:55" ht="25.2" customHeight="1">
      <c r="B95" s="329" t="s">
        <v>186</v>
      </c>
      <c r="C95" s="865" t="s">
        <v>1762</v>
      </c>
      <c r="D95" s="1214"/>
      <c r="E95" s="982" t="s">
        <v>190</v>
      </c>
      <c r="F95" s="982" t="s">
        <v>190</v>
      </c>
      <c r="G95" s="1208"/>
      <c r="H95" s="332"/>
      <c r="I95" s="333"/>
      <c r="J95" s="332"/>
      <c r="K95" s="332"/>
      <c r="L95" s="332"/>
      <c r="M95" s="332"/>
      <c r="N95" s="333"/>
      <c r="O95" s="333"/>
      <c r="P95" s="332"/>
      <c r="Q95" s="333"/>
      <c r="R95" s="332"/>
      <c r="S95" s="332"/>
      <c r="T95" s="332"/>
      <c r="U95" s="332"/>
      <c r="V95" s="332"/>
      <c r="W95" s="333"/>
      <c r="X95" s="333"/>
      <c r="Y95" s="334"/>
      <c r="AG95" s="91"/>
      <c r="AH95" s="91"/>
      <c r="AI95" s="95"/>
      <c r="AJ95" s="95"/>
      <c r="AK95" s="95"/>
      <c r="AL95" s="95"/>
      <c r="AM95" s="95"/>
      <c r="AN95" s="95"/>
      <c r="AO95" s="1454"/>
      <c r="AP95" s="1454"/>
      <c r="AQ95" s="1454"/>
      <c r="AR95" s="1454"/>
      <c r="AS95" s="1454"/>
      <c r="AT95" s="1454"/>
      <c r="AU95" s="1454"/>
      <c r="AV95" s="1454"/>
      <c r="AW95" s="95"/>
      <c r="AX95" s="95"/>
      <c r="AY95" s="95"/>
      <c r="AZ95" s="1454"/>
      <c r="BA95" s="1454"/>
      <c r="BB95" s="1454"/>
      <c r="BC95" s="1454"/>
    </row>
    <row r="96" spans="2:55" ht="25.2" customHeight="1">
      <c r="B96" s="329" t="s">
        <v>187</v>
      </c>
      <c r="C96" s="1215" t="s">
        <v>764</v>
      </c>
      <c r="D96" s="1266"/>
      <c r="E96" s="1218" t="s">
        <v>190</v>
      </c>
      <c r="F96" s="1218" t="s">
        <v>190</v>
      </c>
      <c r="G96" s="1219"/>
      <c r="H96" s="397"/>
      <c r="I96" s="398"/>
      <c r="J96" s="397"/>
      <c r="K96" s="397"/>
      <c r="L96" s="397"/>
      <c r="M96" s="397"/>
      <c r="N96" s="398"/>
      <c r="O96" s="398"/>
      <c r="P96" s="397"/>
      <c r="Q96" s="398"/>
      <c r="R96" s="397"/>
      <c r="S96" s="397"/>
      <c r="T96" s="397"/>
      <c r="U96" s="397"/>
      <c r="V96" s="397"/>
      <c r="W96" s="398"/>
      <c r="X96" s="398"/>
      <c r="Y96" s="400"/>
      <c r="AG96" s="91"/>
      <c r="AH96" s="91"/>
      <c r="AI96" s="95"/>
      <c r="AJ96" s="95"/>
      <c r="AK96" s="95"/>
      <c r="AL96" s="95"/>
      <c r="AM96" s="95"/>
      <c r="AN96" s="95"/>
      <c r="AO96" s="95"/>
      <c r="AP96" s="95"/>
      <c r="AQ96" s="95"/>
      <c r="AR96" s="95"/>
      <c r="AS96" s="95"/>
      <c r="AT96" s="95"/>
      <c r="AU96" s="95"/>
      <c r="AV96" s="95"/>
      <c r="AW96" s="95"/>
      <c r="AX96" s="95"/>
      <c r="AY96" s="95"/>
      <c r="AZ96" s="95"/>
      <c r="BA96" s="95"/>
      <c r="BB96" s="95"/>
      <c r="BC96" s="95"/>
    </row>
    <row r="97" spans="2:55" ht="25.2" customHeight="1">
      <c r="B97" s="329" t="s">
        <v>188</v>
      </c>
      <c r="C97" s="395" t="s">
        <v>113</v>
      </c>
      <c r="D97" s="331"/>
      <c r="E97" s="332" t="s">
        <v>190</v>
      </c>
      <c r="F97" s="332" t="s">
        <v>190</v>
      </c>
      <c r="G97" s="333"/>
      <c r="H97" s="332"/>
      <c r="I97" s="333"/>
      <c r="J97" s="332"/>
      <c r="K97" s="332" t="s">
        <v>190</v>
      </c>
      <c r="L97" s="332"/>
      <c r="M97" s="332"/>
      <c r="N97" s="333"/>
      <c r="O97" s="333"/>
      <c r="P97" s="333"/>
      <c r="Q97" s="333"/>
      <c r="R97" s="332"/>
      <c r="S97" s="332"/>
      <c r="T97" s="332"/>
      <c r="U97" s="332"/>
      <c r="V97" s="332"/>
      <c r="W97" s="333"/>
      <c r="X97" s="333"/>
      <c r="Y97" s="334"/>
      <c r="AG97" s="91"/>
      <c r="AH97" s="91"/>
      <c r="AI97" s="95"/>
      <c r="AJ97" s="95"/>
      <c r="AK97" s="95"/>
      <c r="AL97" s="95"/>
      <c r="AM97" s="95"/>
      <c r="AN97" s="95"/>
      <c r="AO97" s="1454"/>
      <c r="AP97" s="1454"/>
      <c r="AQ97" s="1454"/>
      <c r="AR97" s="1454"/>
      <c r="AS97" s="1454"/>
      <c r="AT97" s="1454"/>
      <c r="AU97" s="1454"/>
      <c r="AV97" s="1454"/>
      <c r="AW97" s="95"/>
      <c r="AX97" s="95"/>
      <c r="AY97" s="95"/>
      <c r="AZ97" s="1454"/>
      <c r="BA97" s="1454"/>
      <c r="BB97" s="1454"/>
      <c r="BC97" s="1454"/>
    </row>
    <row r="98" spans="2:55" ht="25.2" customHeight="1">
      <c r="B98" s="336" t="s">
        <v>1027</v>
      </c>
      <c r="C98" s="337" t="s">
        <v>1006</v>
      </c>
      <c r="D98" s="549"/>
      <c r="E98" s="550" t="s">
        <v>190</v>
      </c>
      <c r="F98" s="550" t="s">
        <v>190</v>
      </c>
      <c r="G98" s="555"/>
      <c r="H98" s="550"/>
      <c r="I98" s="555"/>
      <c r="J98" s="550"/>
      <c r="K98" s="550"/>
      <c r="L98" s="550"/>
      <c r="M98" s="550"/>
      <c r="N98" s="555"/>
      <c r="O98" s="555"/>
      <c r="P98" s="550"/>
      <c r="Q98" s="555"/>
      <c r="R98" s="550"/>
      <c r="S98" s="550"/>
      <c r="T98" s="550"/>
      <c r="U98" s="550"/>
      <c r="V98" s="550"/>
      <c r="W98" s="555"/>
      <c r="X98" s="555"/>
      <c r="Y98" s="556"/>
      <c r="AG98" s="91"/>
      <c r="AH98" s="91"/>
      <c r="AI98" s="95"/>
      <c r="AJ98" s="95"/>
      <c r="AK98" s="95"/>
      <c r="AL98" s="95"/>
      <c r="AM98" s="95"/>
      <c r="AN98" s="95"/>
      <c r="AO98" s="1454"/>
      <c r="AP98" s="1454"/>
      <c r="AQ98" s="1454"/>
      <c r="AR98" s="1454"/>
      <c r="AS98" s="1454"/>
      <c r="AT98" s="1454"/>
      <c r="AU98" s="1454"/>
      <c r="AV98" s="1454"/>
      <c r="AW98" s="95"/>
      <c r="AX98" s="95"/>
      <c r="AY98" s="95"/>
      <c r="AZ98" s="1454"/>
      <c r="BA98" s="1454"/>
      <c r="BB98" s="1454"/>
      <c r="BC98" s="1454"/>
    </row>
    <row r="99" spans="2:55" ht="15" customHeight="1">
      <c r="B99" s="597"/>
      <c r="E99" s="96"/>
      <c r="F99" s="96"/>
      <c r="G99" s="96"/>
      <c r="H99" s="96"/>
      <c r="I99" s="96"/>
      <c r="J99" s="96"/>
      <c r="K99" s="96"/>
      <c r="L99" s="96"/>
      <c r="M99" s="96"/>
      <c r="N99" s="96"/>
      <c r="O99" s="96"/>
      <c r="P99" s="96"/>
      <c r="Q99" s="96"/>
      <c r="R99" s="96"/>
      <c r="S99" s="96"/>
      <c r="T99" s="96"/>
      <c r="U99" s="96"/>
      <c r="V99" s="96"/>
      <c r="W99" s="96"/>
      <c r="X99" s="96"/>
      <c r="Y99" s="100"/>
      <c r="AG99" s="91"/>
      <c r="AH99" s="91"/>
      <c r="AI99" s="95"/>
      <c r="AJ99" s="95"/>
      <c r="AK99" s="95"/>
      <c r="AL99" s="95"/>
      <c r="AM99" s="95"/>
      <c r="AN99" s="95"/>
      <c r="AO99" s="95"/>
      <c r="AP99" s="95"/>
      <c r="AQ99" s="95"/>
      <c r="AR99" s="95"/>
      <c r="AS99" s="95"/>
      <c r="AT99" s="95"/>
      <c r="AU99" s="95"/>
      <c r="AV99" s="95"/>
      <c r="AW99" s="95"/>
      <c r="AX99" s="95"/>
      <c r="AY99" s="95"/>
      <c r="AZ99" s="95"/>
      <c r="BA99" s="95"/>
      <c r="BB99" s="95"/>
      <c r="BC99" s="95"/>
    </row>
    <row r="100" spans="2:55" ht="15" customHeight="1">
      <c r="B100" s="597"/>
      <c r="E100" s="96"/>
      <c r="F100" s="96"/>
      <c r="G100" s="96"/>
      <c r="H100" s="96"/>
      <c r="I100" s="96"/>
      <c r="J100" s="96"/>
      <c r="K100" s="96"/>
      <c r="L100" s="96"/>
      <c r="M100" s="96"/>
      <c r="N100" s="96"/>
      <c r="O100" s="96"/>
      <c r="P100" s="96"/>
      <c r="Q100" s="96"/>
      <c r="R100" s="96"/>
      <c r="S100" s="96"/>
      <c r="T100" s="96"/>
      <c r="U100" s="96"/>
      <c r="V100" s="96"/>
      <c r="W100" s="96"/>
      <c r="X100" s="96"/>
      <c r="Y100" s="100"/>
      <c r="AG100" s="91"/>
      <c r="AH100" s="91"/>
      <c r="AI100" s="95"/>
      <c r="AJ100" s="95"/>
      <c r="AK100" s="95"/>
      <c r="AL100" s="95"/>
      <c r="AM100" s="95"/>
      <c r="AN100" s="95"/>
      <c r="AO100" s="95"/>
      <c r="AP100" s="95"/>
      <c r="AQ100" s="95"/>
      <c r="AR100" s="95"/>
      <c r="AS100" s="95"/>
      <c r="AT100" s="95"/>
      <c r="AU100" s="95"/>
      <c r="AV100" s="95"/>
      <c r="AW100" s="95"/>
      <c r="AX100" s="95"/>
      <c r="AY100" s="95"/>
      <c r="AZ100" s="95"/>
      <c r="BA100" s="95"/>
      <c r="BB100" s="95"/>
      <c r="BC100" s="95"/>
    </row>
    <row r="101" spans="2:55" s="90" customFormat="1" ht="16.2">
      <c r="B101" s="197" t="s">
        <v>457</v>
      </c>
      <c r="D101" s="90" t="s">
        <v>322</v>
      </c>
      <c r="AG101" s="91"/>
      <c r="AH101" s="91"/>
    </row>
    <row r="102" spans="2:55" ht="25.2" customHeight="1">
      <c r="B102" s="323" t="s">
        <v>328</v>
      </c>
      <c r="C102" s="324" t="s">
        <v>108</v>
      </c>
      <c r="D102" s="325" t="s">
        <v>164</v>
      </c>
      <c r="E102" s="326" t="s">
        <v>137</v>
      </c>
      <c r="F102" s="326" t="s">
        <v>137</v>
      </c>
      <c r="G102" s="327" t="s">
        <v>138</v>
      </c>
      <c r="H102" s="326"/>
      <c r="I102" s="327"/>
      <c r="J102" s="326"/>
      <c r="K102" s="326"/>
      <c r="L102" s="326"/>
      <c r="M102" s="326"/>
      <c r="N102" s="327"/>
      <c r="O102" s="327"/>
      <c r="P102" s="326"/>
      <c r="Q102" s="327"/>
      <c r="R102" s="326"/>
      <c r="S102" s="326"/>
      <c r="T102" s="326"/>
      <c r="U102" s="326"/>
      <c r="V102" s="326"/>
      <c r="W102" s="327"/>
      <c r="X102" s="327"/>
      <c r="Y102" s="328" t="s">
        <v>1883</v>
      </c>
      <c r="AG102" s="91"/>
      <c r="AH102" s="91"/>
      <c r="AI102" s="95"/>
      <c r="AJ102" s="95"/>
      <c r="AK102" s="95"/>
      <c r="AL102" s="95"/>
      <c r="AM102" s="95"/>
      <c r="AN102" s="95"/>
      <c r="AO102" s="1454"/>
      <c r="AP102" s="1454"/>
      <c r="AQ102" s="1454"/>
      <c r="AR102" s="1454"/>
      <c r="AS102" s="1454"/>
      <c r="AT102" s="1454"/>
      <c r="AU102" s="1454"/>
      <c r="AV102" s="1454"/>
      <c r="AW102" s="95"/>
      <c r="AX102" s="95"/>
      <c r="AY102" s="95"/>
      <c r="AZ102" s="1454"/>
      <c r="BA102" s="1454"/>
      <c r="BB102" s="1454"/>
      <c r="BC102" s="1454"/>
    </row>
    <row r="103" spans="2:55" ht="25.2" customHeight="1">
      <c r="B103" s="329" t="s">
        <v>329</v>
      </c>
      <c r="C103" s="330" t="s">
        <v>90</v>
      </c>
      <c r="D103" s="331" t="s">
        <v>164</v>
      </c>
      <c r="E103" s="332" t="s">
        <v>137</v>
      </c>
      <c r="F103" s="332" t="s">
        <v>137</v>
      </c>
      <c r="G103" s="333" t="s">
        <v>138</v>
      </c>
      <c r="H103" s="332"/>
      <c r="I103" s="333"/>
      <c r="J103" s="332"/>
      <c r="K103" s="332"/>
      <c r="L103" s="332"/>
      <c r="M103" s="332"/>
      <c r="N103" s="333"/>
      <c r="O103" s="333"/>
      <c r="P103" s="332"/>
      <c r="Q103" s="333"/>
      <c r="R103" s="332"/>
      <c r="S103" s="332"/>
      <c r="T103" s="332"/>
      <c r="U103" s="332"/>
      <c r="V103" s="332"/>
      <c r="W103" s="333"/>
      <c r="X103" s="333"/>
      <c r="Y103" s="334" t="s">
        <v>1889</v>
      </c>
      <c r="AG103" s="91"/>
      <c r="AH103" s="91"/>
      <c r="AI103" s="95"/>
      <c r="AJ103" s="95"/>
      <c r="AK103" s="95"/>
      <c r="AL103" s="95"/>
      <c r="AM103" s="95"/>
      <c r="AN103" s="95"/>
      <c r="AO103" s="1454"/>
      <c r="AP103" s="1454"/>
      <c r="AQ103" s="1454"/>
      <c r="AR103" s="1454"/>
      <c r="AS103" s="1454"/>
      <c r="AT103" s="1454"/>
      <c r="AU103" s="1454"/>
      <c r="AV103" s="1454"/>
      <c r="AW103" s="95"/>
      <c r="AX103" s="95"/>
      <c r="AY103" s="95"/>
      <c r="AZ103" s="1454"/>
      <c r="BA103" s="1454"/>
      <c r="BB103" s="1454"/>
      <c r="BC103" s="1454"/>
    </row>
    <row r="104" spans="2:55" ht="25.2" customHeight="1">
      <c r="B104" s="329" t="s">
        <v>330</v>
      </c>
      <c r="C104" s="865" t="s">
        <v>91</v>
      </c>
      <c r="D104" s="1214" t="s">
        <v>164</v>
      </c>
      <c r="E104" s="982" t="s">
        <v>190</v>
      </c>
      <c r="F104" s="982" t="s">
        <v>190</v>
      </c>
      <c r="G104" s="1208" t="s">
        <v>191</v>
      </c>
      <c r="H104" s="982"/>
      <c r="I104" s="333"/>
      <c r="J104" s="332"/>
      <c r="K104" s="332"/>
      <c r="L104" s="332"/>
      <c r="M104" s="332"/>
      <c r="N104" s="333"/>
      <c r="O104" s="333"/>
      <c r="P104" s="332"/>
      <c r="Q104" s="333"/>
      <c r="R104" s="332"/>
      <c r="S104" s="332"/>
      <c r="T104" s="332"/>
      <c r="U104" s="332"/>
      <c r="V104" s="332"/>
      <c r="W104" s="333"/>
      <c r="X104" s="333"/>
      <c r="Y104" s="334"/>
      <c r="AG104" s="91"/>
      <c r="AH104" s="91"/>
      <c r="AI104" s="95"/>
      <c r="AJ104" s="95"/>
      <c r="AK104" s="95"/>
      <c r="AL104" s="95"/>
      <c r="AM104" s="95"/>
      <c r="AN104" s="95"/>
      <c r="AO104" s="1454"/>
      <c r="AP104" s="1454"/>
      <c r="AQ104" s="1454"/>
      <c r="AR104" s="1454"/>
      <c r="AS104" s="1454"/>
      <c r="AT104" s="1454"/>
      <c r="AU104" s="1454"/>
      <c r="AV104" s="1454"/>
      <c r="AW104" s="95"/>
      <c r="AX104" s="95"/>
      <c r="AY104" s="95"/>
      <c r="AZ104" s="1454"/>
      <c r="BA104" s="1454"/>
      <c r="BB104" s="1454"/>
      <c r="BC104" s="1454"/>
    </row>
    <row r="105" spans="2:55" s="1377" customFormat="1" ht="25.2" customHeight="1">
      <c r="B105" s="329" t="s">
        <v>152</v>
      </c>
      <c r="C105" s="1388" t="s">
        <v>110</v>
      </c>
      <c r="D105" s="1381" t="s">
        <v>164</v>
      </c>
      <c r="E105" s="1384" t="s">
        <v>190</v>
      </c>
      <c r="F105" s="1384" t="s">
        <v>190</v>
      </c>
      <c r="G105" s="1385"/>
      <c r="H105" s="1384"/>
      <c r="I105" s="1385"/>
      <c r="J105" s="1384"/>
      <c r="K105" s="1384"/>
      <c r="L105" s="1384"/>
      <c r="M105" s="1384"/>
      <c r="N105" s="1385"/>
      <c r="O105" s="1385"/>
      <c r="P105" s="1384"/>
      <c r="Q105" s="1385"/>
      <c r="R105" s="1384"/>
      <c r="S105" s="1384"/>
      <c r="T105" s="1384"/>
      <c r="U105" s="1384"/>
      <c r="V105" s="1384"/>
      <c r="W105" s="1385"/>
      <c r="X105" s="1385"/>
      <c r="Y105" s="1386"/>
      <c r="AI105" s="1376"/>
      <c r="AJ105" s="1376"/>
      <c r="AK105" s="1376"/>
      <c r="AL105" s="1376"/>
      <c r="AM105" s="1376"/>
      <c r="AN105" s="1376"/>
      <c r="AO105" s="1376"/>
      <c r="AP105" s="1376"/>
      <c r="AQ105" s="1376"/>
      <c r="AR105" s="1376"/>
      <c r="AS105" s="1376"/>
      <c r="AT105" s="1376"/>
      <c r="AU105" s="1376"/>
      <c r="AV105" s="1376"/>
      <c r="AW105" s="1376"/>
      <c r="AX105" s="1376"/>
      <c r="AY105" s="1376"/>
      <c r="AZ105" s="1376"/>
      <c r="BA105" s="1376"/>
      <c r="BB105" s="1455"/>
      <c r="BC105" s="1455"/>
    </row>
    <row r="106" spans="2:55" ht="25.2" customHeight="1">
      <c r="B106" s="329" t="s">
        <v>153</v>
      </c>
      <c r="C106" s="865" t="s">
        <v>1372</v>
      </c>
      <c r="D106" s="1214" t="s">
        <v>164</v>
      </c>
      <c r="E106" s="982" t="s">
        <v>190</v>
      </c>
      <c r="F106" s="982" t="s">
        <v>190</v>
      </c>
      <c r="G106" s="1208"/>
      <c r="H106" s="982"/>
      <c r="I106" s="333"/>
      <c r="J106" s="332"/>
      <c r="K106" s="332"/>
      <c r="L106" s="332"/>
      <c r="M106" s="332"/>
      <c r="N106" s="333"/>
      <c r="O106" s="333"/>
      <c r="P106" s="332"/>
      <c r="Q106" s="333"/>
      <c r="R106" s="332"/>
      <c r="S106" s="332"/>
      <c r="T106" s="332"/>
      <c r="U106" s="332"/>
      <c r="V106" s="332"/>
      <c r="W106" s="333"/>
      <c r="X106" s="333"/>
      <c r="Y106" s="334"/>
      <c r="AI106" s="91"/>
      <c r="AJ106" s="91"/>
      <c r="AK106" s="91"/>
      <c r="AL106" s="91"/>
      <c r="AM106" s="91"/>
      <c r="AN106" s="91"/>
      <c r="AO106" s="91"/>
      <c r="AP106" s="91"/>
      <c r="AQ106" s="91"/>
      <c r="AR106" s="91"/>
      <c r="AS106" s="91"/>
      <c r="AT106" s="91"/>
      <c r="AU106" s="91"/>
      <c r="AV106" s="91"/>
      <c r="AW106" s="91"/>
      <c r="AX106" s="91"/>
      <c r="AY106" s="91"/>
      <c r="AZ106" s="91"/>
      <c r="BA106" s="91"/>
      <c r="BB106" s="91"/>
      <c r="BC106" s="91"/>
    </row>
    <row r="107" spans="2:55" ht="25.2" customHeight="1">
      <c r="B107" s="329" t="s">
        <v>154</v>
      </c>
      <c r="C107" s="865" t="s">
        <v>1373</v>
      </c>
      <c r="D107" s="1214" t="s">
        <v>164</v>
      </c>
      <c r="E107" s="982" t="s">
        <v>190</v>
      </c>
      <c r="F107" s="982" t="s">
        <v>190</v>
      </c>
      <c r="G107" s="1208"/>
      <c r="H107" s="982"/>
      <c r="I107" s="333"/>
      <c r="J107" s="332"/>
      <c r="K107" s="332"/>
      <c r="L107" s="332"/>
      <c r="M107" s="332"/>
      <c r="N107" s="333"/>
      <c r="O107" s="333"/>
      <c r="P107" s="332"/>
      <c r="Q107" s="333"/>
      <c r="R107" s="332"/>
      <c r="S107" s="332"/>
      <c r="T107" s="332"/>
      <c r="U107" s="332"/>
      <c r="V107" s="332"/>
      <c r="W107" s="333"/>
      <c r="X107" s="333"/>
      <c r="Y107" s="334"/>
      <c r="AI107" s="91"/>
      <c r="AJ107" s="91"/>
      <c r="AK107" s="91"/>
      <c r="AL107" s="91"/>
      <c r="AM107" s="91"/>
      <c r="AN107" s="91"/>
      <c r="AO107" s="91"/>
      <c r="AP107" s="91"/>
      <c r="AQ107" s="91"/>
      <c r="AR107" s="91"/>
      <c r="AS107" s="91"/>
      <c r="AT107" s="91"/>
      <c r="AU107" s="91"/>
      <c r="AV107" s="91"/>
      <c r="AW107" s="91"/>
      <c r="AX107" s="91"/>
      <c r="AY107" s="91"/>
      <c r="AZ107" s="91"/>
      <c r="BA107" s="91"/>
      <c r="BB107" s="91"/>
      <c r="BC107" s="91"/>
    </row>
    <row r="108" spans="2:55" ht="25.2" customHeight="1">
      <c r="B108" s="329" t="s">
        <v>155</v>
      </c>
      <c r="C108" s="865" t="s">
        <v>109</v>
      </c>
      <c r="D108" s="1214" t="s">
        <v>164</v>
      </c>
      <c r="E108" s="982" t="s">
        <v>190</v>
      </c>
      <c r="F108" s="982" t="s">
        <v>190</v>
      </c>
      <c r="G108" s="1208"/>
      <c r="H108" s="982"/>
      <c r="I108" s="333"/>
      <c r="J108" s="332"/>
      <c r="K108" s="332"/>
      <c r="L108" s="332"/>
      <c r="M108" s="332"/>
      <c r="N108" s="333"/>
      <c r="O108" s="333"/>
      <c r="P108" s="332"/>
      <c r="Q108" s="333"/>
      <c r="R108" s="332"/>
      <c r="S108" s="332"/>
      <c r="T108" s="332"/>
      <c r="U108" s="332"/>
      <c r="V108" s="332"/>
      <c r="W108" s="333"/>
      <c r="X108" s="333"/>
      <c r="Y108" s="334" t="s">
        <v>2212</v>
      </c>
      <c r="Z108" s="91"/>
      <c r="AA108" s="91"/>
      <c r="AB108" s="91"/>
      <c r="AC108" s="91"/>
      <c r="AD108" s="91"/>
      <c r="AE108" s="91"/>
      <c r="AF108" s="91"/>
      <c r="AG108" s="91"/>
      <c r="AH108" s="91"/>
      <c r="AI108" s="95"/>
      <c r="AJ108" s="95"/>
      <c r="AK108" s="95"/>
      <c r="AL108" s="95"/>
      <c r="AM108" s="95"/>
      <c r="AN108" s="95"/>
      <c r="AO108" s="1454"/>
      <c r="AP108" s="1454"/>
      <c r="AQ108" s="1454"/>
      <c r="AR108" s="1454"/>
      <c r="AS108" s="1454"/>
      <c r="AT108" s="1454"/>
      <c r="AU108" s="1454"/>
      <c r="AV108" s="1454"/>
      <c r="AW108" s="95"/>
      <c r="AX108" s="95"/>
      <c r="AY108" s="95"/>
      <c r="AZ108" s="1454"/>
      <c r="BA108" s="1454"/>
      <c r="BB108" s="1454"/>
      <c r="BC108" s="1454"/>
    </row>
    <row r="109" spans="2:55" ht="25.2" customHeight="1">
      <c r="B109" s="329" t="s">
        <v>156</v>
      </c>
      <c r="C109" s="1224" t="s">
        <v>742</v>
      </c>
      <c r="D109" s="1214" t="s">
        <v>327</v>
      </c>
      <c r="E109" s="982" t="s">
        <v>190</v>
      </c>
      <c r="F109" s="982" t="s">
        <v>190</v>
      </c>
      <c r="G109" s="1208" t="s">
        <v>191</v>
      </c>
      <c r="H109" s="982"/>
      <c r="I109" s="333"/>
      <c r="J109" s="332"/>
      <c r="K109" s="332"/>
      <c r="L109" s="332"/>
      <c r="M109" s="332"/>
      <c r="N109" s="333"/>
      <c r="O109" s="333"/>
      <c r="P109" s="332"/>
      <c r="Q109" s="333"/>
      <c r="R109" s="332"/>
      <c r="S109" s="332"/>
      <c r="T109" s="332"/>
      <c r="U109" s="332"/>
      <c r="V109" s="332"/>
      <c r="W109" s="333"/>
      <c r="X109" s="333"/>
      <c r="Y109" s="341"/>
      <c r="AI109" s="91"/>
      <c r="AJ109" s="91"/>
      <c r="AK109" s="91"/>
      <c r="AL109" s="91"/>
      <c r="AM109" s="91"/>
      <c r="AN109" s="91"/>
      <c r="AO109" s="91"/>
      <c r="AP109" s="91"/>
      <c r="AQ109" s="91"/>
      <c r="AR109" s="91"/>
      <c r="AS109" s="91"/>
      <c r="AT109" s="91"/>
      <c r="AU109" s="91"/>
      <c r="AV109" s="91"/>
      <c r="AW109" s="91"/>
      <c r="AX109" s="91"/>
      <c r="AY109" s="91"/>
      <c r="AZ109" s="91"/>
      <c r="BA109" s="91"/>
      <c r="BB109" s="91"/>
      <c r="BC109" s="91"/>
    </row>
    <row r="110" spans="2:55" ht="25.2" customHeight="1">
      <c r="B110" s="329" t="s">
        <v>157</v>
      </c>
      <c r="C110" s="387" t="s">
        <v>743</v>
      </c>
      <c r="D110" s="331" t="s">
        <v>327</v>
      </c>
      <c r="E110" s="332" t="s">
        <v>190</v>
      </c>
      <c r="F110" s="332" t="s">
        <v>190</v>
      </c>
      <c r="G110" s="333" t="s">
        <v>191</v>
      </c>
      <c r="H110" s="332"/>
      <c r="I110" s="333"/>
      <c r="J110" s="332"/>
      <c r="K110" s="332"/>
      <c r="L110" s="332"/>
      <c r="M110" s="332"/>
      <c r="N110" s="333"/>
      <c r="O110" s="333"/>
      <c r="P110" s="332"/>
      <c r="Q110" s="333"/>
      <c r="R110" s="332"/>
      <c r="S110" s="332"/>
      <c r="T110" s="332"/>
      <c r="U110" s="332"/>
      <c r="V110" s="332"/>
      <c r="W110" s="333"/>
      <c r="X110" s="333"/>
      <c r="Y110" s="341"/>
      <c r="AI110" s="91"/>
      <c r="AJ110" s="91"/>
      <c r="AK110" s="91"/>
      <c r="AL110" s="91"/>
      <c r="AM110" s="91"/>
      <c r="AN110" s="91"/>
      <c r="AO110" s="91"/>
      <c r="AP110" s="91"/>
      <c r="AQ110" s="91"/>
      <c r="AR110" s="91"/>
      <c r="AS110" s="91"/>
      <c r="AT110" s="91"/>
      <c r="AU110" s="91"/>
      <c r="AV110" s="91"/>
      <c r="AW110" s="91"/>
      <c r="AX110" s="91"/>
      <c r="AY110" s="91"/>
      <c r="AZ110" s="91"/>
      <c r="BA110" s="91"/>
      <c r="BB110" s="91"/>
      <c r="BC110" s="91"/>
    </row>
    <row r="111" spans="2:55" ht="25.2" customHeight="1">
      <c r="B111" s="329" t="s">
        <v>158</v>
      </c>
      <c r="C111" s="387" t="s">
        <v>745</v>
      </c>
      <c r="D111" s="331" t="s">
        <v>327</v>
      </c>
      <c r="E111" s="332" t="s">
        <v>190</v>
      </c>
      <c r="F111" s="332" t="s">
        <v>190</v>
      </c>
      <c r="G111" s="333"/>
      <c r="H111" s="332"/>
      <c r="I111" s="333"/>
      <c r="J111" s="332"/>
      <c r="K111" s="332"/>
      <c r="L111" s="332"/>
      <c r="M111" s="332"/>
      <c r="N111" s="333"/>
      <c r="O111" s="333"/>
      <c r="P111" s="332"/>
      <c r="Q111" s="333"/>
      <c r="R111" s="332"/>
      <c r="S111" s="332"/>
      <c r="T111" s="332"/>
      <c r="U111" s="332"/>
      <c r="V111" s="332"/>
      <c r="W111" s="333"/>
      <c r="X111" s="333"/>
      <c r="Y111" s="341"/>
      <c r="AI111" s="91"/>
      <c r="AJ111" s="91"/>
      <c r="AK111" s="91"/>
      <c r="AL111" s="91"/>
      <c r="AM111" s="91"/>
      <c r="AN111" s="91"/>
      <c r="AO111" s="91"/>
      <c r="AP111" s="91"/>
      <c r="AQ111" s="91"/>
      <c r="AR111" s="91"/>
      <c r="AS111" s="91"/>
      <c r="AT111" s="91"/>
      <c r="AU111" s="91"/>
      <c r="AV111" s="91"/>
      <c r="AW111" s="91"/>
      <c r="AX111" s="91"/>
      <c r="AY111" s="91"/>
      <c r="AZ111" s="91"/>
      <c r="BA111" s="91"/>
      <c r="BB111" s="91"/>
      <c r="BC111" s="91"/>
    </row>
    <row r="112" spans="2:55" ht="25.2" customHeight="1">
      <c r="B112" s="329" t="s">
        <v>159</v>
      </c>
      <c r="C112" s="330" t="s">
        <v>141</v>
      </c>
      <c r="D112" s="331" t="s">
        <v>164</v>
      </c>
      <c r="E112" s="332" t="s">
        <v>190</v>
      </c>
      <c r="F112" s="332" t="s">
        <v>190</v>
      </c>
      <c r="G112" s="333" t="s">
        <v>191</v>
      </c>
      <c r="H112" s="332"/>
      <c r="I112" s="333"/>
      <c r="J112" s="332"/>
      <c r="K112" s="332"/>
      <c r="L112" s="332"/>
      <c r="M112" s="332"/>
      <c r="N112" s="333"/>
      <c r="O112" s="333"/>
      <c r="P112" s="332"/>
      <c r="Q112" s="333"/>
      <c r="R112" s="332"/>
      <c r="S112" s="332"/>
      <c r="T112" s="332"/>
      <c r="U112" s="332"/>
      <c r="V112" s="332"/>
      <c r="W112" s="333"/>
      <c r="X112" s="333"/>
      <c r="Y112" s="334" t="s">
        <v>1884</v>
      </c>
      <c r="Z112" s="1454"/>
      <c r="AA112" s="1454"/>
      <c r="AB112" s="1454"/>
      <c r="AC112" s="1454"/>
      <c r="AD112" s="1454"/>
      <c r="AE112" s="1454"/>
      <c r="AF112" s="1454"/>
      <c r="AG112" s="1454"/>
      <c r="AH112" s="95"/>
      <c r="AI112" s="95"/>
      <c r="AJ112" s="95"/>
      <c r="AK112" s="95"/>
      <c r="AL112" s="95"/>
      <c r="AM112" s="95"/>
      <c r="AN112" s="95"/>
      <c r="AO112" s="1454"/>
      <c r="AP112" s="1454"/>
      <c r="AQ112" s="1454"/>
      <c r="AR112" s="1454"/>
      <c r="AS112" s="1454"/>
      <c r="AT112" s="1454"/>
      <c r="AU112" s="1454"/>
      <c r="AV112" s="1454"/>
      <c r="AW112" s="95"/>
      <c r="AX112" s="95"/>
      <c r="AY112" s="95"/>
      <c r="AZ112" s="1454"/>
      <c r="BA112" s="1454"/>
      <c r="BB112" s="1454"/>
      <c r="BC112" s="1454"/>
    </row>
    <row r="113" spans="2:55" ht="25.2" customHeight="1">
      <c r="B113" s="329" t="s">
        <v>160</v>
      </c>
      <c r="C113" s="330" t="s">
        <v>175</v>
      </c>
      <c r="D113" s="331" t="s">
        <v>164</v>
      </c>
      <c r="E113" s="332" t="s">
        <v>190</v>
      </c>
      <c r="F113" s="332" t="s">
        <v>190</v>
      </c>
      <c r="G113" s="342"/>
      <c r="H113" s="343"/>
      <c r="I113" s="342"/>
      <c r="J113" s="343"/>
      <c r="K113" s="343"/>
      <c r="L113" s="343"/>
      <c r="M113" s="343"/>
      <c r="N113" s="342"/>
      <c r="O113" s="342"/>
      <c r="P113" s="343"/>
      <c r="Q113" s="342"/>
      <c r="R113" s="343"/>
      <c r="S113" s="343"/>
      <c r="T113" s="343"/>
      <c r="U113" s="343"/>
      <c r="V113" s="343"/>
      <c r="W113" s="342"/>
      <c r="X113" s="342"/>
      <c r="Y113" s="334"/>
      <c r="Z113" s="1454"/>
      <c r="AA113" s="1454"/>
      <c r="AB113" s="1454"/>
      <c r="AC113" s="1454"/>
      <c r="AD113" s="1454"/>
      <c r="AE113" s="1454"/>
      <c r="AF113" s="1454"/>
      <c r="AG113" s="1454"/>
      <c r="AH113" s="95"/>
      <c r="AI113" s="95"/>
      <c r="AJ113" s="95"/>
      <c r="AK113" s="95"/>
      <c r="AL113" s="95"/>
      <c r="AM113" s="95"/>
      <c r="AN113" s="95"/>
      <c r="AO113" s="1454"/>
      <c r="AP113" s="1454"/>
      <c r="AQ113" s="1454"/>
      <c r="AR113" s="1454"/>
      <c r="AS113" s="1454"/>
      <c r="AT113" s="1454"/>
      <c r="AU113" s="1454"/>
      <c r="AV113" s="1454"/>
      <c r="AW113" s="95"/>
      <c r="AX113" s="95"/>
      <c r="AY113" s="95"/>
      <c r="AZ113" s="1454"/>
      <c r="BA113" s="1454"/>
      <c r="BB113" s="1454"/>
      <c r="BC113" s="1454"/>
    </row>
    <row r="114" spans="2:55" ht="25.2" customHeight="1">
      <c r="B114" s="329" t="s">
        <v>161</v>
      </c>
      <c r="C114" s="330" t="s">
        <v>143</v>
      </c>
      <c r="D114" s="331" t="s">
        <v>163</v>
      </c>
      <c r="E114" s="332" t="s">
        <v>190</v>
      </c>
      <c r="F114" s="332" t="s">
        <v>190</v>
      </c>
      <c r="G114" s="342"/>
      <c r="H114" s="343"/>
      <c r="I114" s="342"/>
      <c r="J114" s="343"/>
      <c r="K114" s="343"/>
      <c r="L114" s="343"/>
      <c r="M114" s="343"/>
      <c r="N114" s="342"/>
      <c r="O114" s="342"/>
      <c r="P114" s="343"/>
      <c r="Q114" s="342"/>
      <c r="R114" s="332" t="s">
        <v>190</v>
      </c>
      <c r="S114" s="332" t="s">
        <v>190</v>
      </c>
      <c r="T114" s="343"/>
      <c r="U114" s="343"/>
      <c r="V114" s="343"/>
      <c r="W114" s="342"/>
      <c r="X114" s="342"/>
      <c r="Y114" s="341"/>
      <c r="Z114" s="1454"/>
      <c r="AA114" s="1454"/>
      <c r="AB114" s="1454"/>
      <c r="AC114" s="1454"/>
      <c r="AD114" s="1454"/>
      <c r="AE114" s="1454"/>
      <c r="AF114" s="1454"/>
      <c r="AG114" s="1454"/>
      <c r="AH114" s="95"/>
      <c r="AI114" s="95"/>
      <c r="AJ114" s="95"/>
      <c r="AK114" s="95"/>
      <c r="AL114" s="95"/>
      <c r="AM114" s="95"/>
      <c r="AN114" s="95"/>
      <c r="AO114" s="1454"/>
      <c r="AP114" s="1454"/>
      <c r="AQ114" s="1454"/>
      <c r="AR114" s="1454"/>
      <c r="AS114" s="1454"/>
      <c r="AT114" s="1454"/>
      <c r="AU114" s="1454"/>
      <c r="AV114" s="1454"/>
      <c r="AW114" s="95"/>
      <c r="AX114" s="95"/>
      <c r="AY114" s="95"/>
      <c r="AZ114" s="1454"/>
      <c r="BA114" s="1454"/>
      <c r="BB114" s="1454"/>
      <c r="BC114" s="1454"/>
    </row>
    <row r="115" spans="2:55" ht="25.2" customHeight="1">
      <c r="B115" s="329" t="s">
        <v>162</v>
      </c>
      <c r="C115" s="330" t="s">
        <v>116</v>
      </c>
      <c r="D115" s="331" t="s">
        <v>164</v>
      </c>
      <c r="E115" s="332" t="s">
        <v>190</v>
      </c>
      <c r="F115" s="332" t="s">
        <v>190</v>
      </c>
      <c r="G115" s="342"/>
      <c r="H115" s="343"/>
      <c r="I115" s="342"/>
      <c r="J115" s="343"/>
      <c r="K115" s="343"/>
      <c r="L115" s="343"/>
      <c r="M115" s="343"/>
      <c r="N115" s="342"/>
      <c r="O115" s="342"/>
      <c r="P115" s="343"/>
      <c r="Q115" s="342"/>
      <c r="R115" s="343"/>
      <c r="S115" s="343"/>
      <c r="T115" s="343"/>
      <c r="U115" s="343"/>
      <c r="V115" s="343"/>
      <c r="W115" s="342"/>
      <c r="X115" s="342"/>
      <c r="Y115" s="885" t="s">
        <v>2210</v>
      </c>
      <c r="Z115" s="1454"/>
      <c r="AA115" s="1454"/>
      <c r="AB115" s="1454"/>
      <c r="AC115" s="1454"/>
      <c r="AD115" s="1454"/>
      <c r="AE115" s="1454"/>
      <c r="AF115" s="1454"/>
      <c r="AG115" s="1454"/>
      <c r="AH115" s="95"/>
      <c r="AI115" s="95"/>
      <c r="AJ115" s="95"/>
      <c r="AK115" s="95"/>
      <c r="AL115" s="95"/>
      <c r="AM115" s="95"/>
      <c r="AN115" s="95"/>
      <c r="AO115" s="1454"/>
      <c r="AP115" s="1454"/>
      <c r="AQ115" s="1454"/>
      <c r="AR115" s="1454"/>
      <c r="AS115" s="1454"/>
      <c r="AT115" s="1454"/>
      <c r="AU115" s="1454"/>
      <c r="AV115" s="1454"/>
      <c r="AW115" s="95"/>
      <c r="AX115" s="95"/>
      <c r="AY115" s="95"/>
      <c r="AZ115" s="1454"/>
      <c r="BA115" s="1454"/>
      <c r="BB115" s="1454"/>
      <c r="BC115" s="1454"/>
    </row>
    <row r="116" spans="2:55" ht="25.2" customHeight="1">
      <c r="B116" s="329" t="s">
        <v>165</v>
      </c>
      <c r="C116" s="387" t="s">
        <v>1056</v>
      </c>
      <c r="D116" s="331" t="s">
        <v>327</v>
      </c>
      <c r="E116" s="332" t="s">
        <v>190</v>
      </c>
      <c r="F116" s="332" t="s">
        <v>190</v>
      </c>
      <c r="G116" s="333"/>
      <c r="H116" s="332"/>
      <c r="I116" s="333"/>
      <c r="J116" s="332"/>
      <c r="K116" s="332"/>
      <c r="L116" s="332"/>
      <c r="M116" s="332"/>
      <c r="N116" s="333"/>
      <c r="O116" s="333"/>
      <c r="P116" s="332"/>
      <c r="Q116" s="333"/>
      <c r="R116" s="332"/>
      <c r="S116" s="332"/>
      <c r="T116" s="332"/>
      <c r="U116" s="332"/>
      <c r="V116" s="332"/>
      <c r="W116" s="333"/>
      <c r="X116" s="333"/>
      <c r="Y116" s="341"/>
      <c r="AI116" s="91"/>
      <c r="AJ116" s="91"/>
      <c r="AK116" s="91"/>
      <c r="AL116" s="91"/>
      <c r="AM116" s="91"/>
      <c r="AN116" s="91"/>
      <c r="AO116" s="91"/>
      <c r="AP116" s="91"/>
      <c r="AQ116" s="91"/>
      <c r="AR116" s="91"/>
      <c r="AS116" s="91"/>
      <c r="AT116" s="91"/>
      <c r="AU116" s="91"/>
      <c r="AV116" s="91"/>
      <c r="AW116" s="91"/>
      <c r="AX116" s="91"/>
      <c r="AY116" s="91"/>
      <c r="AZ116" s="91"/>
      <c r="BA116" s="91"/>
      <c r="BB116" s="1455"/>
      <c r="BC116" s="1455"/>
    </row>
    <row r="117" spans="2:55" ht="25.2" customHeight="1">
      <c r="B117" s="329" t="s">
        <v>166</v>
      </c>
      <c r="C117" s="387" t="s">
        <v>1053</v>
      </c>
      <c r="D117" s="331" t="s">
        <v>327</v>
      </c>
      <c r="E117" s="332" t="s">
        <v>190</v>
      </c>
      <c r="F117" s="332" t="s">
        <v>190</v>
      </c>
      <c r="G117" s="333"/>
      <c r="H117" s="332"/>
      <c r="I117" s="333"/>
      <c r="J117" s="332"/>
      <c r="K117" s="332"/>
      <c r="L117" s="332"/>
      <c r="M117" s="332"/>
      <c r="N117" s="333"/>
      <c r="O117" s="333"/>
      <c r="P117" s="332"/>
      <c r="Q117" s="333"/>
      <c r="R117" s="332"/>
      <c r="S117" s="332"/>
      <c r="T117" s="332"/>
      <c r="U117" s="332"/>
      <c r="V117" s="332"/>
      <c r="W117" s="333"/>
      <c r="X117" s="333"/>
      <c r="Y117" s="341"/>
      <c r="AI117" s="91"/>
      <c r="AJ117" s="91"/>
      <c r="AK117" s="91"/>
      <c r="AL117" s="91"/>
      <c r="AM117" s="91"/>
      <c r="AN117" s="91"/>
      <c r="AO117" s="91"/>
      <c r="AP117" s="91"/>
      <c r="AQ117" s="91"/>
      <c r="AR117" s="91"/>
      <c r="AS117" s="91"/>
      <c r="AT117" s="91"/>
      <c r="AU117" s="91"/>
      <c r="AV117" s="91"/>
      <c r="AW117" s="91"/>
      <c r="AX117" s="91"/>
      <c r="AY117" s="91"/>
      <c r="AZ117" s="91"/>
      <c r="BA117" s="91"/>
      <c r="BB117" s="91"/>
      <c r="BC117" s="91"/>
    </row>
    <row r="118" spans="2:55" ht="25.2" customHeight="1">
      <c r="B118" s="329" t="s">
        <v>167</v>
      </c>
      <c r="C118" s="865" t="s">
        <v>147</v>
      </c>
      <c r="D118" s="1214" t="s">
        <v>327</v>
      </c>
      <c r="E118" s="982" t="s">
        <v>190</v>
      </c>
      <c r="F118" s="982" t="s">
        <v>190</v>
      </c>
      <c r="G118" s="1226"/>
      <c r="H118" s="1227"/>
      <c r="I118" s="1226"/>
      <c r="J118" s="1227"/>
      <c r="K118" s="1227"/>
      <c r="L118" s="1227"/>
      <c r="M118" s="1227"/>
      <c r="N118" s="1226"/>
      <c r="O118" s="1226"/>
      <c r="P118" s="1227"/>
      <c r="Q118" s="342"/>
      <c r="R118" s="343"/>
      <c r="S118" s="343"/>
      <c r="T118" s="332"/>
      <c r="U118" s="343"/>
      <c r="V118" s="343"/>
      <c r="W118" s="342"/>
      <c r="X118" s="342"/>
      <c r="Y118" s="334"/>
      <c r="Z118" s="1454"/>
      <c r="AA118" s="1454"/>
      <c r="AB118" s="1454"/>
      <c r="AC118" s="1454"/>
      <c r="AD118" s="1454"/>
      <c r="AE118" s="1454"/>
      <c r="AF118" s="1454"/>
      <c r="AG118" s="1454"/>
      <c r="AH118" s="95"/>
      <c r="AI118" s="95"/>
      <c r="AJ118" s="95"/>
      <c r="AK118" s="95"/>
      <c r="AL118" s="95"/>
      <c r="AM118" s="95"/>
      <c r="AN118" s="95"/>
      <c r="AO118" s="1454"/>
      <c r="AP118" s="1454"/>
      <c r="AQ118" s="1454"/>
      <c r="AR118" s="1454"/>
      <c r="AS118" s="1454"/>
      <c r="AT118" s="1454"/>
      <c r="AU118" s="1454"/>
      <c r="AV118" s="1454"/>
      <c r="AW118" s="95"/>
      <c r="AX118" s="95"/>
      <c r="AY118" s="95"/>
      <c r="AZ118" s="1454"/>
      <c r="BA118" s="1454"/>
      <c r="BB118" s="1454"/>
      <c r="BC118" s="1454"/>
    </row>
    <row r="119" spans="2:55" ht="25.2" customHeight="1">
      <c r="B119" s="329" t="s">
        <v>168</v>
      </c>
      <c r="C119" s="865" t="s">
        <v>148</v>
      </c>
      <c r="D119" s="1214" t="s">
        <v>327</v>
      </c>
      <c r="E119" s="982" t="s">
        <v>190</v>
      </c>
      <c r="F119" s="982" t="s">
        <v>190</v>
      </c>
      <c r="G119" s="1208"/>
      <c r="H119" s="982"/>
      <c r="I119" s="1208"/>
      <c r="J119" s="982"/>
      <c r="K119" s="982"/>
      <c r="L119" s="982"/>
      <c r="M119" s="982"/>
      <c r="N119" s="1208"/>
      <c r="O119" s="1208"/>
      <c r="P119" s="982"/>
      <c r="Q119" s="333"/>
      <c r="R119" s="332"/>
      <c r="S119" s="332"/>
      <c r="T119" s="332" t="s">
        <v>190</v>
      </c>
      <c r="U119" s="332"/>
      <c r="V119" s="332"/>
      <c r="W119" s="333"/>
      <c r="X119" s="333"/>
      <c r="Y119" s="334"/>
      <c r="Z119" s="1454"/>
      <c r="AA119" s="1454"/>
      <c r="AB119" s="1454"/>
      <c r="AC119" s="1454"/>
      <c r="AD119" s="1454"/>
      <c r="AE119" s="1454"/>
      <c r="AF119" s="1454"/>
      <c r="AG119" s="1454"/>
      <c r="AH119" s="95"/>
      <c r="AI119" s="95"/>
      <c r="AJ119" s="95"/>
      <c r="AK119" s="95"/>
      <c r="AL119" s="95"/>
      <c r="AM119" s="95"/>
      <c r="AN119" s="95"/>
      <c r="AO119" s="1454"/>
      <c r="AP119" s="1454"/>
      <c r="AQ119" s="1454"/>
      <c r="AR119" s="1454"/>
      <c r="AS119" s="1454"/>
      <c r="AT119" s="1454"/>
      <c r="AU119" s="1454"/>
      <c r="AV119" s="1454"/>
      <c r="AW119" s="95"/>
      <c r="AX119" s="95"/>
      <c r="AY119" s="95"/>
      <c r="AZ119" s="1454"/>
      <c r="BA119" s="1454"/>
      <c r="BB119" s="1454"/>
      <c r="BC119" s="1454"/>
    </row>
    <row r="120" spans="2:55" ht="25.2" customHeight="1">
      <c r="B120" s="329" t="s">
        <v>192</v>
      </c>
      <c r="C120" s="865" t="s">
        <v>1739</v>
      </c>
      <c r="D120" s="1214" t="s">
        <v>164</v>
      </c>
      <c r="E120" s="982" t="s">
        <v>190</v>
      </c>
      <c r="F120" s="982" t="s">
        <v>190</v>
      </c>
      <c r="G120" s="1226"/>
      <c r="H120" s="982" t="s">
        <v>190</v>
      </c>
      <c r="I120" s="1226"/>
      <c r="J120" s="1227"/>
      <c r="K120" s="1227"/>
      <c r="L120" s="1227"/>
      <c r="M120" s="1227"/>
      <c r="N120" s="1226"/>
      <c r="O120" s="1226"/>
      <c r="P120" s="1227"/>
      <c r="Q120" s="342"/>
      <c r="R120" s="343"/>
      <c r="S120" s="343"/>
      <c r="T120" s="343"/>
      <c r="U120" s="343"/>
      <c r="V120" s="343"/>
      <c r="W120" s="342"/>
      <c r="X120" s="342"/>
      <c r="Y120" s="334"/>
      <c r="Z120" s="95"/>
      <c r="AA120" s="95"/>
      <c r="AB120" s="95"/>
      <c r="AC120" s="95"/>
      <c r="AD120" s="95"/>
      <c r="AE120" s="95"/>
      <c r="AF120" s="95"/>
      <c r="AG120" s="95"/>
      <c r="AH120" s="95"/>
      <c r="AI120" s="95"/>
      <c r="AJ120" s="95"/>
      <c r="AK120" s="95"/>
      <c r="AL120" s="95"/>
      <c r="AM120" s="95"/>
      <c r="AN120" s="95"/>
      <c r="AO120" s="95"/>
      <c r="AP120" s="95"/>
      <c r="AQ120" s="95"/>
      <c r="AR120" s="95"/>
      <c r="AS120" s="95"/>
      <c r="AT120" s="95"/>
      <c r="AU120" s="95"/>
      <c r="AV120" s="95"/>
      <c r="AW120" s="95"/>
      <c r="AX120" s="95"/>
      <c r="AY120" s="95"/>
      <c r="AZ120" s="95"/>
      <c r="BA120" s="95"/>
      <c r="BB120" s="95"/>
      <c r="BC120" s="95"/>
    </row>
    <row r="121" spans="2:55" ht="25.2" customHeight="1">
      <c r="B121" s="329" t="s">
        <v>320</v>
      </c>
      <c r="C121" s="865" t="s">
        <v>111</v>
      </c>
      <c r="D121" s="1214" t="s">
        <v>164</v>
      </c>
      <c r="E121" s="982" t="s">
        <v>190</v>
      </c>
      <c r="F121" s="982" t="s">
        <v>190</v>
      </c>
      <c r="G121" s="1208"/>
      <c r="H121" s="982"/>
      <c r="I121" s="1208"/>
      <c r="J121" s="982"/>
      <c r="K121" s="982"/>
      <c r="L121" s="982"/>
      <c r="M121" s="982"/>
      <c r="N121" s="1208"/>
      <c r="O121" s="1208"/>
      <c r="P121" s="982"/>
      <c r="Q121" s="333"/>
      <c r="R121" s="332"/>
      <c r="S121" s="332"/>
      <c r="T121" s="332"/>
      <c r="U121" s="332"/>
      <c r="V121" s="332"/>
      <c r="W121" s="333"/>
      <c r="X121" s="333"/>
      <c r="Y121" s="334"/>
      <c r="Z121" s="1454"/>
      <c r="AA121" s="1454"/>
      <c r="AB121" s="1454"/>
      <c r="AC121" s="1454"/>
      <c r="AD121" s="1454"/>
      <c r="AE121" s="1454"/>
      <c r="AF121" s="1454"/>
      <c r="AG121" s="1454"/>
      <c r="AH121" s="95"/>
      <c r="AI121" s="95"/>
      <c r="AJ121" s="95"/>
      <c r="AK121" s="95"/>
      <c r="AL121" s="95"/>
      <c r="AM121" s="95"/>
      <c r="AN121" s="95"/>
      <c r="AO121" s="1454"/>
      <c r="AP121" s="1454"/>
      <c r="AQ121" s="1454"/>
      <c r="AR121" s="1454"/>
      <c r="AS121" s="1454"/>
      <c r="AT121" s="1454"/>
      <c r="AU121" s="1454"/>
      <c r="AV121" s="1454"/>
      <c r="AW121" s="95"/>
      <c r="AX121" s="95"/>
      <c r="AY121" s="95"/>
      <c r="AZ121" s="1454"/>
      <c r="BA121" s="1454"/>
      <c r="BB121" s="1454"/>
      <c r="BC121" s="1454"/>
    </row>
    <row r="122" spans="2:55" ht="25.2" customHeight="1">
      <c r="B122" s="329" t="s">
        <v>321</v>
      </c>
      <c r="C122" s="865" t="s">
        <v>146</v>
      </c>
      <c r="D122" s="1214" t="s">
        <v>164</v>
      </c>
      <c r="E122" s="982" t="s">
        <v>190</v>
      </c>
      <c r="F122" s="982" t="s">
        <v>190</v>
      </c>
      <c r="G122" s="1208"/>
      <c r="H122" s="982"/>
      <c r="I122" s="1208" t="s">
        <v>190</v>
      </c>
      <c r="J122" s="982"/>
      <c r="K122" s="982"/>
      <c r="L122" s="982"/>
      <c r="M122" s="982"/>
      <c r="N122" s="1208"/>
      <c r="O122" s="1208"/>
      <c r="P122" s="982"/>
      <c r="Q122" s="333"/>
      <c r="R122" s="332"/>
      <c r="S122" s="332"/>
      <c r="T122" s="332"/>
      <c r="U122" s="332"/>
      <c r="V122" s="332"/>
      <c r="W122" s="333"/>
      <c r="X122" s="333"/>
      <c r="Y122" s="334"/>
      <c r="Z122" s="1454"/>
      <c r="AA122" s="1454"/>
      <c r="AB122" s="1454"/>
      <c r="AC122" s="1454"/>
      <c r="AD122" s="1454"/>
      <c r="AE122" s="1454"/>
      <c r="AF122" s="1454"/>
      <c r="AG122" s="1454"/>
      <c r="AH122" s="95"/>
      <c r="AI122" s="95"/>
      <c r="AJ122" s="95"/>
      <c r="AK122" s="95"/>
      <c r="AL122" s="95"/>
      <c r="AM122" s="95"/>
      <c r="AN122" s="95"/>
      <c r="AO122" s="1454"/>
      <c r="AP122" s="1454"/>
      <c r="AQ122" s="1454"/>
      <c r="AR122" s="1454"/>
      <c r="AS122" s="1454"/>
      <c r="AT122" s="1454"/>
      <c r="AU122" s="1454"/>
      <c r="AV122" s="1454"/>
      <c r="AW122" s="95"/>
      <c r="AX122" s="95"/>
      <c r="AY122" s="95"/>
      <c r="AZ122" s="1454"/>
      <c r="BA122" s="1454"/>
      <c r="BB122" s="1454"/>
      <c r="BC122" s="1454"/>
    </row>
    <row r="123" spans="2:55" ht="25.2" customHeight="1">
      <c r="B123" s="329" t="s">
        <v>738</v>
      </c>
      <c r="C123" s="1215" t="s">
        <v>1749</v>
      </c>
      <c r="D123" s="1214" t="s">
        <v>164</v>
      </c>
      <c r="E123" s="982" t="s">
        <v>190</v>
      </c>
      <c r="F123" s="982" t="s">
        <v>190</v>
      </c>
      <c r="G123" s="1219"/>
      <c r="H123" s="1218"/>
      <c r="I123" s="1219"/>
      <c r="J123" s="1218"/>
      <c r="K123" s="1218"/>
      <c r="L123" s="1218"/>
      <c r="M123" s="1218"/>
      <c r="N123" s="1219"/>
      <c r="O123" s="1219"/>
      <c r="P123" s="1218"/>
      <c r="Q123" s="398" t="s">
        <v>137</v>
      </c>
      <c r="R123" s="397"/>
      <c r="S123" s="397"/>
      <c r="T123" s="397"/>
      <c r="U123" s="397"/>
      <c r="V123" s="397"/>
      <c r="W123" s="398"/>
      <c r="X123" s="398"/>
      <c r="Y123" s="399"/>
      <c r="AI123" s="91"/>
      <c r="AJ123" s="91"/>
      <c r="AK123" s="91"/>
      <c r="AL123" s="91"/>
      <c r="AM123" s="91"/>
      <c r="AN123" s="91"/>
      <c r="AO123" s="91"/>
      <c r="AP123" s="91"/>
      <c r="AQ123" s="91"/>
      <c r="AR123" s="91"/>
      <c r="AS123" s="91"/>
      <c r="AT123" s="91"/>
      <c r="AU123" s="91"/>
      <c r="AV123" s="91"/>
      <c r="AW123" s="91"/>
      <c r="AX123" s="91"/>
      <c r="AY123" s="91"/>
      <c r="AZ123" s="91"/>
      <c r="BA123" s="91"/>
      <c r="BB123" s="91"/>
      <c r="BC123" s="91"/>
    </row>
    <row r="124" spans="2:55" ht="25.2" customHeight="1">
      <c r="B124" s="329" t="s">
        <v>739</v>
      </c>
      <c r="C124" s="1214" t="s">
        <v>113</v>
      </c>
      <c r="D124" s="865" t="s">
        <v>164</v>
      </c>
      <c r="E124" s="982" t="s">
        <v>190</v>
      </c>
      <c r="F124" s="982" t="s">
        <v>190</v>
      </c>
      <c r="G124" s="1208"/>
      <c r="H124" s="982"/>
      <c r="I124" s="1208"/>
      <c r="J124" s="982"/>
      <c r="K124" s="982"/>
      <c r="L124" s="1208" t="s">
        <v>190</v>
      </c>
      <c r="M124" s="982"/>
      <c r="N124" s="1208"/>
      <c r="O124" s="1208"/>
      <c r="P124" s="982"/>
      <c r="Q124" s="333"/>
      <c r="R124" s="332"/>
      <c r="S124" s="332"/>
      <c r="T124" s="332"/>
      <c r="U124" s="332"/>
      <c r="V124" s="332"/>
      <c r="W124" s="332"/>
      <c r="X124" s="333"/>
      <c r="Y124" s="399"/>
      <c r="Z124" s="1454"/>
      <c r="AA124" s="1454"/>
      <c r="AB124" s="1454"/>
      <c r="AC124" s="1454"/>
      <c r="AD124" s="1454"/>
      <c r="AE124" s="1454"/>
      <c r="AF124" s="1454"/>
      <c r="AG124" s="1454"/>
      <c r="AH124" s="95"/>
      <c r="AI124" s="95"/>
      <c r="AJ124" s="95"/>
      <c r="AK124" s="95"/>
      <c r="AL124" s="95"/>
      <c r="AM124" s="95"/>
      <c r="AN124" s="95"/>
      <c r="AO124" s="1454"/>
      <c r="AP124" s="1454"/>
      <c r="AQ124" s="1454"/>
      <c r="AR124" s="1454"/>
      <c r="AS124" s="1454"/>
      <c r="AT124" s="1454"/>
      <c r="AU124" s="1454"/>
      <c r="AV124" s="1454"/>
      <c r="AW124" s="95"/>
      <c r="AX124" s="95"/>
      <c r="AY124" s="95"/>
      <c r="AZ124" s="1454"/>
      <c r="BA124" s="1454"/>
      <c r="BB124" s="1454"/>
      <c r="BC124" s="1454"/>
    </row>
    <row r="125" spans="2:55" ht="25.2" customHeight="1">
      <c r="B125" s="553" t="s">
        <v>2235</v>
      </c>
      <c r="C125" s="1242" t="s">
        <v>1006</v>
      </c>
      <c r="D125" s="1243" t="s">
        <v>164</v>
      </c>
      <c r="E125" s="1244" t="s">
        <v>190</v>
      </c>
      <c r="F125" s="1244" t="s">
        <v>190</v>
      </c>
      <c r="G125" s="1245"/>
      <c r="H125" s="1244"/>
      <c r="I125" s="1245"/>
      <c r="J125" s="1244"/>
      <c r="K125" s="1244"/>
      <c r="L125" s="1244"/>
      <c r="M125" s="1244"/>
      <c r="N125" s="1245"/>
      <c r="O125" s="1245"/>
      <c r="P125" s="1244"/>
      <c r="Q125" s="555"/>
      <c r="R125" s="550"/>
      <c r="S125" s="550"/>
      <c r="T125" s="550"/>
      <c r="U125" s="550"/>
      <c r="V125" s="550"/>
      <c r="W125" s="555"/>
      <c r="X125" s="555"/>
      <c r="Y125" s="340"/>
      <c r="AG125" s="91"/>
      <c r="AH125" s="91"/>
      <c r="AI125" s="95"/>
      <c r="AJ125" s="95"/>
      <c r="AK125" s="95"/>
      <c r="AL125" s="95"/>
      <c r="AM125" s="95"/>
      <c r="AN125" s="95"/>
      <c r="AO125" s="1454"/>
      <c r="AP125" s="1454"/>
      <c r="AQ125" s="1454"/>
      <c r="AR125" s="1454"/>
      <c r="AS125" s="1454"/>
      <c r="AT125" s="1454"/>
      <c r="AU125" s="1454"/>
      <c r="AV125" s="1454"/>
      <c r="AW125" s="95"/>
      <c r="AX125" s="95"/>
      <c r="AY125" s="95"/>
      <c r="AZ125" s="1454"/>
      <c r="BA125" s="1454"/>
      <c r="BB125" s="1454"/>
      <c r="BC125" s="1454"/>
    </row>
    <row r="126" spans="2:55" ht="15" customHeight="1">
      <c r="Y126" s="100"/>
    </row>
    <row r="127" spans="2:55" ht="15" customHeight="1">
      <c r="Y127" s="100"/>
    </row>
    <row r="128" spans="2:55" s="90" customFormat="1" ht="16.2">
      <c r="B128" s="197" t="s">
        <v>458</v>
      </c>
      <c r="D128" s="90" t="s">
        <v>322</v>
      </c>
      <c r="AG128" s="91"/>
      <c r="AH128" s="91"/>
    </row>
    <row r="129" spans="2:55" ht="25.2" customHeight="1">
      <c r="B129" s="323" t="s">
        <v>343</v>
      </c>
      <c r="C129" s="324" t="s">
        <v>108</v>
      </c>
      <c r="D129" s="325" t="s">
        <v>164</v>
      </c>
      <c r="E129" s="326" t="s">
        <v>137</v>
      </c>
      <c r="F129" s="326" t="s">
        <v>137</v>
      </c>
      <c r="G129" s="327" t="s">
        <v>138</v>
      </c>
      <c r="H129" s="326"/>
      <c r="I129" s="327"/>
      <c r="J129" s="326"/>
      <c r="K129" s="326"/>
      <c r="L129" s="326"/>
      <c r="M129" s="326"/>
      <c r="N129" s="327"/>
      <c r="O129" s="327"/>
      <c r="P129" s="326"/>
      <c r="Q129" s="327"/>
      <c r="R129" s="326"/>
      <c r="S129" s="326"/>
      <c r="T129" s="326"/>
      <c r="U129" s="326"/>
      <c r="V129" s="326"/>
      <c r="W129" s="327"/>
      <c r="X129" s="327"/>
      <c r="Y129" s="328" t="s">
        <v>1890</v>
      </c>
      <c r="AG129" s="91"/>
      <c r="AH129" s="91"/>
      <c r="AI129" s="95"/>
      <c r="AJ129" s="95"/>
      <c r="AK129" s="95"/>
      <c r="AL129" s="95"/>
      <c r="AM129" s="95"/>
      <c r="AN129" s="95"/>
      <c r="AO129" s="1454"/>
      <c r="AP129" s="1454"/>
      <c r="AQ129" s="1454"/>
      <c r="AR129" s="1454"/>
      <c r="AS129" s="1454"/>
      <c r="AT129" s="1454"/>
      <c r="AU129" s="1454"/>
      <c r="AV129" s="1454"/>
      <c r="AW129" s="95"/>
      <c r="AX129" s="95"/>
      <c r="AY129" s="95"/>
      <c r="AZ129" s="1454"/>
      <c r="BA129" s="1454"/>
      <c r="BB129" s="1454"/>
      <c r="BC129" s="1454"/>
    </row>
    <row r="130" spans="2:55" ht="25.2" customHeight="1">
      <c r="B130" s="329" t="s">
        <v>344</v>
      </c>
      <c r="C130" s="330" t="s">
        <v>90</v>
      </c>
      <c r="D130" s="331" t="s">
        <v>164</v>
      </c>
      <c r="E130" s="332" t="s">
        <v>137</v>
      </c>
      <c r="F130" s="332" t="s">
        <v>137</v>
      </c>
      <c r="G130" s="333" t="s">
        <v>138</v>
      </c>
      <c r="H130" s="332"/>
      <c r="I130" s="333"/>
      <c r="J130" s="332"/>
      <c r="K130" s="332"/>
      <c r="L130" s="332"/>
      <c r="M130" s="332"/>
      <c r="N130" s="333"/>
      <c r="O130" s="333"/>
      <c r="P130" s="332"/>
      <c r="Q130" s="333"/>
      <c r="R130" s="332"/>
      <c r="S130" s="332"/>
      <c r="T130" s="332"/>
      <c r="U130" s="332"/>
      <c r="V130" s="332"/>
      <c r="W130" s="333"/>
      <c r="X130" s="333"/>
      <c r="Y130" s="334" t="s">
        <v>1889</v>
      </c>
      <c r="AG130" s="91"/>
      <c r="AH130" s="91"/>
      <c r="AI130" s="95"/>
      <c r="AJ130" s="95"/>
      <c r="AK130" s="95"/>
      <c r="AL130" s="95"/>
      <c r="AM130" s="95"/>
      <c r="AN130" s="95"/>
      <c r="AO130" s="1454"/>
      <c r="AP130" s="1454"/>
      <c r="AQ130" s="1454"/>
      <c r="AR130" s="1454"/>
      <c r="AS130" s="1454"/>
      <c r="AT130" s="1454"/>
      <c r="AU130" s="1454"/>
      <c r="AV130" s="1454"/>
      <c r="AW130" s="95"/>
      <c r="AX130" s="95"/>
      <c r="AY130" s="95"/>
      <c r="AZ130" s="1454"/>
      <c r="BA130" s="1454"/>
      <c r="BB130" s="1454"/>
      <c r="BC130" s="1454"/>
    </row>
    <row r="131" spans="2:55" ht="25.2" customHeight="1">
      <c r="B131" s="329" t="s">
        <v>345</v>
      </c>
      <c r="C131" s="330" t="s">
        <v>91</v>
      </c>
      <c r="D131" s="331" t="s">
        <v>164</v>
      </c>
      <c r="E131" s="332" t="s">
        <v>190</v>
      </c>
      <c r="F131" s="332" t="s">
        <v>190</v>
      </c>
      <c r="G131" s="333" t="s">
        <v>191</v>
      </c>
      <c r="H131" s="332"/>
      <c r="I131" s="333"/>
      <c r="J131" s="332"/>
      <c r="K131" s="332"/>
      <c r="L131" s="332"/>
      <c r="M131" s="332"/>
      <c r="N131" s="333"/>
      <c r="O131" s="333"/>
      <c r="P131" s="332"/>
      <c r="Q131" s="333"/>
      <c r="R131" s="332"/>
      <c r="S131" s="332"/>
      <c r="T131" s="332"/>
      <c r="U131" s="332"/>
      <c r="V131" s="332"/>
      <c r="W131" s="333"/>
      <c r="X131" s="333"/>
      <c r="Y131" s="334"/>
      <c r="AG131" s="91"/>
      <c r="AH131" s="91"/>
      <c r="AI131" s="95"/>
      <c r="AJ131" s="95"/>
      <c r="AK131" s="95"/>
      <c r="AL131" s="95"/>
      <c r="AM131" s="95"/>
      <c r="AN131" s="95"/>
      <c r="AO131" s="1454"/>
      <c r="AP131" s="1454"/>
      <c r="AQ131" s="1454"/>
      <c r="AR131" s="1454"/>
      <c r="AS131" s="1454"/>
      <c r="AT131" s="1454"/>
      <c r="AU131" s="1454"/>
      <c r="AV131" s="1454"/>
      <c r="AW131" s="95"/>
      <c r="AX131" s="95"/>
      <c r="AY131" s="95"/>
      <c r="AZ131" s="1454"/>
      <c r="BA131" s="1454"/>
      <c r="BB131" s="1454"/>
      <c r="BC131" s="1454"/>
    </row>
    <row r="132" spans="2:55" s="1377" customFormat="1" ht="25.2" customHeight="1">
      <c r="B132" s="329" t="s">
        <v>346</v>
      </c>
      <c r="C132" s="1388" t="s">
        <v>110</v>
      </c>
      <c r="D132" s="1381" t="s">
        <v>164</v>
      </c>
      <c r="E132" s="1384" t="s">
        <v>190</v>
      </c>
      <c r="F132" s="1384" t="s">
        <v>190</v>
      </c>
      <c r="G132" s="1385"/>
      <c r="H132" s="1384"/>
      <c r="I132" s="1385"/>
      <c r="J132" s="1384"/>
      <c r="K132" s="1384"/>
      <c r="L132" s="1384"/>
      <c r="M132" s="1384"/>
      <c r="N132" s="1385"/>
      <c r="O132" s="1385"/>
      <c r="P132" s="1384"/>
      <c r="Q132" s="1385"/>
      <c r="R132" s="1384"/>
      <c r="S132" s="1384"/>
      <c r="T132" s="1384"/>
      <c r="U132" s="1384"/>
      <c r="V132" s="1384"/>
      <c r="W132" s="1385"/>
      <c r="X132" s="1385"/>
      <c r="Y132" s="1386"/>
      <c r="AI132" s="1376"/>
      <c r="AJ132" s="1376"/>
      <c r="AK132" s="1376"/>
      <c r="AL132" s="1376"/>
      <c r="AM132" s="1376"/>
      <c r="AN132" s="1376"/>
      <c r="AO132" s="1376"/>
      <c r="AP132" s="1376"/>
      <c r="AQ132" s="1376"/>
      <c r="AR132" s="1376"/>
      <c r="AS132" s="1376"/>
      <c r="AT132" s="1376"/>
      <c r="AU132" s="1376"/>
      <c r="AV132" s="1376"/>
      <c r="AW132" s="1376"/>
      <c r="AX132" s="1376"/>
      <c r="AY132" s="1376"/>
      <c r="AZ132" s="1376"/>
      <c r="BA132" s="1376"/>
      <c r="BB132" s="1455"/>
      <c r="BC132" s="1455"/>
    </row>
    <row r="133" spans="2:55" ht="25.2" customHeight="1">
      <c r="B133" s="329" t="s">
        <v>347</v>
      </c>
      <c r="C133" s="865" t="s">
        <v>1372</v>
      </c>
      <c r="D133" s="1214" t="s">
        <v>164</v>
      </c>
      <c r="E133" s="982" t="s">
        <v>190</v>
      </c>
      <c r="F133" s="982" t="s">
        <v>190</v>
      </c>
      <c r="G133" s="1208"/>
      <c r="H133" s="982"/>
      <c r="I133" s="1208"/>
      <c r="J133" s="332"/>
      <c r="K133" s="332"/>
      <c r="L133" s="332"/>
      <c r="M133" s="332"/>
      <c r="N133" s="333"/>
      <c r="O133" s="333"/>
      <c r="P133" s="332"/>
      <c r="Q133" s="333"/>
      <c r="R133" s="332"/>
      <c r="S133" s="332"/>
      <c r="T133" s="332"/>
      <c r="U133" s="332"/>
      <c r="V133" s="332"/>
      <c r="W133" s="333"/>
      <c r="X133" s="333"/>
      <c r="Y133" s="334"/>
      <c r="AI133" s="91"/>
      <c r="AJ133" s="91"/>
      <c r="AK133" s="91"/>
      <c r="AL133" s="91"/>
      <c r="AM133" s="91"/>
      <c r="AN133" s="91"/>
      <c r="AO133" s="91"/>
      <c r="AP133" s="91"/>
      <c r="AQ133" s="91"/>
      <c r="AR133" s="91"/>
      <c r="AS133" s="91"/>
      <c r="AT133" s="91"/>
      <c r="AU133" s="91"/>
      <c r="AV133" s="91"/>
      <c r="AW133" s="91"/>
      <c r="AX133" s="91"/>
      <c r="AY133" s="91"/>
      <c r="AZ133" s="91"/>
      <c r="BA133" s="91"/>
      <c r="BB133" s="91"/>
      <c r="BC133" s="91"/>
    </row>
    <row r="134" spans="2:55" ht="25.2" customHeight="1">
      <c r="B134" s="329" t="s">
        <v>348</v>
      </c>
      <c r="C134" s="865" t="s">
        <v>1373</v>
      </c>
      <c r="D134" s="1214" t="s">
        <v>164</v>
      </c>
      <c r="E134" s="982" t="s">
        <v>190</v>
      </c>
      <c r="F134" s="982" t="s">
        <v>190</v>
      </c>
      <c r="G134" s="1208"/>
      <c r="H134" s="982"/>
      <c r="I134" s="1208"/>
      <c r="J134" s="332"/>
      <c r="K134" s="332"/>
      <c r="L134" s="332"/>
      <c r="M134" s="332"/>
      <c r="N134" s="333"/>
      <c r="O134" s="333"/>
      <c r="P134" s="332"/>
      <c r="Q134" s="333"/>
      <c r="R134" s="332"/>
      <c r="S134" s="332"/>
      <c r="T134" s="332"/>
      <c r="U134" s="332"/>
      <c r="V134" s="332"/>
      <c r="W134" s="333"/>
      <c r="X134" s="333"/>
      <c r="Y134" s="334"/>
      <c r="AI134" s="91"/>
      <c r="AJ134" s="91"/>
      <c r="AK134" s="91"/>
      <c r="AL134" s="91"/>
      <c r="AM134" s="91"/>
      <c r="AN134" s="91"/>
      <c r="AO134" s="91"/>
      <c r="AP134" s="91"/>
      <c r="AQ134" s="91"/>
      <c r="AR134" s="91"/>
      <c r="AS134" s="91"/>
      <c r="AT134" s="91"/>
      <c r="AU134" s="91"/>
      <c r="AV134" s="91"/>
      <c r="AW134" s="91"/>
      <c r="AX134" s="91"/>
      <c r="AY134" s="91"/>
      <c r="AZ134" s="91"/>
      <c r="BA134" s="91"/>
      <c r="BB134" s="91"/>
      <c r="BC134" s="91"/>
    </row>
    <row r="135" spans="2:55" ht="39" customHeight="1">
      <c r="B135" s="329" t="s">
        <v>349</v>
      </c>
      <c r="C135" s="865" t="s">
        <v>109</v>
      </c>
      <c r="D135" s="1214" t="s">
        <v>164</v>
      </c>
      <c r="E135" s="982" t="s">
        <v>190</v>
      </c>
      <c r="F135" s="982" t="s">
        <v>190</v>
      </c>
      <c r="G135" s="1208" t="s">
        <v>191</v>
      </c>
      <c r="H135" s="982"/>
      <c r="I135" s="1208"/>
      <c r="J135" s="332"/>
      <c r="K135" s="332"/>
      <c r="L135" s="332"/>
      <c r="M135" s="332"/>
      <c r="N135" s="333"/>
      <c r="O135" s="333"/>
      <c r="P135" s="332"/>
      <c r="Q135" s="333"/>
      <c r="R135" s="332"/>
      <c r="S135" s="332"/>
      <c r="T135" s="332"/>
      <c r="U135" s="332"/>
      <c r="V135" s="332"/>
      <c r="W135" s="333"/>
      <c r="X135" s="333"/>
      <c r="Y135" s="334" t="s">
        <v>2212</v>
      </c>
      <c r="Z135" s="91"/>
      <c r="AA135" s="91"/>
      <c r="AB135" s="91"/>
      <c r="AC135" s="91"/>
      <c r="AD135" s="91"/>
      <c r="AE135" s="91"/>
      <c r="AF135" s="91"/>
      <c r="AG135" s="91"/>
      <c r="AH135" s="91"/>
      <c r="AI135" s="95"/>
      <c r="AJ135" s="95"/>
      <c r="AK135" s="95"/>
      <c r="AL135" s="95"/>
      <c r="AM135" s="95"/>
      <c r="AN135" s="95"/>
      <c r="AO135" s="1454"/>
      <c r="AP135" s="1454"/>
      <c r="AQ135" s="1454"/>
      <c r="AR135" s="1454"/>
      <c r="AS135" s="1454"/>
      <c r="AT135" s="1454"/>
      <c r="AU135" s="1454"/>
      <c r="AV135" s="1454"/>
      <c r="AW135" s="95"/>
      <c r="AX135" s="95"/>
      <c r="AY135" s="95"/>
      <c r="AZ135" s="1454"/>
      <c r="BA135" s="1454"/>
      <c r="BB135" s="1454"/>
      <c r="BC135" s="1454"/>
    </row>
    <row r="136" spans="2:55" ht="25.2" customHeight="1">
      <c r="B136" s="329" t="s">
        <v>350</v>
      </c>
      <c r="C136" s="865" t="s">
        <v>175</v>
      </c>
      <c r="D136" s="1214" t="s">
        <v>164</v>
      </c>
      <c r="E136" s="982" t="s">
        <v>190</v>
      </c>
      <c r="F136" s="982" t="s">
        <v>190</v>
      </c>
      <c r="G136" s="1226"/>
      <c r="H136" s="1227"/>
      <c r="I136" s="1226"/>
      <c r="J136" s="343"/>
      <c r="K136" s="343"/>
      <c r="L136" s="343"/>
      <c r="M136" s="343"/>
      <c r="N136" s="342"/>
      <c r="O136" s="342"/>
      <c r="P136" s="343"/>
      <c r="Q136" s="342"/>
      <c r="R136" s="343"/>
      <c r="S136" s="343"/>
      <c r="T136" s="343"/>
      <c r="U136" s="343"/>
      <c r="V136" s="343"/>
      <c r="W136" s="342"/>
      <c r="X136" s="342"/>
      <c r="Y136" s="334"/>
      <c r="Z136" s="1454"/>
      <c r="AA136" s="1454"/>
      <c r="AB136" s="1454"/>
      <c r="AC136" s="1454"/>
      <c r="AD136" s="1454"/>
      <c r="AE136" s="1454"/>
      <c r="AF136" s="1454"/>
      <c r="AG136" s="1454"/>
      <c r="AH136" s="95"/>
      <c r="AI136" s="95"/>
      <c r="AJ136" s="95"/>
      <c r="AK136" s="95"/>
      <c r="AL136" s="95"/>
      <c r="AM136" s="95"/>
      <c r="AN136" s="95"/>
      <c r="AO136" s="1454"/>
      <c r="AP136" s="1454"/>
      <c r="AQ136" s="1454"/>
      <c r="AR136" s="1454"/>
      <c r="AS136" s="1454"/>
      <c r="AT136" s="1454"/>
      <c r="AU136" s="1454"/>
      <c r="AV136" s="1454"/>
      <c r="AW136" s="95"/>
      <c r="AX136" s="95"/>
      <c r="AY136" s="95"/>
      <c r="AZ136" s="1454"/>
      <c r="BA136" s="1454"/>
      <c r="BB136" s="1454"/>
      <c r="BC136" s="1454"/>
    </row>
    <row r="137" spans="2:55" ht="25.2" customHeight="1">
      <c r="B137" s="329" t="s">
        <v>351</v>
      </c>
      <c r="C137" s="865" t="s">
        <v>143</v>
      </c>
      <c r="D137" s="1214" t="s">
        <v>163</v>
      </c>
      <c r="E137" s="982" t="s">
        <v>190</v>
      </c>
      <c r="F137" s="982" t="s">
        <v>190</v>
      </c>
      <c r="G137" s="1226"/>
      <c r="H137" s="1227"/>
      <c r="I137" s="1226"/>
      <c r="J137" s="343"/>
      <c r="K137" s="343"/>
      <c r="L137" s="343"/>
      <c r="M137" s="343"/>
      <c r="N137" s="342"/>
      <c r="O137" s="342"/>
      <c r="P137" s="343"/>
      <c r="Q137" s="342"/>
      <c r="R137" s="332" t="s">
        <v>190</v>
      </c>
      <c r="S137" s="332" t="s">
        <v>190</v>
      </c>
      <c r="T137" s="343"/>
      <c r="U137" s="343"/>
      <c r="V137" s="343"/>
      <c r="W137" s="342"/>
      <c r="X137" s="342"/>
      <c r="Y137" s="341"/>
      <c r="Z137" s="1454"/>
      <c r="AA137" s="1454"/>
      <c r="AB137" s="1454"/>
      <c r="AC137" s="1454"/>
      <c r="AD137" s="1454"/>
      <c r="AE137" s="1454"/>
      <c r="AF137" s="1454"/>
      <c r="AG137" s="1454"/>
      <c r="AH137" s="95"/>
      <c r="AI137" s="95"/>
      <c r="AJ137" s="95"/>
      <c r="AK137" s="95"/>
      <c r="AL137" s="95"/>
      <c r="AM137" s="95"/>
      <c r="AN137" s="95"/>
      <c r="AO137" s="1454"/>
      <c r="AP137" s="1454"/>
      <c r="AQ137" s="1454"/>
      <c r="AR137" s="1454"/>
      <c r="AS137" s="1454"/>
      <c r="AT137" s="1454"/>
      <c r="AU137" s="1454"/>
      <c r="AV137" s="1454"/>
      <c r="AW137" s="95"/>
      <c r="AX137" s="95"/>
      <c r="AY137" s="95"/>
      <c r="AZ137" s="1454"/>
      <c r="BA137" s="1454"/>
      <c r="BB137" s="1454"/>
      <c r="BC137" s="1454"/>
    </row>
    <row r="138" spans="2:55" ht="24.75" customHeight="1">
      <c r="B138" s="329" t="s">
        <v>352</v>
      </c>
      <c r="C138" s="865" t="s">
        <v>116</v>
      </c>
      <c r="D138" s="1214" t="s">
        <v>164</v>
      </c>
      <c r="E138" s="982" t="s">
        <v>190</v>
      </c>
      <c r="F138" s="982" t="s">
        <v>190</v>
      </c>
      <c r="G138" s="1226"/>
      <c r="H138" s="1227"/>
      <c r="I138" s="1226"/>
      <c r="J138" s="343"/>
      <c r="K138" s="343"/>
      <c r="L138" s="343"/>
      <c r="M138" s="343"/>
      <c r="N138" s="342"/>
      <c r="O138" s="342"/>
      <c r="P138" s="343"/>
      <c r="Q138" s="342"/>
      <c r="R138" s="343"/>
      <c r="S138" s="343"/>
      <c r="T138" s="343"/>
      <c r="U138" s="343"/>
      <c r="V138" s="343"/>
      <c r="W138" s="342"/>
      <c r="X138" s="342"/>
      <c r="Y138" s="885" t="s">
        <v>2213</v>
      </c>
      <c r="Z138" s="1454"/>
      <c r="AA138" s="1454"/>
      <c r="AB138" s="1454"/>
      <c r="AC138" s="1454"/>
      <c r="AD138" s="1454"/>
      <c r="AE138" s="1454"/>
      <c r="AF138" s="1454"/>
      <c r="AG138" s="1454"/>
      <c r="AH138" s="95"/>
      <c r="AI138" s="95"/>
      <c r="AJ138" s="95"/>
      <c r="AK138" s="95"/>
      <c r="AL138" s="95"/>
      <c r="AM138" s="95"/>
      <c r="AN138" s="95"/>
      <c r="AO138" s="1454"/>
      <c r="AP138" s="1454"/>
      <c r="AQ138" s="1454"/>
      <c r="AR138" s="1454"/>
      <c r="AS138" s="1454"/>
      <c r="AT138" s="1454"/>
      <c r="AU138" s="1454"/>
      <c r="AV138" s="1454"/>
      <c r="AW138" s="95"/>
      <c r="AX138" s="95"/>
      <c r="AY138" s="95"/>
      <c r="AZ138" s="1454"/>
      <c r="BA138" s="1454"/>
      <c r="BB138" s="1454"/>
      <c r="BC138" s="1454"/>
    </row>
    <row r="139" spans="2:55" ht="24.75" customHeight="1">
      <c r="B139" s="329" t="s">
        <v>353</v>
      </c>
      <c r="C139" s="1224" t="s">
        <v>1055</v>
      </c>
      <c r="D139" s="1214" t="s">
        <v>327</v>
      </c>
      <c r="E139" s="982" t="s">
        <v>190</v>
      </c>
      <c r="F139" s="982" t="s">
        <v>190</v>
      </c>
      <c r="G139" s="1208"/>
      <c r="H139" s="982"/>
      <c r="I139" s="1208"/>
      <c r="J139" s="332"/>
      <c r="K139" s="332"/>
      <c r="L139" s="332"/>
      <c r="M139" s="332"/>
      <c r="N139" s="333"/>
      <c r="O139" s="333"/>
      <c r="P139" s="332"/>
      <c r="Q139" s="333"/>
      <c r="R139" s="332"/>
      <c r="S139" s="332"/>
      <c r="T139" s="332"/>
      <c r="U139" s="332"/>
      <c r="V139" s="332"/>
      <c r="W139" s="333"/>
      <c r="X139" s="333"/>
      <c r="Y139" s="341"/>
      <c r="AI139" s="91"/>
      <c r="AJ139" s="91"/>
      <c r="AK139" s="91"/>
      <c r="AL139" s="91"/>
      <c r="AM139" s="91"/>
      <c r="AN139" s="91"/>
      <c r="AO139" s="91"/>
      <c r="AP139" s="91"/>
      <c r="AQ139" s="91"/>
      <c r="AR139" s="91"/>
      <c r="AS139" s="91"/>
      <c r="AT139" s="91"/>
      <c r="AU139" s="91"/>
      <c r="AV139" s="91"/>
      <c r="AW139" s="91"/>
      <c r="AX139" s="91"/>
      <c r="AY139" s="91"/>
      <c r="AZ139" s="91"/>
      <c r="BA139" s="91"/>
      <c r="BB139" s="1455"/>
      <c r="BC139" s="1455"/>
    </row>
    <row r="140" spans="2:55" ht="24.75" customHeight="1">
      <c r="B140" s="329" t="s">
        <v>354</v>
      </c>
      <c r="C140" s="1224" t="s">
        <v>1054</v>
      </c>
      <c r="D140" s="1214" t="s">
        <v>327</v>
      </c>
      <c r="E140" s="982" t="s">
        <v>190</v>
      </c>
      <c r="F140" s="982" t="s">
        <v>190</v>
      </c>
      <c r="G140" s="1208"/>
      <c r="H140" s="982"/>
      <c r="I140" s="1208"/>
      <c r="J140" s="332"/>
      <c r="K140" s="332"/>
      <c r="L140" s="332"/>
      <c r="M140" s="332"/>
      <c r="N140" s="333"/>
      <c r="O140" s="333"/>
      <c r="P140" s="332"/>
      <c r="Q140" s="333"/>
      <c r="R140" s="332"/>
      <c r="S140" s="332"/>
      <c r="T140" s="332"/>
      <c r="U140" s="332"/>
      <c r="V140" s="332"/>
      <c r="W140" s="333"/>
      <c r="X140" s="333"/>
      <c r="Y140" s="341"/>
      <c r="AI140" s="91"/>
      <c r="AJ140" s="91"/>
      <c r="AK140" s="91"/>
      <c r="AL140" s="91"/>
      <c r="AM140" s="91"/>
      <c r="AN140" s="91"/>
      <c r="AO140" s="91"/>
      <c r="AP140" s="91"/>
      <c r="AQ140" s="91"/>
      <c r="AR140" s="91"/>
      <c r="AS140" s="91"/>
      <c r="AT140" s="91"/>
      <c r="AU140" s="91"/>
      <c r="AV140" s="91"/>
      <c r="AW140" s="91"/>
      <c r="AX140" s="91"/>
      <c r="AY140" s="91"/>
      <c r="AZ140" s="91"/>
      <c r="BA140" s="91"/>
      <c r="BB140" s="91"/>
      <c r="BC140" s="91"/>
    </row>
    <row r="141" spans="2:55" ht="24.75" customHeight="1">
      <c r="B141" s="329" t="s">
        <v>355</v>
      </c>
      <c r="C141" s="865" t="s">
        <v>147</v>
      </c>
      <c r="D141" s="1214" t="s">
        <v>327</v>
      </c>
      <c r="E141" s="982" t="s">
        <v>190</v>
      </c>
      <c r="F141" s="982" t="s">
        <v>190</v>
      </c>
      <c r="G141" s="1226"/>
      <c r="H141" s="1227"/>
      <c r="I141" s="1226"/>
      <c r="J141" s="343"/>
      <c r="K141" s="343"/>
      <c r="L141" s="343"/>
      <c r="M141" s="343"/>
      <c r="N141" s="342"/>
      <c r="O141" s="342"/>
      <c r="P141" s="343"/>
      <c r="Q141" s="342"/>
      <c r="R141" s="332"/>
      <c r="S141" s="332"/>
      <c r="T141" s="332"/>
      <c r="U141" s="343"/>
      <c r="V141" s="343"/>
      <c r="W141" s="342"/>
      <c r="X141" s="342"/>
      <c r="Y141" s="334"/>
      <c r="Z141" s="1454"/>
      <c r="AA141" s="1454"/>
      <c r="AB141" s="1454"/>
      <c r="AC141" s="1454"/>
      <c r="AD141" s="1454"/>
      <c r="AE141" s="1454"/>
      <c r="AF141" s="1454"/>
      <c r="AG141" s="1454"/>
      <c r="AH141" s="95"/>
      <c r="AI141" s="95"/>
      <c r="AJ141" s="95"/>
      <c r="AK141" s="95"/>
      <c r="AL141" s="95"/>
      <c r="AM141" s="95"/>
      <c r="AN141" s="95"/>
      <c r="AO141" s="1454"/>
      <c r="AP141" s="1454"/>
      <c r="AQ141" s="1454"/>
      <c r="AR141" s="1454"/>
      <c r="AS141" s="1454"/>
      <c r="AT141" s="1454"/>
      <c r="AU141" s="1454"/>
      <c r="AV141" s="1454"/>
      <c r="AW141" s="95"/>
      <c r="AX141" s="95"/>
      <c r="AY141" s="95"/>
      <c r="AZ141" s="1454"/>
      <c r="BA141" s="1454"/>
      <c r="BB141" s="1454"/>
      <c r="BC141" s="1454"/>
    </row>
    <row r="142" spans="2:55" ht="24.75" customHeight="1">
      <c r="B142" s="329" t="s">
        <v>356</v>
      </c>
      <c r="C142" s="865" t="s">
        <v>148</v>
      </c>
      <c r="D142" s="1214" t="s">
        <v>327</v>
      </c>
      <c r="E142" s="982" t="s">
        <v>190</v>
      </c>
      <c r="F142" s="982" t="s">
        <v>190</v>
      </c>
      <c r="G142" s="1208"/>
      <c r="H142" s="982"/>
      <c r="I142" s="1208"/>
      <c r="J142" s="332"/>
      <c r="K142" s="332"/>
      <c r="L142" s="332"/>
      <c r="M142" s="332"/>
      <c r="N142" s="333"/>
      <c r="O142" s="333"/>
      <c r="P142" s="332"/>
      <c r="Q142" s="333"/>
      <c r="R142" s="332"/>
      <c r="S142" s="332"/>
      <c r="T142" s="332" t="s">
        <v>190</v>
      </c>
      <c r="U142" s="332"/>
      <c r="V142" s="332"/>
      <c r="W142" s="333"/>
      <c r="X142" s="333"/>
      <c r="Y142" s="334"/>
      <c r="Z142" s="1454"/>
      <c r="AA142" s="1454"/>
      <c r="AB142" s="1454"/>
      <c r="AC142" s="1454"/>
      <c r="AD142" s="1454"/>
      <c r="AE142" s="1454"/>
      <c r="AF142" s="1454"/>
      <c r="AG142" s="1454"/>
      <c r="AH142" s="95"/>
      <c r="AI142" s="95"/>
      <c r="AJ142" s="95"/>
      <c r="AK142" s="95"/>
      <c r="AL142" s="95"/>
      <c r="AM142" s="95"/>
      <c r="AN142" s="95"/>
      <c r="AO142" s="1454"/>
      <c r="AP142" s="1454"/>
      <c r="AQ142" s="1454"/>
      <c r="AR142" s="1454"/>
      <c r="AS142" s="1454"/>
      <c r="AT142" s="1454"/>
      <c r="AU142" s="1454"/>
      <c r="AV142" s="1454"/>
      <c r="AW142" s="95"/>
      <c r="AX142" s="95"/>
      <c r="AY142" s="95"/>
      <c r="AZ142" s="1454"/>
      <c r="BA142" s="1454"/>
      <c r="BB142" s="1454"/>
      <c r="BC142" s="1454"/>
    </row>
    <row r="143" spans="2:55" ht="25.2" customHeight="1">
      <c r="B143" s="329" t="s">
        <v>749</v>
      </c>
      <c r="C143" s="865" t="s">
        <v>1739</v>
      </c>
      <c r="D143" s="1214" t="s">
        <v>164</v>
      </c>
      <c r="E143" s="982" t="s">
        <v>190</v>
      </c>
      <c r="F143" s="982" t="s">
        <v>190</v>
      </c>
      <c r="G143" s="1226"/>
      <c r="H143" s="982" t="s">
        <v>190</v>
      </c>
      <c r="I143" s="1226"/>
      <c r="J143" s="343"/>
      <c r="K143" s="343"/>
      <c r="L143" s="343"/>
      <c r="M143" s="343"/>
      <c r="N143" s="342"/>
      <c r="O143" s="342"/>
      <c r="P143" s="343"/>
      <c r="Q143" s="342"/>
      <c r="R143" s="343"/>
      <c r="S143" s="343"/>
      <c r="T143" s="343"/>
      <c r="U143" s="343"/>
      <c r="V143" s="343"/>
      <c r="W143" s="342"/>
      <c r="X143" s="342"/>
      <c r="Y143" s="334"/>
      <c r="Z143" s="95"/>
      <c r="AA143" s="95"/>
      <c r="AB143" s="95"/>
      <c r="AC143" s="95"/>
      <c r="AD143" s="95"/>
      <c r="AE143" s="95"/>
      <c r="AF143" s="95"/>
      <c r="AG143" s="95"/>
      <c r="AH143" s="95"/>
      <c r="AI143" s="95"/>
      <c r="AJ143" s="95"/>
      <c r="AK143" s="95"/>
      <c r="AL143" s="95"/>
      <c r="AM143" s="95"/>
      <c r="AN143" s="95"/>
      <c r="AO143" s="95"/>
      <c r="AP143" s="95"/>
      <c r="AQ143" s="95"/>
      <c r="AR143" s="95"/>
      <c r="AS143" s="95"/>
      <c r="AT143" s="95"/>
      <c r="AU143" s="95"/>
      <c r="AV143" s="95"/>
      <c r="AW143" s="95"/>
      <c r="AX143" s="95"/>
      <c r="AY143" s="95"/>
      <c r="AZ143" s="95"/>
      <c r="BA143" s="95"/>
      <c r="BB143" s="95"/>
      <c r="BC143" s="95"/>
    </row>
    <row r="144" spans="2:55" ht="24.6" customHeight="1">
      <c r="B144" s="329" t="s">
        <v>750</v>
      </c>
      <c r="C144" s="330" t="s">
        <v>111</v>
      </c>
      <c r="D144" s="331" t="s">
        <v>164</v>
      </c>
      <c r="E144" s="332" t="s">
        <v>190</v>
      </c>
      <c r="F144" s="332" t="s">
        <v>190</v>
      </c>
      <c r="G144" s="333"/>
      <c r="H144" s="332"/>
      <c r="I144" s="333"/>
      <c r="J144" s="332"/>
      <c r="K144" s="332"/>
      <c r="L144" s="332"/>
      <c r="M144" s="332"/>
      <c r="N144" s="333"/>
      <c r="O144" s="333"/>
      <c r="P144" s="332"/>
      <c r="Q144" s="333"/>
      <c r="R144" s="332"/>
      <c r="S144" s="332"/>
      <c r="T144" s="332"/>
      <c r="U144" s="332"/>
      <c r="V144" s="332"/>
      <c r="W144" s="333"/>
      <c r="X144" s="333"/>
      <c r="Y144" s="334"/>
      <c r="Z144" s="1454"/>
      <c r="AA144" s="1454"/>
      <c r="AB144" s="1454"/>
      <c r="AC144" s="1454"/>
      <c r="AD144" s="1454"/>
      <c r="AE144" s="1454"/>
      <c r="AF144" s="1454"/>
      <c r="AG144" s="1454"/>
      <c r="AH144" s="95"/>
      <c r="AI144" s="95"/>
      <c r="AJ144" s="95"/>
      <c r="AK144" s="95"/>
      <c r="AL144" s="95"/>
      <c r="AM144" s="95"/>
      <c r="AN144" s="95"/>
      <c r="AO144" s="1454"/>
      <c r="AP144" s="1454"/>
      <c r="AQ144" s="1454"/>
      <c r="AR144" s="1454"/>
      <c r="AS144" s="1454"/>
      <c r="AT144" s="1454"/>
      <c r="AU144" s="1454"/>
      <c r="AV144" s="1454"/>
      <c r="AW144" s="95"/>
      <c r="AX144" s="95"/>
      <c r="AY144" s="95"/>
      <c r="AZ144" s="1454"/>
      <c r="BA144" s="1454"/>
      <c r="BB144" s="1454"/>
      <c r="BC144" s="1454"/>
    </row>
    <row r="145" spans="2:55" ht="24.75" customHeight="1">
      <c r="B145" s="329" t="s">
        <v>751</v>
      </c>
      <c r="C145" s="330" t="s">
        <v>146</v>
      </c>
      <c r="D145" s="331" t="s">
        <v>164</v>
      </c>
      <c r="E145" s="332" t="s">
        <v>190</v>
      </c>
      <c r="F145" s="332" t="s">
        <v>190</v>
      </c>
      <c r="G145" s="333"/>
      <c r="H145" s="332"/>
      <c r="I145" s="333" t="s">
        <v>190</v>
      </c>
      <c r="J145" s="332"/>
      <c r="K145" s="332"/>
      <c r="L145" s="332"/>
      <c r="M145" s="332"/>
      <c r="N145" s="333"/>
      <c r="O145" s="333"/>
      <c r="P145" s="332"/>
      <c r="Q145" s="333"/>
      <c r="R145" s="332"/>
      <c r="S145" s="332"/>
      <c r="T145" s="332"/>
      <c r="U145" s="332"/>
      <c r="V145" s="332"/>
      <c r="W145" s="333"/>
      <c r="X145" s="333"/>
      <c r="Y145" s="334"/>
      <c r="Z145" s="1454"/>
      <c r="AA145" s="1454"/>
      <c r="AB145" s="1454"/>
      <c r="AC145" s="1454"/>
      <c r="AD145" s="1454"/>
      <c r="AE145" s="1454"/>
      <c r="AF145" s="1454"/>
      <c r="AG145" s="1454"/>
      <c r="AH145" s="95"/>
      <c r="AI145" s="95"/>
      <c r="AJ145" s="95"/>
      <c r="AK145" s="95"/>
      <c r="AL145" s="95"/>
      <c r="AM145" s="95"/>
      <c r="AN145" s="95"/>
      <c r="AO145" s="1454"/>
      <c r="AP145" s="1454"/>
      <c r="AQ145" s="1454"/>
      <c r="AR145" s="1454"/>
      <c r="AS145" s="1454"/>
      <c r="AT145" s="1454"/>
      <c r="AU145" s="1454"/>
      <c r="AV145" s="1454"/>
      <c r="AW145" s="95"/>
      <c r="AX145" s="95"/>
      <c r="AY145" s="95"/>
      <c r="AZ145" s="1454"/>
      <c r="BA145" s="1454"/>
      <c r="BB145" s="1454"/>
      <c r="BC145" s="1454"/>
    </row>
    <row r="146" spans="2:55" ht="24.75" customHeight="1">
      <c r="B146" s="329" t="s">
        <v>1767</v>
      </c>
      <c r="C146" s="387" t="s">
        <v>742</v>
      </c>
      <c r="D146" s="331" t="s">
        <v>327</v>
      </c>
      <c r="E146" s="332" t="s">
        <v>190</v>
      </c>
      <c r="F146" s="332" t="s">
        <v>190</v>
      </c>
      <c r="G146" s="333" t="s">
        <v>191</v>
      </c>
      <c r="H146" s="332"/>
      <c r="I146" s="333"/>
      <c r="J146" s="332"/>
      <c r="K146" s="332"/>
      <c r="L146" s="332"/>
      <c r="M146" s="332"/>
      <c r="N146" s="333"/>
      <c r="O146" s="333"/>
      <c r="P146" s="332"/>
      <c r="Q146" s="333"/>
      <c r="R146" s="332"/>
      <c r="S146" s="332"/>
      <c r="T146" s="332"/>
      <c r="U146" s="332"/>
      <c r="V146" s="332"/>
      <c r="W146" s="333"/>
      <c r="X146" s="333"/>
      <c r="Y146" s="341"/>
      <c r="AI146" s="91"/>
      <c r="AJ146" s="91"/>
      <c r="AK146" s="91"/>
      <c r="AL146" s="91"/>
      <c r="AM146" s="91"/>
      <c r="AN146" s="91"/>
      <c r="AO146" s="91"/>
      <c r="AP146" s="91"/>
      <c r="AQ146" s="91"/>
      <c r="AR146" s="91"/>
      <c r="AS146" s="91"/>
      <c r="AT146" s="91"/>
      <c r="AU146" s="91"/>
      <c r="AV146" s="91"/>
      <c r="AW146" s="91"/>
      <c r="AX146" s="91"/>
      <c r="AY146" s="91"/>
      <c r="AZ146" s="91"/>
      <c r="BA146" s="91"/>
      <c r="BB146" s="91"/>
      <c r="BC146" s="91"/>
    </row>
    <row r="147" spans="2:55" ht="24.75" customHeight="1">
      <c r="B147" s="329" t="s">
        <v>1768</v>
      </c>
      <c r="C147" s="387" t="s">
        <v>743</v>
      </c>
      <c r="D147" s="331" t="s">
        <v>327</v>
      </c>
      <c r="E147" s="332" t="s">
        <v>190</v>
      </c>
      <c r="F147" s="332" t="s">
        <v>190</v>
      </c>
      <c r="G147" s="333" t="s">
        <v>191</v>
      </c>
      <c r="H147" s="332"/>
      <c r="I147" s="333"/>
      <c r="J147" s="332"/>
      <c r="K147" s="332"/>
      <c r="L147" s="332"/>
      <c r="M147" s="332"/>
      <c r="N147" s="333"/>
      <c r="O147" s="333"/>
      <c r="P147" s="332"/>
      <c r="Q147" s="333"/>
      <c r="R147" s="332"/>
      <c r="S147" s="332"/>
      <c r="T147" s="332"/>
      <c r="U147" s="332"/>
      <c r="V147" s="332"/>
      <c r="W147" s="333"/>
      <c r="X147" s="333"/>
      <c r="Y147" s="341"/>
      <c r="AI147" s="91"/>
      <c r="AJ147" s="91"/>
      <c r="AK147" s="91"/>
      <c r="AL147" s="91"/>
      <c r="AM147" s="91"/>
      <c r="AN147" s="91"/>
      <c r="AO147" s="91"/>
      <c r="AP147" s="91"/>
      <c r="AQ147" s="91"/>
      <c r="AR147" s="91"/>
      <c r="AS147" s="91"/>
      <c r="AT147" s="91"/>
      <c r="AU147" s="91"/>
      <c r="AV147" s="91"/>
      <c r="AW147" s="91"/>
      <c r="AX147" s="91"/>
      <c r="AY147" s="91"/>
      <c r="AZ147" s="91"/>
      <c r="BA147" s="91"/>
      <c r="BB147" s="91"/>
      <c r="BC147" s="91"/>
    </row>
    <row r="148" spans="2:55" ht="24.75" customHeight="1">
      <c r="B148" s="329" t="s">
        <v>1769</v>
      </c>
      <c r="C148" s="387" t="s">
        <v>745</v>
      </c>
      <c r="D148" s="331" t="s">
        <v>327</v>
      </c>
      <c r="E148" s="332" t="s">
        <v>190</v>
      </c>
      <c r="F148" s="332" t="s">
        <v>190</v>
      </c>
      <c r="G148" s="333"/>
      <c r="H148" s="332"/>
      <c r="I148" s="333"/>
      <c r="J148" s="332"/>
      <c r="K148" s="332"/>
      <c r="L148" s="332"/>
      <c r="M148" s="332"/>
      <c r="N148" s="333"/>
      <c r="O148" s="333"/>
      <c r="P148" s="332"/>
      <c r="Q148" s="333"/>
      <c r="R148" s="332"/>
      <c r="S148" s="332"/>
      <c r="T148" s="332"/>
      <c r="U148" s="332"/>
      <c r="V148" s="332"/>
      <c r="W148" s="333"/>
      <c r="X148" s="333"/>
      <c r="Y148" s="341"/>
      <c r="AI148" s="91"/>
      <c r="AJ148" s="91"/>
      <c r="AK148" s="91"/>
      <c r="AL148" s="91"/>
      <c r="AM148" s="91"/>
      <c r="AN148" s="91"/>
      <c r="AO148" s="91"/>
      <c r="AP148" s="91"/>
      <c r="AQ148" s="91"/>
      <c r="AR148" s="91"/>
      <c r="AS148" s="91"/>
      <c r="AT148" s="91"/>
      <c r="AU148" s="91"/>
      <c r="AV148" s="91"/>
      <c r="AW148" s="91"/>
      <c r="AX148" s="91"/>
      <c r="AY148" s="91"/>
      <c r="AZ148" s="91"/>
      <c r="BA148" s="91"/>
      <c r="BB148" s="91"/>
      <c r="BC148" s="91"/>
    </row>
    <row r="149" spans="2:55" ht="25.2" customHeight="1">
      <c r="B149" s="329" t="s">
        <v>1770</v>
      </c>
      <c r="C149" s="1215" t="s">
        <v>1749</v>
      </c>
      <c r="D149" s="331" t="s">
        <v>164</v>
      </c>
      <c r="E149" s="982"/>
      <c r="F149" s="982"/>
      <c r="G149" s="1219"/>
      <c r="H149" s="1218"/>
      <c r="I149" s="1219"/>
      <c r="J149" s="1218"/>
      <c r="K149" s="1218"/>
      <c r="L149" s="1218"/>
      <c r="M149" s="1218"/>
      <c r="N149" s="1219"/>
      <c r="O149" s="1219"/>
      <c r="P149" s="397"/>
      <c r="Q149" s="398" t="s">
        <v>190</v>
      </c>
      <c r="R149" s="397"/>
      <c r="S149" s="397"/>
      <c r="T149" s="397"/>
      <c r="U149" s="397"/>
      <c r="V149" s="397"/>
      <c r="W149" s="398"/>
      <c r="X149" s="398"/>
      <c r="Y149" s="399"/>
      <c r="AI149" s="91"/>
      <c r="AJ149" s="91"/>
      <c r="AK149" s="91"/>
      <c r="AL149" s="91"/>
      <c r="AM149" s="91"/>
      <c r="AN149" s="91"/>
      <c r="AO149" s="91"/>
      <c r="AP149" s="91"/>
      <c r="AQ149" s="91"/>
      <c r="AR149" s="91"/>
      <c r="AS149" s="91"/>
      <c r="AT149" s="91"/>
      <c r="AU149" s="91"/>
      <c r="AV149" s="91"/>
      <c r="AW149" s="91"/>
      <c r="AX149" s="91"/>
      <c r="AY149" s="91"/>
      <c r="AZ149" s="91"/>
      <c r="BA149" s="91"/>
      <c r="BB149" s="91"/>
      <c r="BC149" s="91"/>
    </row>
    <row r="150" spans="2:55" ht="24.75" customHeight="1">
      <c r="B150" s="329" t="s">
        <v>2236</v>
      </c>
      <c r="C150" s="330" t="s">
        <v>113</v>
      </c>
      <c r="D150" s="331" t="s">
        <v>164</v>
      </c>
      <c r="E150" s="332" t="s">
        <v>190</v>
      </c>
      <c r="F150" s="332" t="s">
        <v>190</v>
      </c>
      <c r="G150" s="333"/>
      <c r="H150" s="397"/>
      <c r="I150" s="397"/>
      <c r="J150" s="333"/>
      <c r="K150" s="397"/>
      <c r="L150" s="333" t="s">
        <v>190</v>
      </c>
      <c r="M150" s="332"/>
      <c r="N150" s="333"/>
      <c r="O150" s="333"/>
      <c r="P150" s="332"/>
      <c r="Q150" s="333"/>
      <c r="R150" s="332"/>
      <c r="S150" s="332"/>
      <c r="T150" s="332"/>
      <c r="U150" s="333"/>
      <c r="V150" s="333"/>
      <c r="W150" s="333"/>
      <c r="X150" s="333"/>
      <c r="Y150" s="399"/>
      <c r="Z150" s="1454"/>
      <c r="AA150" s="1454"/>
      <c r="AB150" s="1454"/>
      <c r="AC150" s="1454"/>
      <c r="AD150" s="1454"/>
      <c r="AE150" s="1454"/>
      <c r="AF150" s="1454"/>
      <c r="AG150" s="1454"/>
      <c r="AH150" s="95"/>
      <c r="AI150" s="95"/>
      <c r="AJ150" s="95"/>
      <c r="AK150" s="95"/>
      <c r="AL150" s="95"/>
      <c r="AM150" s="95"/>
      <c r="AN150" s="95"/>
      <c r="AO150" s="1454"/>
      <c r="AP150" s="1454"/>
      <c r="AQ150" s="1454"/>
      <c r="AR150" s="1454"/>
      <c r="AS150" s="1454"/>
      <c r="AT150" s="1454"/>
      <c r="AU150" s="1454"/>
      <c r="AV150" s="1454"/>
      <c r="AW150" s="95"/>
      <c r="AX150" s="95"/>
      <c r="AY150" s="95"/>
      <c r="AZ150" s="1454"/>
      <c r="BA150" s="1454"/>
      <c r="BB150" s="1454"/>
      <c r="BC150" s="1454"/>
    </row>
    <row r="151" spans="2:55" ht="25.2" customHeight="1">
      <c r="B151" s="553" t="s">
        <v>2237</v>
      </c>
      <c r="C151" s="554" t="s">
        <v>1006</v>
      </c>
      <c r="D151" s="549" t="s">
        <v>164</v>
      </c>
      <c r="E151" s="550" t="s">
        <v>190</v>
      </c>
      <c r="F151" s="550" t="s">
        <v>190</v>
      </c>
      <c r="G151" s="555"/>
      <c r="H151" s="338"/>
      <c r="I151" s="890"/>
      <c r="J151" s="555"/>
      <c r="K151" s="339"/>
      <c r="L151" s="550"/>
      <c r="M151" s="550"/>
      <c r="N151" s="555"/>
      <c r="O151" s="555"/>
      <c r="P151" s="550"/>
      <c r="Q151" s="555"/>
      <c r="R151" s="550"/>
      <c r="S151" s="550"/>
      <c r="T151" s="550"/>
      <c r="U151" s="550"/>
      <c r="V151" s="550"/>
      <c r="W151" s="555"/>
      <c r="X151" s="555"/>
      <c r="Y151" s="340"/>
      <c r="AG151" s="91"/>
      <c r="AH151" s="91"/>
      <c r="AI151" s="95"/>
      <c r="AJ151" s="95"/>
      <c r="AK151" s="95"/>
      <c r="AL151" s="95"/>
      <c r="AM151" s="95"/>
      <c r="AN151" s="95"/>
      <c r="AO151" s="1454"/>
      <c r="AP151" s="1454"/>
      <c r="AQ151" s="1454"/>
      <c r="AR151" s="1454"/>
      <c r="AS151" s="1454"/>
      <c r="AT151" s="1454"/>
      <c r="AU151" s="1454"/>
      <c r="AV151" s="1454"/>
      <c r="AW151" s="95"/>
      <c r="AX151" s="95"/>
      <c r="AY151" s="95"/>
      <c r="AZ151" s="1454"/>
      <c r="BA151" s="1454"/>
      <c r="BB151" s="1454"/>
      <c r="BC151" s="1454"/>
    </row>
    <row r="152" spans="2:55" ht="15" customHeight="1">
      <c r="Y152" s="100"/>
    </row>
    <row r="153" spans="2:55" ht="15" customHeight="1">
      <c r="Y153" s="100"/>
      <c r="AG153" s="91"/>
      <c r="AH153" s="91"/>
    </row>
    <row r="154" spans="2:55" s="90" customFormat="1" ht="16.2">
      <c r="B154" s="872" t="s">
        <v>1771</v>
      </c>
      <c r="C154" s="855"/>
      <c r="D154" s="855" t="s">
        <v>322</v>
      </c>
      <c r="E154" s="855"/>
      <c r="F154" s="855"/>
      <c r="G154" s="855"/>
      <c r="H154" s="855"/>
      <c r="I154" s="855"/>
      <c r="J154" s="855"/>
      <c r="K154" s="855"/>
      <c r="L154" s="855"/>
      <c r="M154" s="855"/>
      <c r="N154" s="855"/>
      <c r="O154" s="855"/>
      <c r="P154" s="855"/>
      <c r="Q154" s="855"/>
      <c r="R154" s="855"/>
      <c r="S154" s="855"/>
      <c r="T154" s="855"/>
      <c r="U154" s="855"/>
      <c r="V154" s="855"/>
      <c r="W154" s="855"/>
      <c r="X154" s="855"/>
      <c r="Y154" s="855"/>
      <c r="AG154" s="91"/>
      <c r="AH154" s="91"/>
    </row>
    <row r="155" spans="2:55" ht="25.2" customHeight="1">
      <c r="B155" s="323" t="s">
        <v>1773</v>
      </c>
      <c r="C155" s="1230" t="s">
        <v>1372</v>
      </c>
      <c r="D155" s="1231" t="s">
        <v>164</v>
      </c>
      <c r="E155" s="1211" t="s">
        <v>190</v>
      </c>
      <c r="F155" s="1211" t="s">
        <v>190</v>
      </c>
      <c r="G155" s="1232"/>
      <c r="H155" s="1211"/>
      <c r="I155" s="1232"/>
      <c r="J155" s="1211"/>
      <c r="K155" s="1211"/>
      <c r="L155" s="1211"/>
      <c r="M155" s="1211"/>
      <c r="N155" s="1236"/>
      <c r="O155" s="854"/>
      <c r="P155" s="326"/>
      <c r="Q155" s="854"/>
      <c r="R155" s="853"/>
      <c r="S155" s="853"/>
      <c r="T155" s="853"/>
      <c r="U155" s="853"/>
      <c r="V155" s="853"/>
      <c r="W155" s="854"/>
      <c r="X155" s="854"/>
      <c r="Y155" s="874"/>
      <c r="Z155" s="88"/>
      <c r="AI155" s="91"/>
      <c r="AJ155" s="91"/>
      <c r="AK155" s="91"/>
      <c r="AL155" s="91"/>
      <c r="AM155" s="91"/>
      <c r="AN155" s="91"/>
      <c r="AO155" s="91"/>
      <c r="AP155" s="91"/>
      <c r="AQ155" s="91"/>
      <c r="AR155" s="91"/>
      <c r="AS155" s="91"/>
      <c r="AT155" s="91"/>
      <c r="AU155" s="91"/>
      <c r="AV155" s="91"/>
      <c r="AW155" s="91"/>
      <c r="AX155" s="91"/>
      <c r="AY155" s="91"/>
      <c r="AZ155" s="91"/>
      <c r="BA155" s="91"/>
      <c r="BB155" s="91"/>
      <c r="BC155" s="91"/>
    </row>
    <row r="156" spans="2:55" s="1377" customFormat="1" ht="25.2" customHeight="1">
      <c r="B156" s="871" t="s">
        <v>1774</v>
      </c>
      <c r="C156" s="1388" t="s">
        <v>1373</v>
      </c>
      <c r="D156" s="1381" t="s">
        <v>164</v>
      </c>
      <c r="E156" s="1384" t="s">
        <v>190</v>
      </c>
      <c r="F156" s="1384" t="s">
        <v>190</v>
      </c>
      <c r="G156" s="1385"/>
      <c r="H156" s="1384"/>
      <c r="I156" s="1385"/>
      <c r="J156" s="1384"/>
      <c r="K156" s="1384"/>
      <c r="L156" s="1384"/>
      <c r="M156" s="1384"/>
      <c r="N156" s="1385"/>
      <c r="O156" s="1385"/>
      <c r="P156" s="1384"/>
      <c r="Q156" s="1385"/>
      <c r="R156" s="1384"/>
      <c r="S156" s="1384"/>
      <c r="T156" s="1384"/>
      <c r="U156" s="1384"/>
      <c r="V156" s="1384"/>
      <c r="W156" s="1385"/>
      <c r="X156" s="1385"/>
      <c r="Y156" s="1386"/>
      <c r="AI156" s="1376"/>
      <c r="AJ156" s="1376"/>
      <c r="AK156" s="1376"/>
      <c r="AL156" s="1376"/>
      <c r="AM156" s="1376"/>
      <c r="AN156" s="1376"/>
      <c r="AO156" s="1376"/>
      <c r="AP156" s="1376"/>
      <c r="AQ156" s="1376"/>
      <c r="AR156" s="1376"/>
      <c r="AS156" s="1376"/>
      <c r="AT156" s="1376"/>
      <c r="AU156" s="1376"/>
      <c r="AV156" s="1376"/>
      <c r="AW156" s="1376"/>
      <c r="AX156" s="1376"/>
      <c r="AY156" s="1376"/>
      <c r="AZ156" s="1376"/>
      <c r="BA156" s="1376"/>
      <c r="BB156" s="1376"/>
      <c r="BC156" s="1376"/>
    </row>
    <row r="157" spans="2:55" ht="25.2" customHeight="1">
      <c r="B157" s="871" t="s">
        <v>1779</v>
      </c>
      <c r="C157" s="1239" t="s">
        <v>1775</v>
      </c>
      <c r="D157" s="1240" t="s">
        <v>164</v>
      </c>
      <c r="E157" s="1238" t="s">
        <v>137</v>
      </c>
      <c r="F157" s="1238" t="s">
        <v>137</v>
      </c>
      <c r="G157" s="1237"/>
      <c r="H157" s="1238"/>
      <c r="I157" s="1237"/>
      <c r="J157" s="1238"/>
      <c r="K157" s="1238"/>
      <c r="L157" s="1238"/>
      <c r="M157" s="1238"/>
      <c r="N157" s="1237"/>
      <c r="O157" s="854"/>
      <c r="P157" s="853"/>
      <c r="Q157" s="854"/>
      <c r="R157" s="853"/>
      <c r="S157" s="853"/>
      <c r="T157" s="853"/>
      <c r="U157" s="853"/>
      <c r="V157" s="853"/>
      <c r="W157" s="854"/>
      <c r="X157" s="854"/>
      <c r="Y157" s="856"/>
      <c r="AG157" s="91"/>
      <c r="AH157" s="91"/>
      <c r="AI157" s="95"/>
      <c r="AJ157" s="95"/>
      <c r="AK157" s="95"/>
      <c r="AL157" s="95"/>
      <c r="AM157" s="95"/>
      <c r="AN157" s="95"/>
      <c r="AO157" s="1454"/>
      <c r="AP157" s="1454"/>
      <c r="AQ157" s="1454"/>
      <c r="AR157" s="1454"/>
      <c r="AS157" s="1454"/>
      <c r="AT157" s="1454"/>
      <c r="AU157" s="1454"/>
      <c r="AV157" s="1454"/>
      <c r="AW157" s="95"/>
      <c r="AX157" s="95"/>
      <c r="AY157" s="95"/>
      <c r="AZ157" s="1454"/>
      <c r="BA157" s="1454"/>
      <c r="BB157" s="1454"/>
      <c r="BC157" s="1454"/>
    </row>
    <row r="158" spans="2:55" ht="25.2" customHeight="1">
      <c r="B158" s="871" t="s">
        <v>1780</v>
      </c>
      <c r="C158" s="1241" t="s">
        <v>1349</v>
      </c>
      <c r="D158" s="1214" t="s">
        <v>164</v>
      </c>
      <c r="E158" s="982" t="s">
        <v>137</v>
      </c>
      <c r="F158" s="982" t="s">
        <v>137</v>
      </c>
      <c r="G158" s="1208"/>
      <c r="H158" s="982"/>
      <c r="I158" s="1208"/>
      <c r="J158" s="982"/>
      <c r="K158" s="982"/>
      <c r="L158" s="982"/>
      <c r="M158" s="982"/>
      <c r="N158" s="1208"/>
      <c r="O158" s="333"/>
      <c r="P158" s="332"/>
      <c r="Q158" s="333"/>
      <c r="R158" s="332"/>
      <c r="S158" s="332"/>
      <c r="T158" s="332"/>
      <c r="U158" s="332"/>
      <c r="V158" s="332"/>
      <c r="W158" s="333"/>
      <c r="X158" s="333"/>
      <c r="Y158" s="334"/>
      <c r="AG158" s="91"/>
      <c r="AH158" s="91"/>
      <c r="AI158" s="95"/>
      <c r="AJ158" s="95"/>
      <c r="AK158" s="95"/>
      <c r="AL158" s="95"/>
      <c r="AM158" s="95"/>
      <c r="AN158" s="95"/>
      <c r="AO158" s="1454"/>
      <c r="AP158" s="1454"/>
      <c r="AQ158" s="1454"/>
      <c r="AR158" s="1454"/>
      <c r="AS158" s="1454"/>
      <c r="AT158" s="1454"/>
      <c r="AU158" s="1454"/>
      <c r="AV158" s="1454"/>
      <c r="AW158" s="95"/>
      <c r="AX158" s="95"/>
      <c r="AY158" s="95"/>
      <c r="AZ158" s="1454"/>
      <c r="BA158" s="1454"/>
      <c r="BB158" s="1454"/>
      <c r="BC158" s="1454"/>
    </row>
    <row r="159" spans="2:55" ht="25.2" customHeight="1">
      <c r="B159" s="871" t="s">
        <v>1781</v>
      </c>
      <c r="C159" s="1241" t="s">
        <v>1776</v>
      </c>
      <c r="D159" s="1214" t="s">
        <v>164</v>
      </c>
      <c r="E159" s="982" t="s">
        <v>190</v>
      </c>
      <c r="F159" s="982" t="s">
        <v>190</v>
      </c>
      <c r="G159" s="1208"/>
      <c r="H159" s="982"/>
      <c r="I159" s="1208"/>
      <c r="J159" s="982"/>
      <c r="K159" s="982"/>
      <c r="L159" s="982"/>
      <c r="M159" s="982"/>
      <c r="N159" s="1208"/>
      <c r="O159" s="333"/>
      <c r="P159" s="332"/>
      <c r="Q159" s="333"/>
      <c r="R159" s="332"/>
      <c r="S159" s="332"/>
      <c r="T159" s="332"/>
      <c r="U159" s="332"/>
      <c r="V159" s="332"/>
      <c r="W159" s="333"/>
      <c r="X159" s="333"/>
      <c r="Y159" s="334"/>
      <c r="AG159" s="91"/>
      <c r="AH159" s="91"/>
      <c r="AI159" s="95"/>
      <c r="AJ159" s="95"/>
      <c r="AK159" s="95"/>
      <c r="AL159" s="95"/>
      <c r="AM159" s="95"/>
      <c r="AN159" s="95"/>
      <c r="AO159" s="1454"/>
      <c r="AP159" s="1454"/>
      <c r="AQ159" s="1454"/>
      <c r="AR159" s="1454"/>
      <c r="AS159" s="1454"/>
      <c r="AT159" s="1454"/>
      <c r="AU159" s="1454"/>
      <c r="AV159" s="1454"/>
      <c r="AW159" s="95"/>
      <c r="AX159" s="95"/>
      <c r="AY159" s="95"/>
      <c r="AZ159" s="1454"/>
      <c r="BA159" s="1454"/>
      <c r="BB159" s="1454"/>
      <c r="BC159" s="1454"/>
    </row>
    <row r="160" spans="2:55" ht="25.2" customHeight="1">
      <c r="B160" s="871" t="s">
        <v>1782</v>
      </c>
      <c r="C160" s="865" t="s">
        <v>172</v>
      </c>
      <c r="D160" s="1214" t="s">
        <v>164</v>
      </c>
      <c r="E160" s="982" t="s">
        <v>190</v>
      </c>
      <c r="F160" s="982" t="s">
        <v>190</v>
      </c>
      <c r="G160" s="1208"/>
      <c r="H160" s="982"/>
      <c r="I160" s="1208"/>
      <c r="J160" s="982"/>
      <c r="K160" s="982"/>
      <c r="L160" s="982"/>
      <c r="M160" s="982"/>
      <c r="N160" s="1208"/>
      <c r="O160" s="333"/>
      <c r="P160" s="332"/>
      <c r="Q160" s="333"/>
      <c r="R160" s="332"/>
      <c r="S160" s="332"/>
      <c r="T160" s="332"/>
      <c r="U160" s="332"/>
      <c r="V160" s="332"/>
      <c r="W160" s="333"/>
      <c r="X160" s="333"/>
      <c r="Y160" s="334"/>
      <c r="AG160" s="91"/>
      <c r="AH160" s="91"/>
      <c r="AI160" s="95"/>
      <c r="AJ160" s="95"/>
      <c r="AK160" s="95"/>
      <c r="AL160" s="95"/>
      <c r="AM160" s="95"/>
      <c r="AN160" s="95"/>
      <c r="AO160" s="1454"/>
      <c r="AP160" s="1454"/>
      <c r="AQ160" s="1454"/>
      <c r="AR160" s="1454"/>
      <c r="AS160" s="1454"/>
      <c r="AT160" s="1454"/>
      <c r="AU160" s="1454"/>
      <c r="AV160" s="1454"/>
      <c r="AW160" s="95"/>
      <c r="AX160" s="95"/>
      <c r="AY160" s="95"/>
      <c r="AZ160" s="1454"/>
      <c r="BA160" s="1454"/>
      <c r="BB160" s="1454"/>
      <c r="BC160" s="1454"/>
    </row>
    <row r="161" spans="2:55" ht="25.2" customHeight="1">
      <c r="B161" s="871" t="s">
        <v>1783</v>
      </c>
      <c r="C161" s="1224" t="s">
        <v>1300</v>
      </c>
      <c r="D161" s="1214" t="s">
        <v>164</v>
      </c>
      <c r="E161" s="982" t="s">
        <v>190</v>
      </c>
      <c r="F161" s="982" t="s">
        <v>190</v>
      </c>
      <c r="G161" s="1208"/>
      <c r="H161" s="982"/>
      <c r="I161" s="1208"/>
      <c r="J161" s="982"/>
      <c r="K161" s="982"/>
      <c r="L161" s="982"/>
      <c r="M161" s="982"/>
      <c r="N161" s="1208"/>
      <c r="O161" s="333"/>
      <c r="P161" s="332"/>
      <c r="Q161" s="333"/>
      <c r="R161" s="332"/>
      <c r="S161" s="332"/>
      <c r="T161" s="332"/>
      <c r="U161" s="332"/>
      <c r="V161" s="332"/>
      <c r="W161" s="333"/>
      <c r="X161" s="333"/>
      <c r="Y161" s="334"/>
      <c r="AG161" s="91"/>
      <c r="AH161" s="91"/>
      <c r="AI161" s="95"/>
      <c r="AJ161" s="95"/>
      <c r="AK161" s="95"/>
      <c r="AL161" s="95"/>
      <c r="AM161" s="95"/>
      <c r="AN161" s="95"/>
      <c r="AO161" s="95"/>
      <c r="AP161" s="95"/>
      <c r="AQ161" s="95"/>
      <c r="AR161" s="95"/>
      <c r="AS161" s="95"/>
      <c r="AT161" s="95"/>
      <c r="AU161" s="95"/>
      <c r="AV161" s="95"/>
      <c r="AW161" s="95"/>
      <c r="AX161" s="95"/>
      <c r="AY161" s="95"/>
      <c r="AZ161" s="95"/>
      <c r="BA161" s="95"/>
      <c r="BB161" s="95"/>
      <c r="BC161" s="95"/>
    </row>
    <row r="162" spans="2:55" ht="25.2" customHeight="1">
      <c r="B162" s="871" t="s">
        <v>1784</v>
      </c>
      <c r="C162" s="1224" t="s">
        <v>1777</v>
      </c>
      <c r="D162" s="1214" t="s">
        <v>164</v>
      </c>
      <c r="E162" s="982" t="s">
        <v>190</v>
      </c>
      <c r="F162" s="982" t="s">
        <v>190</v>
      </c>
      <c r="G162" s="1208"/>
      <c r="H162" s="982" t="s">
        <v>190</v>
      </c>
      <c r="I162" s="1208"/>
      <c r="J162" s="982"/>
      <c r="K162" s="982"/>
      <c r="L162" s="982"/>
      <c r="M162" s="982"/>
      <c r="N162" s="1208"/>
      <c r="O162" s="333"/>
      <c r="P162" s="332"/>
      <c r="Q162" s="333"/>
      <c r="R162" s="332"/>
      <c r="S162" s="332"/>
      <c r="T162" s="332"/>
      <c r="U162" s="332"/>
      <c r="V162" s="332"/>
      <c r="W162" s="333"/>
      <c r="X162" s="333"/>
      <c r="Y162" s="341"/>
      <c r="AI162" s="91"/>
      <c r="AJ162" s="91"/>
      <c r="AK162" s="91"/>
      <c r="AL162" s="91"/>
      <c r="AM162" s="91"/>
      <c r="AN162" s="91"/>
      <c r="AO162" s="91"/>
      <c r="AP162" s="91"/>
      <c r="AQ162" s="91"/>
      <c r="AR162" s="91"/>
      <c r="AS162" s="91"/>
      <c r="AT162" s="91"/>
      <c r="AU162" s="91"/>
      <c r="AV162" s="91"/>
      <c r="AW162" s="91"/>
      <c r="AX162" s="91"/>
      <c r="AY162" s="91"/>
      <c r="AZ162" s="91"/>
      <c r="BA162" s="91"/>
      <c r="BB162" s="91"/>
      <c r="BC162" s="91"/>
    </row>
    <row r="163" spans="2:55" ht="25.2" customHeight="1">
      <c r="B163" s="871" t="s">
        <v>1785</v>
      </c>
      <c r="C163" s="1224" t="s">
        <v>1778</v>
      </c>
      <c r="D163" s="1214" t="s">
        <v>164</v>
      </c>
      <c r="E163" s="982" t="s">
        <v>190</v>
      </c>
      <c r="F163" s="982" t="s">
        <v>190</v>
      </c>
      <c r="G163" s="1208"/>
      <c r="H163" s="982"/>
      <c r="I163" s="1208"/>
      <c r="J163" s="982"/>
      <c r="K163" s="982"/>
      <c r="L163" s="982"/>
      <c r="M163" s="982" t="s">
        <v>190</v>
      </c>
      <c r="N163" s="1208"/>
      <c r="O163" s="333"/>
      <c r="P163" s="332"/>
      <c r="Q163" s="333"/>
      <c r="R163" s="332"/>
      <c r="S163" s="332"/>
      <c r="T163" s="332"/>
      <c r="U163" s="332"/>
      <c r="V163" s="332"/>
      <c r="W163" s="333"/>
      <c r="X163" s="333"/>
      <c r="Y163" s="341"/>
      <c r="AI163" s="91"/>
      <c r="AJ163" s="91"/>
      <c r="AK163" s="91"/>
      <c r="AL163" s="91"/>
      <c r="AM163" s="91"/>
      <c r="AN163" s="91"/>
      <c r="AO163" s="91"/>
      <c r="AP163" s="91"/>
      <c r="AQ163" s="91"/>
      <c r="AR163" s="91"/>
      <c r="AS163" s="91"/>
      <c r="AT163" s="91"/>
      <c r="AU163" s="91"/>
      <c r="AV163" s="91"/>
      <c r="AW163" s="91"/>
      <c r="AX163" s="91"/>
      <c r="AY163" s="91"/>
      <c r="AZ163" s="91"/>
      <c r="BA163" s="91"/>
      <c r="BB163" s="91"/>
      <c r="BC163" s="91"/>
    </row>
    <row r="164" spans="2:55" ht="25.2" customHeight="1">
      <c r="B164" s="871" t="s">
        <v>1786</v>
      </c>
      <c r="C164" s="1214" t="s">
        <v>113</v>
      </c>
      <c r="D164" s="865" t="s">
        <v>164</v>
      </c>
      <c r="E164" s="982" t="s">
        <v>190</v>
      </c>
      <c r="F164" s="982" t="s">
        <v>190</v>
      </c>
      <c r="G164" s="1208"/>
      <c r="H164" s="982"/>
      <c r="I164" s="1208"/>
      <c r="J164" s="982" t="s">
        <v>190</v>
      </c>
      <c r="K164" s="982"/>
      <c r="L164" s="1208"/>
      <c r="M164" s="982"/>
      <c r="N164" s="1208"/>
      <c r="O164" s="333"/>
      <c r="P164" s="332"/>
      <c r="Q164" s="333"/>
      <c r="R164" s="332"/>
      <c r="S164" s="332"/>
      <c r="T164" s="332"/>
      <c r="U164" s="332"/>
      <c r="V164" s="332"/>
      <c r="W164" s="398"/>
      <c r="X164" s="333"/>
      <c r="Y164" s="399"/>
      <c r="Z164" s="1454"/>
      <c r="AA164" s="1454"/>
      <c r="AB164" s="1454"/>
      <c r="AC164" s="1454"/>
      <c r="AD164" s="1454"/>
      <c r="AE164" s="1454"/>
      <c r="AF164" s="1454"/>
      <c r="AG164" s="1454"/>
      <c r="AH164" s="95"/>
      <c r="AI164" s="95"/>
      <c r="AJ164" s="95"/>
      <c r="AK164" s="95"/>
      <c r="AL164" s="95"/>
      <c r="AM164" s="95"/>
      <c r="AN164" s="95"/>
      <c r="AO164" s="1454"/>
      <c r="AP164" s="1454"/>
      <c r="AQ164" s="1454"/>
      <c r="AR164" s="1454"/>
      <c r="AS164" s="1454"/>
      <c r="AT164" s="1454"/>
      <c r="AU164" s="1454"/>
      <c r="AV164" s="1454"/>
      <c r="AW164" s="95"/>
      <c r="AX164" s="95"/>
      <c r="AY164" s="95"/>
      <c r="AZ164" s="1454"/>
      <c r="BA164" s="1454"/>
      <c r="BB164" s="1454"/>
      <c r="BC164" s="1454"/>
    </row>
    <row r="165" spans="2:55" ht="25.2" customHeight="1">
      <c r="B165" s="553" t="s">
        <v>2238</v>
      </c>
      <c r="C165" s="554" t="s">
        <v>1006</v>
      </c>
      <c r="D165" s="549" t="s">
        <v>164</v>
      </c>
      <c r="E165" s="550" t="s">
        <v>190</v>
      </c>
      <c r="F165" s="550" t="s">
        <v>190</v>
      </c>
      <c r="G165" s="555"/>
      <c r="H165" s="550"/>
      <c r="I165" s="555"/>
      <c r="J165" s="550"/>
      <c r="K165" s="550"/>
      <c r="L165" s="550"/>
      <c r="M165" s="550"/>
      <c r="N165" s="555"/>
      <c r="O165" s="555"/>
      <c r="P165" s="550"/>
      <c r="Q165" s="555"/>
      <c r="R165" s="550"/>
      <c r="S165" s="550"/>
      <c r="T165" s="550"/>
      <c r="U165" s="550"/>
      <c r="V165" s="550"/>
      <c r="W165" s="555"/>
      <c r="X165" s="555"/>
      <c r="Y165" s="340"/>
      <c r="AG165" s="91"/>
      <c r="AH165" s="91"/>
      <c r="AI165" s="95"/>
      <c r="AJ165" s="95"/>
      <c r="AK165" s="95"/>
      <c r="AL165" s="95"/>
      <c r="AM165" s="95"/>
      <c r="AN165" s="95"/>
      <c r="AO165" s="1454"/>
      <c r="AP165" s="1454"/>
      <c r="AQ165" s="1454"/>
      <c r="AR165" s="1454"/>
      <c r="AS165" s="1454"/>
      <c r="AT165" s="1454"/>
      <c r="AU165" s="1454"/>
      <c r="AV165" s="1454"/>
      <c r="AW165" s="95"/>
      <c r="AX165" s="95"/>
      <c r="AY165" s="95"/>
      <c r="AZ165" s="1454"/>
      <c r="BA165" s="1454"/>
      <c r="BB165" s="1454"/>
      <c r="BC165" s="1454"/>
    </row>
    <row r="166" spans="2:55" ht="15" customHeight="1">
      <c r="Y166" s="100"/>
    </row>
    <row r="167" spans="2:55" ht="15" customHeight="1">
      <c r="Y167" s="100"/>
    </row>
    <row r="168" spans="2:55" s="90" customFormat="1" ht="13.2">
      <c r="B168" s="876" t="s">
        <v>1772</v>
      </c>
      <c r="C168" s="875"/>
      <c r="D168" s="90" t="s">
        <v>322</v>
      </c>
      <c r="N168" s="855"/>
      <c r="O168" s="855"/>
      <c r="Q168" s="855"/>
      <c r="R168" s="855"/>
      <c r="S168" s="855"/>
      <c r="T168" s="855"/>
      <c r="U168" s="855"/>
      <c r="V168" s="855"/>
      <c r="W168" s="855"/>
      <c r="X168" s="855"/>
      <c r="Y168" s="855"/>
      <c r="AG168" s="91"/>
      <c r="AH168" s="91"/>
    </row>
    <row r="169" spans="2:55" ht="25.2" customHeight="1">
      <c r="B169" s="878" t="s">
        <v>1787</v>
      </c>
      <c r="C169" s="1230" t="s">
        <v>1372</v>
      </c>
      <c r="D169" s="1231" t="s">
        <v>164</v>
      </c>
      <c r="E169" s="1211" t="s">
        <v>190</v>
      </c>
      <c r="F169" s="1211" t="s">
        <v>190</v>
      </c>
      <c r="G169" s="1232"/>
      <c r="H169" s="1211"/>
      <c r="I169" s="1232"/>
      <c r="J169" s="1211"/>
      <c r="K169" s="1211"/>
      <c r="L169" s="326"/>
      <c r="M169" s="326"/>
      <c r="N169" s="873"/>
      <c r="O169" s="854"/>
      <c r="P169" s="326"/>
      <c r="Q169" s="854"/>
      <c r="R169" s="853"/>
      <c r="S169" s="853"/>
      <c r="T169" s="853"/>
      <c r="U169" s="853"/>
      <c r="V169" s="853"/>
      <c r="W169" s="854"/>
      <c r="X169" s="854"/>
      <c r="Y169" s="874"/>
      <c r="Z169" s="88"/>
      <c r="AI169" s="91"/>
      <c r="AJ169" s="91"/>
      <c r="AK169" s="91"/>
      <c r="AL169" s="91"/>
      <c r="AM169" s="91"/>
      <c r="AN169" s="91"/>
      <c r="AO169" s="91"/>
      <c r="AP169" s="91"/>
      <c r="AQ169" s="91"/>
      <c r="AR169" s="91"/>
      <c r="AS169" s="91"/>
      <c r="AT169" s="91"/>
      <c r="AU169" s="91"/>
      <c r="AV169" s="91"/>
      <c r="AW169" s="91"/>
      <c r="AX169" s="91"/>
      <c r="AY169" s="91"/>
      <c r="AZ169" s="91"/>
      <c r="BA169" s="91"/>
      <c r="BB169" s="91"/>
      <c r="BC169" s="91"/>
    </row>
    <row r="170" spans="2:55" s="1377" customFormat="1" ht="25.2" customHeight="1">
      <c r="B170" s="879" t="s">
        <v>1788</v>
      </c>
      <c r="C170" s="1388" t="s">
        <v>1373</v>
      </c>
      <c r="D170" s="1381" t="s">
        <v>164</v>
      </c>
      <c r="E170" s="1384" t="s">
        <v>190</v>
      </c>
      <c r="F170" s="1384" t="s">
        <v>190</v>
      </c>
      <c r="G170" s="1385"/>
      <c r="H170" s="1384"/>
      <c r="I170" s="1385"/>
      <c r="J170" s="1384"/>
      <c r="K170" s="1384"/>
      <c r="L170" s="1384"/>
      <c r="M170" s="1384"/>
      <c r="N170" s="1385"/>
      <c r="O170" s="1385"/>
      <c r="P170" s="1384"/>
      <c r="Q170" s="1385"/>
      <c r="R170" s="1384"/>
      <c r="S170" s="1384"/>
      <c r="T170" s="1384"/>
      <c r="U170" s="1384"/>
      <c r="V170" s="1384"/>
      <c r="W170" s="1385"/>
      <c r="X170" s="1385"/>
      <c r="Y170" s="1386"/>
      <c r="AI170" s="1376"/>
      <c r="AJ170" s="1376"/>
      <c r="AK170" s="1376"/>
      <c r="AL170" s="1376"/>
      <c r="AM170" s="1376"/>
      <c r="AN170" s="1376"/>
      <c r="AO170" s="1376"/>
      <c r="AP170" s="1376"/>
      <c r="AQ170" s="1376"/>
      <c r="AR170" s="1376"/>
      <c r="AS170" s="1376"/>
      <c r="AT170" s="1376"/>
      <c r="AU170" s="1376"/>
      <c r="AV170" s="1376"/>
      <c r="AW170" s="1376"/>
      <c r="AX170" s="1376"/>
      <c r="AY170" s="1376"/>
      <c r="AZ170" s="1376"/>
      <c r="BA170" s="1376"/>
      <c r="BB170" s="1376"/>
      <c r="BC170" s="1376"/>
    </row>
    <row r="171" spans="2:55" ht="25.2" customHeight="1">
      <c r="B171" s="879" t="s">
        <v>1789</v>
      </c>
      <c r="C171" s="1239" t="s">
        <v>1775</v>
      </c>
      <c r="D171" s="1240" t="s">
        <v>164</v>
      </c>
      <c r="E171" s="1238" t="s">
        <v>137</v>
      </c>
      <c r="F171" s="1238" t="s">
        <v>137</v>
      </c>
      <c r="G171" s="1237"/>
      <c r="H171" s="1238"/>
      <c r="I171" s="1237"/>
      <c r="J171" s="1238"/>
      <c r="K171" s="1238"/>
      <c r="L171" s="853"/>
      <c r="M171" s="853"/>
      <c r="N171" s="854"/>
      <c r="O171" s="854"/>
      <c r="P171" s="853"/>
      <c r="Q171" s="854"/>
      <c r="R171" s="853"/>
      <c r="S171" s="853"/>
      <c r="T171" s="853"/>
      <c r="U171" s="853"/>
      <c r="V171" s="853"/>
      <c r="W171" s="854"/>
      <c r="X171" s="854"/>
      <c r="Y171" s="856"/>
      <c r="AG171" s="91"/>
      <c r="AH171" s="91"/>
      <c r="AI171" s="95"/>
      <c r="AJ171" s="95"/>
      <c r="AK171" s="95"/>
      <c r="AL171" s="95"/>
      <c r="AM171" s="95"/>
      <c r="AN171" s="95"/>
      <c r="AO171" s="1454"/>
      <c r="AP171" s="1454"/>
      <c r="AQ171" s="1454"/>
      <c r="AR171" s="1454"/>
      <c r="AS171" s="1454"/>
      <c r="AT171" s="1454"/>
      <c r="AU171" s="1454"/>
      <c r="AV171" s="1454"/>
      <c r="AW171" s="95"/>
      <c r="AX171" s="95"/>
      <c r="AY171" s="95"/>
      <c r="AZ171" s="1454"/>
      <c r="BA171" s="1454"/>
      <c r="BB171" s="1454"/>
      <c r="BC171" s="1454"/>
    </row>
    <row r="172" spans="2:55" ht="25.2" customHeight="1">
      <c r="B172" s="879" t="s">
        <v>1790</v>
      </c>
      <c r="C172" s="1241" t="s">
        <v>1349</v>
      </c>
      <c r="D172" s="1214" t="s">
        <v>164</v>
      </c>
      <c r="E172" s="982" t="s">
        <v>137</v>
      </c>
      <c r="F172" s="982" t="s">
        <v>137</v>
      </c>
      <c r="G172" s="1208"/>
      <c r="H172" s="982"/>
      <c r="I172" s="1208"/>
      <c r="J172" s="982"/>
      <c r="K172" s="982"/>
      <c r="L172" s="332"/>
      <c r="M172" s="332"/>
      <c r="N172" s="333"/>
      <c r="O172" s="333"/>
      <c r="P172" s="332"/>
      <c r="Q172" s="877"/>
      <c r="R172" s="332"/>
      <c r="S172" s="332"/>
      <c r="T172" s="332"/>
      <c r="U172" s="332"/>
      <c r="V172" s="332"/>
      <c r="W172" s="333"/>
      <c r="X172" s="333"/>
      <c r="Y172" s="334"/>
      <c r="AG172" s="91"/>
      <c r="AH172" s="91"/>
      <c r="AI172" s="95"/>
      <c r="AJ172" s="95"/>
      <c r="AK172" s="95"/>
      <c r="AL172" s="95"/>
      <c r="AM172" s="95"/>
      <c r="AN172" s="95"/>
      <c r="AO172" s="1454"/>
      <c r="AP172" s="1454"/>
      <c r="AQ172" s="1454"/>
      <c r="AR172" s="1454"/>
      <c r="AS172" s="1454"/>
      <c r="AT172" s="1454"/>
      <c r="AU172" s="1454"/>
      <c r="AV172" s="1454"/>
      <c r="AW172" s="95"/>
      <c r="AX172" s="95"/>
      <c r="AY172" s="95"/>
      <c r="AZ172" s="1454"/>
      <c r="BA172" s="1454"/>
      <c r="BB172" s="1454"/>
      <c r="BC172" s="1454"/>
    </row>
    <row r="173" spans="2:55" ht="25.2" customHeight="1">
      <c r="B173" s="879" t="s">
        <v>1791</v>
      </c>
      <c r="C173" s="1241" t="s">
        <v>1776</v>
      </c>
      <c r="D173" s="1214" t="s">
        <v>164</v>
      </c>
      <c r="E173" s="982" t="s">
        <v>190</v>
      </c>
      <c r="F173" s="982" t="s">
        <v>190</v>
      </c>
      <c r="G173" s="1208"/>
      <c r="H173" s="982"/>
      <c r="I173" s="1208"/>
      <c r="J173" s="982"/>
      <c r="K173" s="982"/>
      <c r="L173" s="332"/>
      <c r="M173" s="332"/>
      <c r="N173" s="333"/>
      <c r="O173" s="333"/>
      <c r="P173" s="332"/>
      <c r="Q173" s="333"/>
      <c r="R173" s="332"/>
      <c r="S173" s="332"/>
      <c r="T173" s="332"/>
      <c r="U173" s="332"/>
      <c r="V173" s="332"/>
      <c r="W173" s="333"/>
      <c r="X173" s="333"/>
      <c r="Y173" s="334"/>
      <c r="AG173" s="91"/>
      <c r="AH173" s="91"/>
      <c r="AI173" s="95"/>
      <c r="AJ173" s="95"/>
      <c r="AK173" s="95"/>
      <c r="AL173" s="95"/>
      <c r="AM173" s="95"/>
      <c r="AN173" s="95"/>
      <c r="AO173" s="1454"/>
      <c r="AP173" s="1454"/>
      <c r="AQ173" s="1454"/>
      <c r="AR173" s="1454"/>
      <c r="AS173" s="1454"/>
      <c r="AT173" s="1454"/>
      <c r="AU173" s="1454"/>
      <c r="AV173" s="1454"/>
      <c r="AW173" s="95"/>
      <c r="AX173" s="95"/>
      <c r="AY173" s="95"/>
      <c r="AZ173" s="1454"/>
      <c r="BA173" s="1454"/>
      <c r="BB173" s="1454"/>
      <c r="BC173" s="1454"/>
    </row>
    <row r="174" spans="2:55" ht="25.2" customHeight="1">
      <c r="B174" s="879" t="s">
        <v>1792</v>
      </c>
      <c r="C174" s="1224" t="s">
        <v>1777</v>
      </c>
      <c r="D174" s="1214" t="s">
        <v>164</v>
      </c>
      <c r="E174" s="982" t="s">
        <v>190</v>
      </c>
      <c r="F174" s="982" t="s">
        <v>190</v>
      </c>
      <c r="G174" s="1208"/>
      <c r="H174" s="982" t="s">
        <v>137</v>
      </c>
      <c r="I174" s="1208"/>
      <c r="J174" s="982"/>
      <c r="K174" s="982"/>
      <c r="L174" s="332"/>
      <c r="M174" s="332"/>
      <c r="N174" s="333"/>
      <c r="O174" s="333"/>
      <c r="P174" s="332"/>
      <c r="Q174" s="333"/>
      <c r="R174" s="332"/>
      <c r="S174" s="332"/>
      <c r="T174" s="332"/>
      <c r="U174" s="332"/>
      <c r="V174" s="332"/>
      <c r="W174" s="333"/>
      <c r="X174" s="333"/>
      <c r="Y174" s="341"/>
      <c r="AI174" s="91"/>
      <c r="AJ174" s="91"/>
      <c r="AK174" s="91"/>
      <c r="AL174" s="91"/>
      <c r="AM174" s="91"/>
      <c r="AN174" s="91"/>
      <c r="AO174" s="91"/>
      <c r="AP174" s="91"/>
      <c r="AQ174" s="91"/>
      <c r="AR174" s="91"/>
      <c r="AS174" s="91"/>
      <c r="AT174" s="91"/>
      <c r="AU174" s="91"/>
      <c r="AV174" s="91"/>
      <c r="AW174" s="91"/>
      <c r="AX174" s="91"/>
      <c r="AY174" s="91"/>
      <c r="AZ174" s="91"/>
      <c r="BA174" s="91"/>
      <c r="BB174" s="91"/>
      <c r="BC174" s="91"/>
    </row>
    <row r="175" spans="2:55" ht="25.2" customHeight="1">
      <c r="B175" s="879" t="s">
        <v>1793</v>
      </c>
      <c r="C175" s="1214" t="s">
        <v>113</v>
      </c>
      <c r="D175" s="865" t="s">
        <v>164</v>
      </c>
      <c r="E175" s="982" t="s">
        <v>190</v>
      </c>
      <c r="F175" s="982" t="s">
        <v>190</v>
      </c>
      <c r="G175" s="1208"/>
      <c r="H175" s="982"/>
      <c r="I175" s="1208"/>
      <c r="J175" s="982" t="s">
        <v>137</v>
      </c>
      <c r="K175" s="982"/>
      <c r="L175" s="333"/>
      <c r="M175" s="332"/>
      <c r="N175" s="333"/>
      <c r="O175" s="333"/>
      <c r="P175" s="332"/>
      <c r="Q175" s="333"/>
      <c r="R175" s="332"/>
      <c r="S175" s="332"/>
      <c r="T175" s="332"/>
      <c r="U175" s="332"/>
      <c r="V175" s="332"/>
      <c r="W175" s="333"/>
      <c r="X175" s="333"/>
      <c r="Y175" s="399"/>
      <c r="Z175" s="1454"/>
      <c r="AA175" s="1454"/>
      <c r="AB175" s="1454"/>
      <c r="AC175" s="1454"/>
      <c r="AD175" s="1454"/>
      <c r="AE175" s="1454"/>
      <c r="AF175" s="1454"/>
      <c r="AG175" s="1454"/>
      <c r="AH175" s="95"/>
      <c r="AI175" s="95"/>
      <c r="AJ175" s="95"/>
      <c r="AK175" s="95"/>
      <c r="AL175" s="95"/>
      <c r="AM175" s="95"/>
      <c r="AN175" s="95"/>
      <c r="AO175" s="1454"/>
      <c r="AP175" s="1454"/>
      <c r="AQ175" s="1454"/>
      <c r="AR175" s="1454"/>
      <c r="AS175" s="1454"/>
      <c r="AT175" s="1454"/>
      <c r="AU175" s="1454"/>
      <c r="AV175" s="1454"/>
      <c r="AW175" s="95"/>
      <c r="AX175" s="95"/>
      <c r="AY175" s="95"/>
      <c r="AZ175" s="1454"/>
      <c r="BA175" s="1454"/>
      <c r="BB175" s="1454"/>
      <c r="BC175" s="1454"/>
    </row>
    <row r="176" spans="2:55" ht="25.2" customHeight="1">
      <c r="B176" s="880" t="s">
        <v>2239</v>
      </c>
      <c r="C176" s="554" t="s">
        <v>1006</v>
      </c>
      <c r="D176" s="549" t="s">
        <v>164</v>
      </c>
      <c r="E176" s="550" t="s">
        <v>190</v>
      </c>
      <c r="F176" s="550" t="s">
        <v>190</v>
      </c>
      <c r="G176" s="555"/>
      <c r="H176" s="550"/>
      <c r="I176" s="555"/>
      <c r="J176" s="550"/>
      <c r="K176" s="550"/>
      <c r="L176" s="550"/>
      <c r="M176" s="550"/>
      <c r="N176" s="555"/>
      <c r="O176" s="555"/>
      <c r="P176" s="550"/>
      <c r="Q176" s="555"/>
      <c r="R176" s="550"/>
      <c r="S176" s="550"/>
      <c r="T176" s="550"/>
      <c r="U176" s="550"/>
      <c r="V176" s="550"/>
      <c r="W176" s="555"/>
      <c r="X176" s="555"/>
      <c r="Y176" s="340"/>
      <c r="AG176" s="91"/>
      <c r="AH176" s="91"/>
      <c r="AI176" s="95"/>
      <c r="AJ176" s="95"/>
      <c r="AK176" s="95"/>
      <c r="AL176" s="95"/>
      <c r="AM176" s="95"/>
      <c r="AN176" s="95"/>
      <c r="AO176" s="1454"/>
      <c r="AP176" s="1454"/>
      <c r="AQ176" s="1454"/>
      <c r="AR176" s="1454"/>
      <c r="AS176" s="1454"/>
      <c r="AT176" s="1454"/>
      <c r="AU176" s="1454"/>
      <c r="AV176" s="1454"/>
      <c r="AW176" s="95"/>
      <c r="AX176" s="95"/>
      <c r="AY176" s="95"/>
      <c r="AZ176" s="1454"/>
      <c r="BA176" s="1454"/>
      <c r="BB176" s="1454"/>
      <c r="BC176" s="1454"/>
    </row>
  </sheetData>
  <mergeCells count="486">
    <mergeCell ref="BB132:BC132"/>
    <mergeCell ref="K4:K18"/>
    <mergeCell ref="L4:L18"/>
    <mergeCell ref="M4:M18"/>
    <mergeCell ref="N4:N18"/>
    <mergeCell ref="O4:O18"/>
    <mergeCell ref="P4:P18"/>
    <mergeCell ref="E4:E18"/>
    <mergeCell ref="F4:F18"/>
    <mergeCell ref="G4:G18"/>
    <mergeCell ref="H4:H18"/>
    <mergeCell ref="I4:I18"/>
    <mergeCell ref="J4:J18"/>
    <mergeCell ref="W4:W18"/>
    <mergeCell ref="X4:X18"/>
    <mergeCell ref="Y4:Y18"/>
    <mergeCell ref="BC4:BC18"/>
    <mergeCell ref="AS21:AT21"/>
    <mergeCell ref="AU21:AV21"/>
    <mergeCell ref="AZ21:BA21"/>
    <mergeCell ref="BB21:BC21"/>
    <mergeCell ref="Q4:Q18"/>
    <mergeCell ref="R4:R18"/>
    <mergeCell ref="S4:S18"/>
    <mergeCell ref="T4:T18"/>
    <mergeCell ref="U4:U18"/>
    <mergeCell ref="V4:V18"/>
    <mergeCell ref="BB36:BC36"/>
    <mergeCell ref="BB37:BC37"/>
    <mergeCell ref="BB38:BC38"/>
    <mergeCell ref="AS40:AT40"/>
    <mergeCell ref="AU40:AV40"/>
    <mergeCell ref="AZ40:BA40"/>
    <mergeCell ref="BB40:BC40"/>
    <mergeCell ref="BB25:BC25"/>
    <mergeCell ref="BB26:BC26"/>
    <mergeCell ref="BB27:BC27"/>
    <mergeCell ref="BB32:BC32"/>
    <mergeCell ref="BB34:BC34"/>
    <mergeCell ref="BB35:BC35"/>
    <mergeCell ref="BB44:BC44"/>
    <mergeCell ref="BB45:BC45"/>
    <mergeCell ref="BB46:BC46"/>
    <mergeCell ref="BB47:BC47"/>
    <mergeCell ref="BB48:BC48"/>
    <mergeCell ref="AS51:AT51"/>
    <mergeCell ref="AU51:AV51"/>
    <mergeCell ref="AZ51:BA51"/>
    <mergeCell ref="BB51:BC51"/>
    <mergeCell ref="AS60:AT60"/>
    <mergeCell ref="AU60:AV60"/>
    <mergeCell ref="AZ60:BA60"/>
    <mergeCell ref="BB60:BC60"/>
    <mergeCell ref="AO64:AP64"/>
    <mergeCell ref="AQ64:AR64"/>
    <mergeCell ref="AS64:AT64"/>
    <mergeCell ref="AU64:AV64"/>
    <mergeCell ref="AZ64:BA64"/>
    <mergeCell ref="BB64:BC64"/>
    <mergeCell ref="AO70:AP70"/>
    <mergeCell ref="AQ70:AR70"/>
    <mergeCell ref="AS70:AT70"/>
    <mergeCell ref="AU70:AV70"/>
    <mergeCell ref="AZ70:BA70"/>
    <mergeCell ref="BB70:BC70"/>
    <mergeCell ref="AO69:AP69"/>
    <mergeCell ref="AQ69:AR69"/>
    <mergeCell ref="AS69:AT69"/>
    <mergeCell ref="AU69:AV69"/>
    <mergeCell ref="AZ69:BA69"/>
    <mergeCell ref="BB69:BC69"/>
    <mergeCell ref="AO72:AP72"/>
    <mergeCell ref="AQ72:AR72"/>
    <mergeCell ref="AS72:AT72"/>
    <mergeCell ref="AU72:AV72"/>
    <mergeCell ref="AZ72:BA72"/>
    <mergeCell ref="BB72:BC72"/>
    <mergeCell ref="AO71:AP71"/>
    <mergeCell ref="AQ71:AR71"/>
    <mergeCell ref="AS71:AT71"/>
    <mergeCell ref="AU71:AV71"/>
    <mergeCell ref="AZ71:BA71"/>
    <mergeCell ref="BB71:BC71"/>
    <mergeCell ref="AO75:AP75"/>
    <mergeCell ref="AQ75:AR75"/>
    <mergeCell ref="AS75:AT75"/>
    <mergeCell ref="AU75:AV75"/>
    <mergeCell ref="AZ75:BA75"/>
    <mergeCell ref="BB75:BC75"/>
    <mergeCell ref="AO74:AP74"/>
    <mergeCell ref="AQ74:AR74"/>
    <mergeCell ref="AS74:AT74"/>
    <mergeCell ref="AU74:AV74"/>
    <mergeCell ref="AZ74:BA74"/>
    <mergeCell ref="BB74:BC74"/>
    <mergeCell ref="AO77:AP77"/>
    <mergeCell ref="AQ77:AR77"/>
    <mergeCell ref="AS77:AT77"/>
    <mergeCell ref="AU77:AV77"/>
    <mergeCell ref="AZ77:BA77"/>
    <mergeCell ref="BB77:BC77"/>
    <mergeCell ref="AO76:AP76"/>
    <mergeCell ref="AQ76:AR76"/>
    <mergeCell ref="AS76:AT76"/>
    <mergeCell ref="AU76:AV76"/>
    <mergeCell ref="AZ76:BA76"/>
    <mergeCell ref="BB76:BC76"/>
    <mergeCell ref="AO79:AP79"/>
    <mergeCell ref="AQ79:AR79"/>
    <mergeCell ref="AS79:AT79"/>
    <mergeCell ref="AU79:AV79"/>
    <mergeCell ref="AZ79:BA79"/>
    <mergeCell ref="BB79:BC79"/>
    <mergeCell ref="AO78:AP78"/>
    <mergeCell ref="AQ78:AR78"/>
    <mergeCell ref="AS78:AT78"/>
    <mergeCell ref="AU78:AV78"/>
    <mergeCell ref="AZ78:BA78"/>
    <mergeCell ref="BB78:BC78"/>
    <mergeCell ref="AO83:AP83"/>
    <mergeCell ref="AQ83:AR83"/>
    <mergeCell ref="AS83:AT83"/>
    <mergeCell ref="AU83:AV83"/>
    <mergeCell ref="AZ83:BA83"/>
    <mergeCell ref="BB83:BC83"/>
    <mergeCell ref="AO81:AP81"/>
    <mergeCell ref="AQ81:AR81"/>
    <mergeCell ref="AS81:AT81"/>
    <mergeCell ref="AU81:AV81"/>
    <mergeCell ref="AZ81:BA81"/>
    <mergeCell ref="BB81:BC81"/>
    <mergeCell ref="AO91:AP91"/>
    <mergeCell ref="AQ91:AR91"/>
    <mergeCell ref="AS91:AT91"/>
    <mergeCell ref="AU91:AV91"/>
    <mergeCell ref="AZ91:BA91"/>
    <mergeCell ref="BB91:BC91"/>
    <mergeCell ref="AO88:AP88"/>
    <mergeCell ref="AQ88:AR88"/>
    <mergeCell ref="AS88:AT88"/>
    <mergeCell ref="AU88:AV88"/>
    <mergeCell ref="AZ88:BA88"/>
    <mergeCell ref="BB88:BC88"/>
    <mergeCell ref="AO93:AP93"/>
    <mergeCell ref="AQ93:AR93"/>
    <mergeCell ref="AS93:AT93"/>
    <mergeCell ref="AU93:AV93"/>
    <mergeCell ref="AZ93:BA93"/>
    <mergeCell ref="BB93:BC93"/>
    <mergeCell ref="AO92:AP92"/>
    <mergeCell ref="AQ92:AR92"/>
    <mergeCell ref="AS92:AT92"/>
    <mergeCell ref="AU92:AV92"/>
    <mergeCell ref="AZ92:BA92"/>
    <mergeCell ref="BB92:BC92"/>
    <mergeCell ref="AO95:AP95"/>
    <mergeCell ref="AQ95:AR95"/>
    <mergeCell ref="AS95:AT95"/>
    <mergeCell ref="AU95:AV95"/>
    <mergeCell ref="AZ95:BA95"/>
    <mergeCell ref="BB95:BC95"/>
    <mergeCell ref="AO94:AP94"/>
    <mergeCell ref="AQ94:AR94"/>
    <mergeCell ref="AS94:AT94"/>
    <mergeCell ref="AU94:AV94"/>
    <mergeCell ref="AZ94:BA94"/>
    <mergeCell ref="BB94:BC94"/>
    <mergeCell ref="AO98:AP98"/>
    <mergeCell ref="AQ98:AR98"/>
    <mergeCell ref="AS98:AT98"/>
    <mergeCell ref="AU98:AV98"/>
    <mergeCell ref="AZ98:BA98"/>
    <mergeCell ref="BB98:BC98"/>
    <mergeCell ref="AO97:AP97"/>
    <mergeCell ref="AQ97:AR97"/>
    <mergeCell ref="AS97:AT97"/>
    <mergeCell ref="AU97:AV97"/>
    <mergeCell ref="AZ97:BA97"/>
    <mergeCell ref="BB97:BC97"/>
    <mergeCell ref="AO103:AP103"/>
    <mergeCell ref="AQ103:AR103"/>
    <mergeCell ref="AS103:AT103"/>
    <mergeCell ref="AU103:AV103"/>
    <mergeCell ref="AZ103:BA103"/>
    <mergeCell ref="BB103:BC103"/>
    <mergeCell ref="AO102:AP102"/>
    <mergeCell ref="AQ102:AR102"/>
    <mergeCell ref="AS102:AT102"/>
    <mergeCell ref="AU102:AV102"/>
    <mergeCell ref="AZ102:BA102"/>
    <mergeCell ref="BB102:BC102"/>
    <mergeCell ref="AO108:AP108"/>
    <mergeCell ref="AQ108:AR108"/>
    <mergeCell ref="AS108:AT108"/>
    <mergeCell ref="AU108:AV108"/>
    <mergeCell ref="AZ108:BA108"/>
    <mergeCell ref="BB108:BC108"/>
    <mergeCell ref="AO104:AP104"/>
    <mergeCell ref="AQ104:AR104"/>
    <mergeCell ref="AS104:AT104"/>
    <mergeCell ref="AU104:AV104"/>
    <mergeCell ref="AZ104:BA104"/>
    <mergeCell ref="BB104:BC104"/>
    <mergeCell ref="BB105:BC105"/>
    <mergeCell ref="AS112:AT112"/>
    <mergeCell ref="AU112:AV112"/>
    <mergeCell ref="AZ112:BA112"/>
    <mergeCell ref="BB112:BC112"/>
    <mergeCell ref="Z113:AA113"/>
    <mergeCell ref="AB113:AC113"/>
    <mergeCell ref="AD113:AE113"/>
    <mergeCell ref="AF113:AG113"/>
    <mergeCell ref="AO113:AP113"/>
    <mergeCell ref="AQ113:AR113"/>
    <mergeCell ref="Z112:AA112"/>
    <mergeCell ref="AB112:AC112"/>
    <mergeCell ref="AD112:AE112"/>
    <mergeCell ref="AF112:AG112"/>
    <mergeCell ref="AO112:AP112"/>
    <mergeCell ref="AQ112:AR112"/>
    <mergeCell ref="AS113:AT113"/>
    <mergeCell ref="AU113:AV113"/>
    <mergeCell ref="AZ113:BA113"/>
    <mergeCell ref="BB113:BC113"/>
    <mergeCell ref="BB114:BC114"/>
    <mergeCell ref="Z115:AA115"/>
    <mergeCell ref="AB115:AC115"/>
    <mergeCell ref="AD115:AE115"/>
    <mergeCell ref="AF115:AG115"/>
    <mergeCell ref="AO115:AP115"/>
    <mergeCell ref="AQ115:AR115"/>
    <mergeCell ref="AS115:AT115"/>
    <mergeCell ref="AU115:AV115"/>
    <mergeCell ref="AZ115:BA115"/>
    <mergeCell ref="BB115:BC115"/>
    <mergeCell ref="Z114:AA114"/>
    <mergeCell ref="AB114:AC114"/>
    <mergeCell ref="AD114:AE114"/>
    <mergeCell ref="AF114:AG114"/>
    <mergeCell ref="AO114:AP114"/>
    <mergeCell ref="AQ114:AR114"/>
    <mergeCell ref="AS114:AT114"/>
    <mergeCell ref="AU114:AV114"/>
    <mergeCell ref="AZ114:BA114"/>
    <mergeCell ref="BB116:BC116"/>
    <mergeCell ref="Z118:AA118"/>
    <mergeCell ref="AB118:AC118"/>
    <mergeCell ref="AD118:AE118"/>
    <mergeCell ref="AF118:AG118"/>
    <mergeCell ref="AO118:AP118"/>
    <mergeCell ref="AQ118:AR118"/>
    <mergeCell ref="AS118:AT118"/>
    <mergeCell ref="AU118:AV118"/>
    <mergeCell ref="AZ118:BA118"/>
    <mergeCell ref="BB118:BC118"/>
    <mergeCell ref="AU122:AV122"/>
    <mergeCell ref="AZ122:BA122"/>
    <mergeCell ref="BB119:BC119"/>
    <mergeCell ref="Z121:AA121"/>
    <mergeCell ref="AB121:AC121"/>
    <mergeCell ref="AD121:AE121"/>
    <mergeCell ref="AF121:AG121"/>
    <mergeCell ref="AO121:AP121"/>
    <mergeCell ref="AQ121:AR121"/>
    <mergeCell ref="AS121:AT121"/>
    <mergeCell ref="AU121:AV121"/>
    <mergeCell ref="AZ121:BA121"/>
    <mergeCell ref="BB121:BC121"/>
    <mergeCell ref="Z119:AA119"/>
    <mergeCell ref="AB119:AC119"/>
    <mergeCell ref="AD119:AE119"/>
    <mergeCell ref="AF119:AG119"/>
    <mergeCell ref="AO119:AP119"/>
    <mergeCell ref="AQ119:AR119"/>
    <mergeCell ref="AS119:AT119"/>
    <mergeCell ref="AU119:AV119"/>
    <mergeCell ref="AZ119:BA119"/>
    <mergeCell ref="AZ125:BA125"/>
    <mergeCell ref="AO130:AP130"/>
    <mergeCell ref="AQ130:AR130"/>
    <mergeCell ref="AS130:AT130"/>
    <mergeCell ref="AU130:AV130"/>
    <mergeCell ref="AZ130:BA130"/>
    <mergeCell ref="BB122:BC122"/>
    <mergeCell ref="Z124:AA124"/>
    <mergeCell ref="AB124:AC124"/>
    <mergeCell ref="AD124:AE124"/>
    <mergeCell ref="AF124:AG124"/>
    <mergeCell ref="AO124:AP124"/>
    <mergeCell ref="AQ124:AR124"/>
    <mergeCell ref="AS124:AT124"/>
    <mergeCell ref="AU124:AV124"/>
    <mergeCell ref="AZ124:BA124"/>
    <mergeCell ref="BB124:BC124"/>
    <mergeCell ref="Z122:AA122"/>
    <mergeCell ref="AB122:AC122"/>
    <mergeCell ref="AD122:AE122"/>
    <mergeCell ref="AF122:AG122"/>
    <mergeCell ref="AO122:AP122"/>
    <mergeCell ref="AQ122:AR122"/>
    <mergeCell ref="AS122:AT122"/>
    <mergeCell ref="BB130:BC130"/>
    <mergeCell ref="BB125:BC125"/>
    <mergeCell ref="AO129:AP129"/>
    <mergeCell ref="AQ129:AR129"/>
    <mergeCell ref="AS129:AT129"/>
    <mergeCell ref="AU129:AV129"/>
    <mergeCell ref="AZ129:BA129"/>
    <mergeCell ref="BB129:BC129"/>
    <mergeCell ref="AO135:AP135"/>
    <mergeCell ref="AQ135:AR135"/>
    <mergeCell ref="AS135:AT135"/>
    <mergeCell ref="AU135:AV135"/>
    <mergeCell ref="AZ135:BA135"/>
    <mergeCell ref="BB135:BC135"/>
    <mergeCell ref="AO131:AP131"/>
    <mergeCell ref="AQ131:AR131"/>
    <mergeCell ref="AS131:AT131"/>
    <mergeCell ref="AU131:AV131"/>
    <mergeCell ref="AZ131:BA131"/>
    <mergeCell ref="BB131:BC131"/>
    <mergeCell ref="AO125:AP125"/>
    <mergeCell ref="AQ125:AR125"/>
    <mergeCell ref="AS125:AT125"/>
    <mergeCell ref="AU125:AV125"/>
    <mergeCell ref="AS136:AT136"/>
    <mergeCell ref="AU136:AV136"/>
    <mergeCell ref="AZ136:BA136"/>
    <mergeCell ref="BB136:BC136"/>
    <mergeCell ref="Z137:AA137"/>
    <mergeCell ref="AB137:AC137"/>
    <mergeCell ref="AD137:AE137"/>
    <mergeCell ref="AF137:AG137"/>
    <mergeCell ref="AO137:AP137"/>
    <mergeCell ref="AQ137:AR137"/>
    <mergeCell ref="Z136:AA136"/>
    <mergeCell ref="AB136:AC136"/>
    <mergeCell ref="AD136:AE136"/>
    <mergeCell ref="AF136:AG136"/>
    <mergeCell ref="AO136:AP136"/>
    <mergeCell ref="AQ136:AR136"/>
    <mergeCell ref="AS137:AT137"/>
    <mergeCell ref="AU137:AV137"/>
    <mergeCell ref="AZ137:BA137"/>
    <mergeCell ref="BB137:BC137"/>
    <mergeCell ref="BB138:BC138"/>
    <mergeCell ref="BB139:BC139"/>
    <mergeCell ref="Z141:AA141"/>
    <mergeCell ref="AB141:AC141"/>
    <mergeCell ref="AD141:AE141"/>
    <mergeCell ref="AF141:AG141"/>
    <mergeCell ref="AO141:AP141"/>
    <mergeCell ref="AQ141:AR141"/>
    <mergeCell ref="AS141:AT141"/>
    <mergeCell ref="AU141:AV141"/>
    <mergeCell ref="AZ141:BA141"/>
    <mergeCell ref="BB141:BC141"/>
    <mergeCell ref="Z138:AA138"/>
    <mergeCell ref="AB138:AC138"/>
    <mergeCell ref="AD138:AE138"/>
    <mergeCell ref="AF138:AG138"/>
    <mergeCell ref="AO138:AP138"/>
    <mergeCell ref="AQ138:AR138"/>
    <mergeCell ref="AS138:AT138"/>
    <mergeCell ref="AU138:AV138"/>
    <mergeCell ref="AZ138:BA138"/>
    <mergeCell ref="BB151:BC151"/>
    <mergeCell ref="BB142:BC142"/>
    <mergeCell ref="Z144:AA144"/>
    <mergeCell ref="AB144:AC144"/>
    <mergeCell ref="AD144:AE144"/>
    <mergeCell ref="AF144:AG144"/>
    <mergeCell ref="AO144:AP144"/>
    <mergeCell ref="AQ144:AR144"/>
    <mergeCell ref="AS144:AT144"/>
    <mergeCell ref="AU144:AV144"/>
    <mergeCell ref="AZ144:BA144"/>
    <mergeCell ref="BB144:BC144"/>
    <mergeCell ref="Z142:AA142"/>
    <mergeCell ref="AB142:AC142"/>
    <mergeCell ref="AD142:AE142"/>
    <mergeCell ref="AF142:AG142"/>
    <mergeCell ref="AO142:AP142"/>
    <mergeCell ref="AQ142:AR142"/>
    <mergeCell ref="AS142:AT142"/>
    <mergeCell ref="AU142:AV142"/>
    <mergeCell ref="AZ142:BA142"/>
    <mergeCell ref="BB145:BC145"/>
    <mergeCell ref="Z150:AA150"/>
    <mergeCell ref="AB150:AC150"/>
    <mergeCell ref="AD150:AE150"/>
    <mergeCell ref="AF150:AG150"/>
    <mergeCell ref="AO150:AP150"/>
    <mergeCell ref="AQ150:AR150"/>
    <mergeCell ref="AS150:AT150"/>
    <mergeCell ref="AU150:AV150"/>
    <mergeCell ref="AZ150:BA150"/>
    <mergeCell ref="BB150:BC150"/>
    <mergeCell ref="Z145:AA145"/>
    <mergeCell ref="AB145:AC145"/>
    <mergeCell ref="AD145:AE145"/>
    <mergeCell ref="AF145:AG145"/>
    <mergeCell ref="AO145:AP145"/>
    <mergeCell ref="AQ145:AR145"/>
    <mergeCell ref="AS145:AT145"/>
    <mergeCell ref="AU145:AV145"/>
    <mergeCell ref="AZ145:BA145"/>
    <mergeCell ref="BB157:BC157"/>
    <mergeCell ref="AU160:AV160"/>
    <mergeCell ref="AZ160:BA160"/>
    <mergeCell ref="BB160:BC160"/>
    <mergeCell ref="AO159:AP159"/>
    <mergeCell ref="AQ159:AR159"/>
    <mergeCell ref="AS159:AT159"/>
    <mergeCell ref="AU159:AV159"/>
    <mergeCell ref="AZ159:BA159"/>
    <mergeCell ref="BB159:BC159"/>
    <mergeCell ref="AU158:AV158"/>
    <mergeCell ref="AZ158:BA158"/>
    <mergeCell ref="BB158:BC158"/>
    <mergeCell ref="AO151:AP151"/>
    <mergeCell ref="AQ151:AR151"/>
    <mergeCell ref="AS151:AT151"/>
    <mergeCell ref="AU151:AV151"/>
    <mergeCell ref="AZ151:BA151"/>
    <mergeCell ref="AO158:AP158"/>
    <mergeCell ref="AQ158:AR158"/>
    <mergeCell ref="AS158:AT158"/>
    <mergeCell ref="Z164:AA164"/>
    <mergeCell ref="AB164:AC164"/>
    <mergeCell ref="AD164:AE164"/>
    <mergeCell ref="AF164:AG164"/>
    <mergeCell ref="AO164:AP164"/>
    <mergeCell ref="AQ164:AR164"/>
    <mergeCell ref="AO160:AP160"/>
    <mergeCell ref="AQ160:AR160"/>
    <mergeCell ref="AS160:AT160"/>
    <mergeCell ref="AO157:AP157"/>
    <mergeCell ref="AQ157:AR157"/>
    <mergeCell ref="AS157:AT157"/>
    <mergeCell ref="AU157:AV157"/>
    <mergeCell ref="AZ157:BA157"/>
    <mergeCell ref="AO171:AP171"/>
    <mergeCell ref="AQ171:AR171"/>
    <mergeCell ref="AS171:AT171"/>
    <mergeCell ref="AU171:AV171"/>
    <mergeCell ref="AZ171:BA171"/>
    <mergeCell ref="BB171:BC171"/>
    <mergeCell ref="AS164:AT164"/>
    <mergeCell ref="AU164:AV164"/>
    <mergeCell ref="AZ164:BA164"/>
    <mergeCell ref="BB164:BC164"/>
    <mergeCell ref="AO165:AP165"/>
    <mergeCell ref="AQ165:AR165"/>
    <mergeCell ref="AS165:AT165"/>
    <mergeCell ref="AU165:AV165"/>
    <mergeCell ref="AZ165:BA165"/>
    <mergeCell ref="BB165:BC165"/>
    <mergeCell ref="AU173:AV173"/>
    <mergeCell ref="AZ173:BA173"/>
    <mergeCell ref="BB173:BC173"/>
    <mergeCell ref="AO172:AP172"/>
    <mergeCell ref="AQ172:AR172"/>
    <mergeCell ref="AS172:AT172"/>
    <mergeCell ref="AU172:AV172"/>
    <mergeCell ref="AZ172:BA172"/>
    <mergeCell ref="BB172:BC172"/>
    <mergeCell ref="Z175:AA175"/>
    <mergeCell ref="AB175:AC175"/>
    <mergeCell ref="AD175:AE175"/>
    <mergeCell ref="AF175:AG175"/>
    <mergeCell ref="AO175:AP175"/>
    <mergeCell ref="AQ175:AR175"/>
    <mergeCell ref="AO173:AP173"/>
    <mergeCell ref="AQ173:AR173"/>
    <mergeCell ref="AS173:AT173"/>
    <mergeCell ref="AS175:AT175"/>
    <mergeCell ref="AU175:AV175"/>
    <mergeCell ref="AZ175:BA175"/>
    <mergeCell ref="BB175:BC175"/>
    <mergeCell ref="AO176:AP176"/>
    <mergeCell ref="AQ176:AR176"/>
    <mergeCell ref="AS176:AT176"/>
    <mergeCell ref="AU176:AV176"/>
    <mergeCell ref="AZ176:BA176"/>
    <mergeCell ref="BB176:BC176"/>
  </mergeCells>
  <phoneticPr fontId="3"/>
  <printOptions horizontalCentered="1"/>
  <pageMargins left="0.19685039370078741" right="0.19685039370078741" top="0.19685039370078741" bottom="0.19685039370078741" header="0.31496062992125984" footer="0.31496062992125984"/>
  <pageSetup paperSize="9" scale="55" fitToHeight="0" orientation="landscape" r:id="rId1"/>
  <rowBreaks count="5" manualBreakCount="5">
    <brk id="61" max="23" man="1"/>
    <brk id="85" max="23" man="1"/>
    <brk id="99" max="23" man="1"/>
    <brk id="126" max="23" man="1"/>
    <brk id="152" max="2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7828E-8D4D-40BD-93AD-901AF8AECBEB}">
  <sheetPr>
    <tabColor rgb="FFFFFF00"/>
  </sheetPr>
  <dimension ref="A1:AV224"/>
  <sheetViews>
    <sheetView view="pageBreakPreview" zoomScaleNormal="100" zoomScaleSheetLayoutView="100" workbookViewId="0">
      <pane xSplit="6" ySplit="9" topLeftCell="G10" activePane="bottomRight" state="frozen"/>
      <selection activeCell="AJ190" sqref="AJ190"/>
      <selection pane="topRight" activeCell="AJ190" sqref="AJ190"/>
      <selection pane="bottomLeft" activeCell="AJ190" sqref="AJ190"/>
      <selection pane="bottomRight" activeCell="AG149" sqref="AG149"/>
    </sheetView>
  </sheetViews>
  <sheetFormatPr defaultColWidth="9" defaultRowHeight="12"/>
  <cols>
    <col min="1" max="1" width="1.77734375" style="994" customWidth="1"/>
    <col min="2" max="2" width="3.44140625" style="989" customWidth="1"/>
    <col min="3" max="3" width="12.88671875" style="989" customWidth="1"/>
    <col min="4" max="4" width="3.44140625" style="989" customWidth="1"/>
    <col min="5" max="5" width="12" style="989" customWidth="1"/>
    <col min="6" max="6" width="3.88671875" style="989" customWidth="1"/>
    <col min="7" max="37" width="3.77734375" style="989" customWidth="1"/>
    <col min="38" max="38" width="8.33203125" style="989" customWidth="1"/>
    <col min="39" max="40" width="5.88671875" style="989" customWidth="1"/>
    <col min="41" max="41" width="2.6640625" style="989" bestFit="1" customWidth="1"/>
    <col min="42" max="42" width="5.21875" style="989" bestFit="1" customWidth="1"/>
    <col min="43" max="43" width="4.88671875" style="989" bestFit="1" customWidth="1"/>
    <col min="44" max="44" width="5.109375" style="989" bestFit="1" customWidth="1"/>
    <col min="45" max="46" width="1.88671875" style="989" customWidth="1"/>
    <col min="47" max="47" width="3.109375" style="989" bestFit="1" customWidth="1"/>
    <col min="48" max="48" width="3.21875" style="989" customWidth="1"/>
    <col min="49" max="16384" width="9" style="994"/>
  </cols>
  <sheetData>
    <row r="1" spans="1:48" ht="15" thickBot="1">
      <c r="A1" s="989"/>
      <c r="C1" s="990" t="s">
        <v>1926</v>
      </c>
      <c r="R1" s="991" t="s">
        <v>1927</v>
      </c>
      <c r="AM1" s="992"/>
      <c r="AN1" s="992"/>
      <c r="AO1" s="992"/>
      <c r="AP1" s="992"/>
      <c r="AQ1" s="2245" t="s">
        <v>1928</v>
      </c>
      <c r="AR1" s="2245"/>
      <c r="AS1" s="993"/>
    </row>
    <row r="2" spans="1:48" ht="14.4">
      <c r="A2" s="989"/>
      <c r="C2" s="994"/>
      <c r="J2" s="2246" t="s">
        <v>1929</v>
      </c>
      <c r="K2" s="2246"/>
      <c r="L2" s="995"/>
      <c r="M2" s="996" t="s">
        <v>1930</v>
      </c>
      <c r="N2" s="997"/>
      <c r="O2" s="2247" t="s">
        <v>1931</v>
      </c>
      <c r="P2" s="2247"/>
      <c r="Q2" s="994"/>
      <c r="T2" s="998"/>
      <c r="U2" s="998"/>
      <c r="AA2" s="999"/>
      <c r="AB2" s="999"/>
      <c r="AC2" s="999"/>
      <c r="AD2" s="999"/>
      <c r="AE2" s="1000"/>
      <c r="AF2" s="1000"/>
      <c r="AG2" s="1000"/>
      <c r="AH2" s="1000"/>
      <c r="AI2" s="1000"/>
      <c r="AJ2" s="1000"/>
      <c r="AK2" s="1000"/>
      <c r="AL2" s="1000"/>
      <c r="AM2" s="1000"/>
      <c r="AN2" s="1000"/>
      <c r="AO2" s="1000"/>
      <c r="AP2" s="1000"/>
      <c r="AQ2" s="1001"/>
      <c r="AR2" s="1001"/>
      <c r="AU2" s="1002" t="s">
        <v>1932</v>
      </c>
      <c r="AV2" s="1003">
        <v>1</v>
      </c>
    </row>
    <row r="3" spans="1:48" ht="12.75" customHeight="1" thickBot="1">
      <c r="A3" s="989"/>
      <c r="C3" s="1004" t="s">
        <v>1933</v>
      </c>
      <c r="D3" s="1005"/>
      <c r="E3" s="994"/>
      <c r="G3" s="994"/>
      <c r="H3" s="1006"/>
      <c r="I3" s="1006"/>
      <c r="J3" s="1006"/>
      <c r="K3" s="1006"/>
      <c r="L3" s="1006"/>
      <c r="M3" s="1006"/>
      <c r="N3" s="1006"/>
      <c r="O3" s="1006"/>
      <c r="P3" s="1006"/>
      <c r="Q3" s="1006"/>
      <c r="R3" s="1006"/>
      <c r="S3" s="1006"/>
      <c r="T3" s="1006"/>
      <c r="U3" s="1006"/>
      <c r="V3" s="1006"/>
      <c r="W3" s="1006"/>
      <c r="X3" s="1006"/>
      <c r="Y3" s="1006"/>
      <c r="Z3" s="1006"/>
      <c r="AA3" s="1006"/>
      <c r="AB3" s="1006"/>
      <c r="AC3" s="1006"/>
      <c r="AD3" s="1006"/>
      <c r="AE3" s="1006"/>
      <c r="AF3" s="1006"/>
      <c r="AG3" s="1006"/>
      <c r="AH3" s="1006"/>
      <c r="AI3" s="1006"/>
      <c r="AJ3" s="1006"/>
      <c r="AK3" s="1006"/>
      <c r="AL3" s="1006"/>
      <c r="AM3" s="1006"/>
      <c r="AN3" s="1000"/>
      <c r="AO3" s="1000"/>
      <c r="AP3" s="1000"/>
      <c r="AQ3" s="1001"/>
      <c r="AR3" s="1001"/>
      <c r="AU3" s="1007" t="s">
        <v>1934</v>
      </c>
      <c r="AV3" s="1008">
        <v>1</v>
      </c>
    </row>
    <row r="4" spans="1:48" ht="12.6" thickBot="1">
      <c r="A4" s="989"/>
      <c r="C4" s="1009">
        <v>45383</v>
      </c>
      <c r="D4" s="1005"/>
      <c r="E4" s="2248" t="str">
        <f>CONCATENATE(AN197,AN198,AN199,AN200,AN201,AN202,AN203,AN204,AN205,AN206,AN207,AN208,AN209,AN210,AN211,AN212,AN213,AN214,AN215,AN216,AN217,AN218,AN219,AN220,AN221)</f>
        <v>夜：夜勤（7.5ｈ）、明：明け（7.25ｈ）、①：日勤Ａ（7.75ｈ）、②：早出（7.75ｈ）、③：遅出（7.75ｈ）、⑤：午前Ａ（4ｈ）、⑥：午後Ａ（4ｈ）、⑦：日勤Ｂ（7ｈ）、⑧：午前Ｂ（4ｈ）、⑨：午後Ｂ（4ｈ）、⑩：午後Ｃ（4ｈ）、⑪：午後Ｄ（4ｈ）、⑱：日勤Ｃ（7.5ｈ）、⑲：午前Ｃ（4ｈ）、⑳：午前Ｄ（4ｈ）、公：公休（ｈ）、有：有休（ｈ）、欠：欠勤（ｈ）、特：特休（ｈ）、-：（ｈ）、-：（ｈ）、-：（ｈ）、-：（ｈ）、-：（ｈ）、-：（ｈ）、</v>
      </c>
      <c r="F4" s="2249"/>
      <c r="G4" s="2249"/>
      <c r="H4" s="2249"/>
      <c r="I4" s="2249"/>
      <c r="J4" s="2249"/>
      <c r="K4" s="2249"/>
      <c r="L4" s="2249"/>
      <c r="M4" s="2249"/>
      <c r="N4" s="2249"/>
      <c r="O4" s="2249"/>
      <c r="P4" s="2249"/>
      <c r="Q4" s="2249"/>
      <c r="R4" s="2249"/>
      <c r="S4" s="2249"/>
      <c r="T4" s="2249"/>
      <c r="U4" s="2249"/>
      <c r="V4" s="2249"/>
      <c r="W4" s="2249"/>
      <c r="X4" s="2249"/>
      <c r="Y4" s="2249"/>
      <c r="Z4" s="2249"/>
      <c r="AA4" s="2249"/>
      <c r="AB4" s="2249"/>
      <c r="AC4" s="2249"/>
      <c r="AD4" s="2249"/>
      <c r="AE4" s="2249"/>
      <c r="AF4" s="2249"/>
      <c r="AG4" s="2249"/>
      <c r="AH4" s="2249"/>
      <c r="AI4" s="2249"/>
      <c r="AJ4" s="2249"/>
      <c r="AK4" s="2250"/>
      <c r="AL4" s="1006"/>
      <c r="AM4" s="1006"/>
      <c r="AN4" s="1000"/>
      <c r="AO4" s="1000"/>
      <c r="AP4" s="1000"/>
      <c r="AQ4" s="1001"/>
      <c r="AR4" s="1001"/>
      <c r="AU4" s="1007" t="s">
        <v>1935</v>
      </c>
      <c r="AV4" s="1008"/>
    </row>
    <row r="5" spans="1:48" s="989" customFormat="1">
      <c r="C5" s="1010">
        <f>DAY(EOMONTH(C4,0))</f>
        <v>30</v>
      </c>
      <c r="D5" s="1005"/>
      <c r="E5" s="2251"/>
      <c r="F5" s="2252"/>
      <c r="G5" s="2252"/>
      <c r="H5" s="2252"/>
      <c r="I5" s="2252"/>
      <c r="J5" s="2252"/>
      <c r="K5" s="2252"/>
      <c r="L5" s="2252"/>
      <c r="M5" s="2252"/>
      <c r="N5" s="2252"/>
      <c r="O5" s="2252"/>
      <c r="P5" s="2252"/>
      <c r="Q5" s="2252"/>
      <c r="R5" s="2252"/>
      <c r="S5" s="2252"/>
      <c r="T5" s="2252"/>
      <c r="U5" s="2252"/>
      <c r="V5" s="2252"/>
      <c r="W5" s="2252"/>
      <c r="X5" s="2252"/>
      <c r="Y5" s="2252"/>
      <c r="Z5" s="2252"/>
      <c r="AA5" s="2252"/>
      <c r="AB5" s="2252"/>
      <c r="AC5" s="2252"/>
      <c r="AD5" s="2252"/>
      <c r="AE5" s="2252"/>
      <c r="AF5" s="2252"/>
      <c r="AG5" s="2252"/>
      <c r="AH5" s="2252"/>
      <c r="AI5" s="2252"/>
      <c r="AJ5" s="2252"/>
      <c r="AK5" s="2253"/>
      <c r="AL5" s="1006"/>
      <c r="AM5" s="1006"/>
      <c r="AN5" s="1000"/>
      <c r="AO5" s="1000"/>
      <c r="AP5" s="1000"/>
      <c r="AQ5" s="1001"/>
      <c r="AR5" s="1001"/>
      <c r="AU5" s="1007" t="s">
        <v>1936</v>
      </c>
      <c r="AV5" s="1008"/>
    </row>
    <row r="6" spans="1:48" ht="12.6" thickBot="1">
      <c r="A6" s="989"/>
      <c r="C6" s="1011" t="s">
        <v>1937</v>
      </c>
      <c r="T6" s="998"/>
      <c r="U6" s="998"/>
      <c r="AA6" s="999"/>
      <c r="AB6" s="999"/>
      <c r="AC6" s="999"/>
      <c r="AD6" s="999"/>
      <c r="AE6" s="1000"/>
      <c r="AF6" s="1000"/>
      <c r="AG6" s="1000"/>
      <c r="AH6" s="1000"/>
      <c r="AI6" s="1000"/>
      <c r="AJ6" s="1000"/>
      <c r="AK6" s="1012" t="s">
        <v>1938</v>
      </c>
      <c r="AL6" s="1013">
        <f>N193</f>
        <v>0</v>
      </c>
      <c r="AM6" s="1014">
        <f>N192</f>
        <v>0</v>
      </c>
      <c r="AN6" s="1015"/>
      <c r="AO6" s="1015"/>
      <c r="AP6" s="1015"/>
      <c r="AQ6" s="1001"/>
      <c r="AR6" s="1001"/>
      <c r="AU6" s="1016"/>
      <c r="AV6" s="1017"/>
    </row>
    <row r="7" spans="1:48" ht="15.9" customHeight="1">
      <c r="A7" s="989"/>
      <c r="C7" s="1018"/>
      <c r="D7" s="2254" t="s">
        <v>1939</v>
      </c>
      <c r="E7" s="1018"/>
      <c r="F7" s="1019"/>
      <c r="G7" s="2257" t="s">
        <v>1940</v>
      </c>
      <c r="H7" s="2258"/>
      <c r="I7" s="2258"/>
      <c r="J7" s="2258"/>
      <c r="K7" s="2258"/>
      <c r="L7" s="2258"/>
      <c r="M7" s="2259"/>
      <c r="N7" s="2257" t="s">
        <v>1941</v>
      </c>
      <c r="O7" s="2258"/>
      <c r="P7" s="2258"/>
      <c r="Q7" s="2258"/>
      <c r="R7" s="2258"/>
      <c r="S7" s="2258"/>
      <c r="T7" s="2259"/>
      <c r="U7" s="2257" t="s">
        <v>1942</v>
      </c>
      <c r="V7" s="2258"/>
      <c r="W7" s="2258"/>
      <c r="X7" s="2258"/>
      <c r="Y7" s="2258"/>
      <c r="Z7" s="2258"/>
      <c r="AA7" s="2259"/>
      <c r="AB7" s="2257" t="s">
        <v>1943</v>
      </c>
      <c r="AC7" s="2258"/>
      <c r="AD7" s="2258"/>
      <c r="AE7" s="2258"/>
      <c r="AF7" s="2258"/>
      <c r="AG7" s="2258"/>
      <c r="AH7" s="2259"/>
      <c r="AI7" s="2258"/>
      <c r="AJ7" s="2258"/>
      <c r="AK7" s="2260"/>
      <c r="AL7" s="2229" t="s">
        <v>1944</v>
      </c>
      <c r="AM7" s="1020" t="s">
        <v>1945</v>
      </c>
      <c r="AN7" s="2232" t="s">
        <v>1946</v>
      </c>
      <c r="AO7" s="2233"/>
      <c r="AP7" s="2233"/>
      <c r="AQ7" s="2233"/>
      <c r="AR7" s="2234"/>
    </row>
    <row r="8" spans="1:48" ht="15.9" customHeight="1">
      <c r="A8" s="989"/>
      <c r="C8" s="1021" t="s">
        <v>1947</v>
      </c>
      <c r="D8" s="2255"/>
      <c r="E8" s="1021" t="s">
        <v>1948</v>
      </c>
      <c r="F8" s="1022" t="s">
        <v>1949</v>
      </c>
      <c r="G8" s="1023">
        <v>1</v>
      </c>
      <c r="H8" s="1024">
        <v>2</v>
      </c>
      <c r="I8" s="1024">
        <v>3</v>
      </c>
      <c r="J8" s="1024">
        <v>4</v>
      </c>
      <c r="K8" s="1024">
        <v>5</v>
      </c>
      <c r="L8" s="1024">
        <v>6</v>
      </c>
      <c r="M8" s="1025">
        <v>7</v>
      </c>
      <c r="N8" s="1023">
        <v>8</v>
      </c>
      <c r="O8" s="1024">
        <v>9</v>
      </c>
      <c r="P8" s="1024">
        <v>10</v>
      </c>
      <c r="Q8" s="1024">
        <v>11</v>
      </c>
      <c r="R8" s="1024">
        <v>12</v>
      </c>
      <c r="S8" s="1024">
        <v>13</v>
      </c>
      <c r="T8" s="1025">
        <v>14</v>
      </c>
      <c r="U8" s="1023">
        <v>15</v>
      </c>
      <c r="V8" s="1024">
        <v>16</v>
      </c>
      <c r="W8" s="1024">
        <v>17</v>
      </c>
      <c r="X8" s="1024">
        <v>18</v>
      </c>
      <c r="Y8" s="1024">
        <v>19</v>
      </c>
      <c r="Z8" s="1024">
        <v>20</v>
      </c>
      <c r="AA8" s="1025">
        <v>21</v>
      </c>
      <c r="AB8" s="1023">
        <v>22</v>
      </c>
      <c r="AC8" s="1024">
        <v>23</v>
      </c>
      <c r="AD8" s="1024">
        <v>24</v>
      </c>
      <c r="AE8" s="1024">
        <v>25</v>
      </c>
      <c r="AF8" s="1024">
        <v>26</v>
      </c>
      <c r="AG8" s="1024">
        <v>27</v>
      </c>
      <c r="AH8" s="1025">
        <v>28</v>
      </c>
      <c r="AI8" s="1026">
        <v>29</v>
      </c>
      <c r="AJ8" s="1024">
        <v>30</v>
      </c>
      <c r="AK8" s="1024">
        <v>31</v>
      </c>
      <c r="AL8" s="2230"/>
      <c r="AM8" s="1021" t="s">
        <v>1950</v>
      </c>
      <c r="AN8" s="2235"/>
      <c r="AO8" s="2236"/>
      <c r="AP8" s="2236"/>
      <c r="AQ8" s="2236"/>
      <c r="AR8" s="2237"/>
    </row>
    <row r="9" spans="1:48" ht="15.9" customHeight="1">
      <c r="A9" s="989"/>
      <c r="C9" s="1027"/>
      <c r="D9" s="2256"/>
      <c r="E9" s="1027"/>
      <c r="F9" s="1028" t="s">
        <v>1951</v>
      </c>
      <c r="G9" s="1029">
        <f>IF(C4="","",WEEKDAY(C4))</f>
        <v>2</v>
      </c>
      <c r="H9" s="1030">
        <f>G9+1</f>
        <v>3</v>
      </c>
      <c r="I9" s="1030">
        <f t="shared" ref="I9:AK9" si="0">H9+1</f>
        <v>4</v>
      </c>
      <c r="J9" s="1030">
        <f t="shared" si="0"/>
        <v>5</v>
      </c>
      <c r="K9" s="1030">
        <f t="shared" si="0"/>
        <v>6</v>
      </c>
      <c r="L9" s="1030">
        <f t="shared" si="0"/>
        <v>7</v>
      </c>
      <c r="M9" s="1031">
        <f t="shared" si="0"/>
        <v>8</v>
      </c>
      <c r="N9" s="1029">
        <f t="shared" si="0"/>
        <v>9</v>
      </c>
      <c r="O9" s="1030">
        <f t="shared" si="0"/>
        <v>10</v>
      </c>
      <c r="P9" s="1030">
        <f t="shared" si="0"/>
        <v>11</v>
      </c>
      <c r="Q9" s="1030">
        <f t="shared" si="0"/>
        <v>12</v>
      </c>
      <c r="R9" s="1030">
        <f t="shared" si="0"/>
        <v>13</v>
      </c>
      <c r="S9" s="1030">
        <f t="shared" si="0"/>
        <v>14</v>
      </c>
      <c r="T9" s="1031">
        <f t="shared" si="0"/>
        <v>15</v>
      </c>
      <c r="U9" s="1029">
        <f t="shared" si="0"/>
        <v>16</v>
      </c>
      <c r="V9" s="1030">
        <f t="shared" si="0"/>
        <v>17</v>
      </c>
      <c r="W9" s="1030">
        <f t="shared" si="0"/>
        <v>18</v>
      </c>
      <c r="X9" s="1030">
        <f t="shared" si="0"/>
        <v>19</v>
      </c>
      <c r="Y9" s="1030">
        <f t="shared" si="0"/>
        <v>20</v>
      </c>
      <c r="Z9" s="1030">
        <f t="shared" si="0"/>
        <v>21</v>
      </c>
      <c r="AA9" s="1031">
        <f t="shared" si="0"/>
        <v>22</v>
      </c>
      <c r="AB9" s="1029">
        <f t="shared" si="0"/>
        <v>23</v>
      </c>
      <c r="AC9" s="1030">
        <f t="shared" si="0"/>
        <v>24</v>
      </c>
      <c r="AD9" s="1030">
        <f t="shared" si="0"/>
        <v>25</v>
      </c>
      <c r="AE9" s="1030">
        <f t="shared" si="0"/>
        <v>26</v>
      </c>
      <c r="AF9" s="1030">
        <f t="shared" si="0"/>
        <v>27</v>
      </c>
      <c r="AG9" s="1030">
        <f t="shared" si="0"/>
        <v>28</v>
      </c>
      <c r="AH9" s="1031">
        <f t="shared" si="0"/>
        <v>29</v>
      </c>
      <c r="AI9" s="1030">
        <f t="shared" si="0"/>
        <v>30</v>
      </c>
      <c r="AJ9" s="1030">
        <f t="shared" si="0"/>
        <v>31</v>
      </c>
      <c r="AK9" s="1030">
        <f t="shared" si="0"/>
        <v>32</v>
      </c>
      <c r="AL9" s="2231"/>
      <c r="AM9" s="1021" t="s">
        <v>1952</v>
      </c>
      <c r="AN9" s="1028" t="s">
        <v>1953</v>
      </c>
      <c r="AO9" s="1032" t="s">
        <v>1954</v>
      </c>
      <c r="AP9" s="1033" t="s">
        <v>1955</v>
      </c>
      <c r="AQ9" s="1033" t="s">
        <v>1956</v>
      </c>
      <c r="AR9" s="1033" t="s">
        <v>1957</v>
      </c>
    </row>
    <row r="10" spans="1:48" ht="15.9" customHeight="1">
      <c r="A10" s="989"/>
      <c r="B10" s="2238" t="s">
        <v>1958</v>
      </c>
      <c r="C10" s="2239"/>
      <c r="D10" s="2241"/>
      <c r="E10" s="2243"/>
      <c r="F10" s="1034" t="s">
        <v>1959</v>
      </c>
      <c r="G10" s="1035"/>
      <c r="H10" s="1036"/>
      <c r="I10" s="1037"/>
      <c r="J10" s="1037"/>
      <c r="K10" s="1037"/>
      <c r="L10" s="1037"/>
      <c r="M10" s="1038"/>
      <c r="N10" s="1035"/>
      <c r="O10" s="1036"/>
      <c r="P10" s="1037"/>
      <c r="Q10" s="1037"/>
      <c r="R10" s="1037"/>
      <c r="S10" s="1037"/>
      <c r="T10" s="1038"/>
      <c r="U10" s="1035"/>
      <c r="V10" s="1036"/>
      <c r="W10" s="1037"/>
      <c r="X10" s="1037"/>
      <c r="Y10" s="1037"/>
      <c r="Z10" s="1037"/>
      <c r="AA10" s="1038"/>
      <c r="AB10" s="1035"/>
      <c r="AC10" s="1036"/>
      <c r="AD10" s="1037"/>
      <c r="AE10" s="1037"/>
      <c r="AF10" s="1037"/>
      <c r="AG10" s="1037"/>
      <c r="AH10" s="1038"/>
      <c r="AI10" s="1039"/>
      <c r="AJ10" s="1037"/>
      <c r="AK10" s="1037"/>
      <c r="AL10" s="1040">
        <f>SUM(G11:AK11)</f>
        <v>0</v>
      </c>
      <c r="AM10" s="1041"/>
      <c r="AN10" s="1042"/>
      <c r="AO10" s="1043"/>
      <c r="AP10" s="1044"/>
      <c r="AQ10" s="1044"/>
      <c r="AR10" s="1044"/>
    </row>
    <row r="11" spans="1:48" ht="15.9" customHeight="1">
      <c r="A11" s="989"/>
      <c r="B11" s="2238"/>
      <c r="C11" s="2240"/>
      <c r="D11" s="2242"/>
      <c r="E11" s="2244"/>
      <c r="F11" s="1045" t="s">
        <v>1960</v>
      </c>
      <c r="G11" s="1046" t="str">
        <f t="shared" ref="G11:AK11" si="1">IF(G10&lt;&gt;"",VLOOKUP(G10,$AC$197:$AL$221,9,FALSE),"")</f>
        <v/>
      </c>
      <c r="H11" s="1047" t="str">
        <f t="shared" si="1"/>
        <v/>
      </c>
      <c r="I11" s="1047" t="str">
        <f t="shared" si="1"/>
        <v/>
      </c>
      <c r="J11" s="1047" t="str">
        <f t="shared" si="1"/>
        <v/>
      </c>
      <c r="K11" s="1047" t="str">
        <f t="shared" si="1"/>
        <v/>
      </c>
      <c r="L11" s="1047" t="str">
        <f t="shared" si="1"/>
        <v/>
      </c>
      <c r="M11" s="1048" t="str">
        <f t="shared" si="1"/>
        <v/>
      </c>
      <c r="N11" s="1046" t="str">
        <f t="shared" si="1"/>
        <v/>
      </c>
      <c r="O11" s="1047" t="str">
        <f t="shared" si="1"/>
        <v/>
      </c>
      <c r="P11" s="1047" t="str">
        <f t="shared" si="1"/>
        <v/>
      </c>
      <c r="Q11" s="1047" t="str">
        <f t="shared" si="1"/>
        <v/>
      </c>
      <c r="R11" s="1047" t="str">
        <f t="shared" si="1"/>
        <v/>
      </c>
      <c r="S11" s="1047" t="str">
        <f t="shared" si="1"/>
        <v/>
      </c>
      <c r="T11" s="1048" t="str">
        <f t="shared" si="1"/>
        <v/>
      </c>
      <c r="U11" s="1046" t="str">
        <f t="shared" si="1"/>
        <v/>
      </c>
      <c r="V11" s="1047" t="str">
        <f t="shared" si="1"/>
        <v/>
      </c>
      <c r="W11" s="1047" t="str">
        <f t="shared" si="1"/>
        <v/>
      </c>
      <c r="X11" s="1047" t="str">
        <f t="shared" si="1"/>
        <v/>
      </c>
      <c r="Y11" s="1047" t="str">
        <f t="shared" si="1"/>
        <v/>
      </c>
      <c r="Z11" s="1047" t="str">
        <f t="shared" si="1"/>
        <v/>
      </c>
      <c r="AA11" s="1048" t="str">
        <f t="shared" si="1"/>
        <v/>
      </c>
      <c r="AB11" s="1046" t="str">
        <f t="shared" si="1"/>
        <v/>
      </c>
      <c r="AC11" s="1047" t="str">
        <f t="shared" si="1"/>
        <v/>
      </c>
      <c r="AD11" s="1047" t="str">
        <f t="shared" si="1"/>
        <v/>
      </c>
      <c r="AE11" s="1047" t="str">
        <f t="shared" si="1"/>
        <v/>
      </c>
      <c r="AF11" s="1047" t="str">
        <f t="shared" si="1"/>
        <v/>
      </c>
      <c r="AG11" s="1047" t="str">
        <f t="shared" si="1"/>
        <v/>
      </c>
      <c r="AH11" s="1048" t="str">
        <f t="shared" si="1"/>
        <v/>
      </c>
      <c r="AI11" s="1049" t="str">
        <f t="shared" si="1"/>
        <v/>
      </c>
      <c r="AJ11" s="1047" t="str">
        <f t="shared" si="1"/>
        <v/>
      </c>
      <c r="AK11" s="1047" t="str">
        <f t="shared" si="1"/>
        <v/>
      </c>
      <c r="AL11" s="1050">
        <f>SUM(G11:AH11)</f>
        <v>0</v>
      </c>
      <c r="AM11" s="1051">
        <f>AL11/4</f>
        <v>0</v>
      </c>
      <c r="AN11" s="1052" t="str">
        <f>IF(C10="","",C10)</f>
        <v/>
      </c>
      <c r="AO11" s="1053" t="str">
        <f>IF(D10="","",D10)</f>
        <v/>
      </c>
      <c r="AP11" s="1054" t="str">
        <f>IF(D10&lt;&gt;"",VLOOKUP(D10,$AU$2:$AV$6,2,FALSE),"")</f>
        <v/>
      </c>
      <c r="AQ11" s="1051" t="e">
        <f>ROUNDDOWN(AL11/$AL$6,2)</f>
        <v>#DIV/0!</v>
      </c>
      <c r="AR11" s="1051" t="e">
        <f>IF(AP11=1,"",AQ11)</f>
        <v>#DIV/0!</v>
      </c>
    </row>
    <row r="12" spans="1:48" ht="15.9" customHeight="1">
      <c r="A12" s="989"/>
      <c r="B12" s="2238" t="s">
        <v>1961</v>
      </c>
      <c r="C12" s="2239"/>
      <c r="D12" s="2241"/>
      <c r="E12" s="2243"/>
      <c r="F12" s="1034" t="s">
        <v>1959</v>
      </c>
      <c r="G12" s="1035"/>
      <c r="H12" s="1036"/>
      <c r="I12" s="1037"/>
      <c r="J12" s="1037"/>
      <c r="K12" s="1037"/>
      <c r="L12" s="1037"/>
      <c r="M12" s="1038"/>
      <c r="N12" s="1035"/>
      <c r="O12" s="1036"/>
      <c r="P12" s="1037"/>
      <c r="Q12" s="1037"/>
      <c r="R12" s="1037"/>
      <c r="S12" s="1037"/>
      <c r="T12" s="1038"/>
      <c r="U12" s="1035"/>
      <c r="V12" s="1036"/>
      <c r="W12" s="1037"/>
      <c r="X12" s="1037"/>
      <c r="Y12" s="1037"/>
      <c r="Z12" s="1037"/>
      <c r="AA12" s="1038"/>
      <c r="AB12" s="1035"/>
      <c r="AC12" s="1036"/>
      <c r="AD12" s="1037"/>
      <c r="AE12" s="1037"/>
      <c r="AF12" s="1037"/>
      <c r="AG12" s="1037"/>
      <c r="AH12" s="1038"/>
      <c r="AI12" s="1055"/>
      <c r="AJ12" s="1036"/>
      <c r="AK12" s="1036"/>
      <c r="AL12" s="1040">
        <f>SUM(G13:AK13)</f>
        <v>0</v>
      </c>
      <c r="AM12" s="1041"/>
      <c r="AN12" s="1042"/>
      <c r="AO12" s="1043"/>
      <c r="AP12" s="1041"/>
      <c r="AQ12" s="1044"/>
      <c r="AR12" s="1044"/>
    </row>
    <row r="13" spans="1:48" ht="15.9" customHeight="1">
      <c r="A13" s="989"/>
      <c r="B13" s="2238"/>
      <c r="C13" s="2240"/>
      <c r="D13" s="2242"/>
      <c r="E13" s="2244"/>
      <c r="F13" s="1045" t="s">
        <v>1960</v>
      </c>
      <c r="G13" s="1046" t="str">
        <f t="shared" ref="G13:AK13" si="2">IF(G12&lt;&gt;"",VLOOKUP(G12,$AC$197:$AL$221,9,FALSE),"")</f>
        <v/>
      </c>
      <c r="H13" s="1047" t="str">
        <f t="shared" si="2"/>
        <v/>
      </c>
      <c r="I13" s="1047" t="str">
        <f t="shared" si="2"/>
        <v/>
      </c>
      <c r="J13" s="1047" t="str">
        <f t="shared" si="2"/>
        <v/>
      </c>
      <c r="K13" s="1047" t="str">
        <f t="shared" si="2"/>
        <v/>
      </c>
      <c r="L13" s="1047" t="str">
        <f t="shared" si="2"/>
        <v/>
      </c>
      <c r="M13" s="1048" t="str">
        <f t="shared" si="2"/>
        <v/>
      </c>
      <c r="N13" s="1046" t="str">
        <f t="shared" si="2"/>
        <v/>
      </c>
      <c r="O13" s="1047" t="str">
        <f t="shared" si="2"/>
        <v/>
      </c>
      <c r="P13" s="1047" t="str">
        <f t="shared" si="2"/>
        <v/>
      </c>
      <c r="Q13" s="1047" t="str">
        <f t="shared" si="2"/>
        <v/>
      </c>
      <c r="R13" s="1047" t="str">
        <f t="shared" si="2"/>
        <v/>
      </c>
      <c r="S13" s="1047" t="str">
        <f t="shared" si="2"/>
        <v/>
      </c>
      <c r="T13" s="1048" t="str">
        <f t="shared" si="2"/>
        <v/>
      </c>
      <c r="U13" s="1046" t="str">
        <f t="shared" si="2"/>
        <v/>
      </c>
      <c r="V13" s="1047" t="str">
        <f t="shared" si="2"/>
        <v/>
      </c>
      <c r="W13" s="1047" t="str">
        <f t="shared" si="2"/>
        <v/>
      </c>
      <c r="X13" s="1047" t="str">
        <f t="shared" si="2"/>
        <v/>
      </c>
      <c r="Y13" s="1047" t="str">
        <f t="shared" si="2"/>
        <v/>
      </c>
      <c r="Z13" s="1047" t="str">
        <f t="shared" si="2"/>
        <v/>
      </c>
      <c r="AA13" s="1048" t="str">
        <f t="shared" si="2"/>
        <v/>
      </c>
      <c r="AB13" s="1046" t="str">
        <f t="shared" si="2"/>
        <v/>
      </c>
      <c r="AC13" s="1047" t="str">
        <f t="shared" si="2"/>
        <v/>
      </c>
      <c r="AD13" s="1047" t="str">
        <f t="shared" si="2"/>
        <v/>
      </c>
      <c r="AE13" s="1047" t="str">
        <f t="shared" si="2"/>
        <v/>
      </c>
      <c r="AF13" s="1047" t="str">
        <f t="shared" si="2"/>
        <v/>
      </c>
      <c r="AG13" s="1047" t="str">
        <f t="shared" si="2"/>
        <v/>
      </c>
      <c r="AH13" s="1048" t="str">
        <f t="shared" si="2"/>
        <v/>
      </c>
      <c r="AI13" s="1049" t="str">
        <f t="shared" si="2"/>
        <v/>
      </c>
      <c r="AJ13" s="1047" t="str">
        <f t="shared" si="2"/>
        <v/>
      </c>
      <c r="AK13" s="1047" t="str">
        <f t="shared" si="2"/>
        <v/>
      </c>
      <c r="AL13" s="1050">
        <f>SUM(G13:AH13)</f>
        <v>0</v>
      </c>
      <c r="AM13" s="1051">
        <f>AL13/4</f>
        <v>0</v>
      </c>
      <c r="AN13" s="1052" t="str">
        <f>IF(C12="","",C12)</f>
        <v/>
      </c>
      <c r="AO13" s="1053" t="str">
        <f>IF(D12="","",D12)</f>
        <v/>
      </c>
      <c r="AP13" s="1054" t="str">
        <f>IF(D12&lt;&gt;"",VLOOKUP(D12,$AU$2:$AV$6,2,FALSE),"")</f>
        <v/>
      </c>
      <c r="AQ13" s="1051" t="e">
        <f>ROUNDDOWN(AL13/$AL$6,2)</f>
        <v>#DIV/0!</v>
      </c>
      <c r="AR13" s="1051" t="e">
        <f>IF(AP13=1,"",AQ13)</f>
        <v>#DIV/0!</v>
      </c>
    </row>
    <row r="14" spans="1:48" ht="15.9" customHeight="1">
      <c r="A14" s="989"/>
      <c r="B14" s="2238" t="s">
        <v>1962</v>
      </c>
      <c r="C14" s="2239"/>
      <c r="D14" s="2241"/>
      <c r="E14" s="2243"/>
      <c r="F14" s="1034" t="s">
        <v>1959</v>
      </c>
      <c r="G14" s="1035"/>
      <c r="H14" s="1036"/>
      <c r="I14" s="1037"/>
      <c r="J14" s="1037"/>
      <c r="K14" s="1037"/>
      <c r="L14" s="1037"/>
      <c r="M14" s="1038"/>
      <c r="N14" s="1035"/>
      <c r="O14" s="1036"/>
      <c r="P14" s="1037"/>
      <c r="Q14" s="1037"/>
      <c r="R14" s="1037"/>
      <c r="S14" s="1037"/>
      <c r="T14" s="1038"/>
      <c r="U14" s="1035"/>
      <c r="V14" s="1036"/>
      <c r="W14" s="1037"/>
      <c r="X14" s="1037"/>
      <c r="Y14" s="1037"/>
      <c r="Z14" s="1037"/>
      <c r="AA14" s="1038"/>
      <c r="AB14" s="1035"/>
      <c r="AC14" s="1036"/>
      <c r="AD14" s="1037"/>
      <c r="AE14" s="1037"/>
      <c r="AF14" s="1037"/>
      <c r="AG14" s="1037"/>
      <c r="AH14" s="1038"/>
      <c r="AI14" s="1055"/>
      <c r="AJ14" s="1036"/>
      <c r="AK14" s="1036"/>
      <c r="AL14" s="1040">
        <f>SUM(G15:AK15)</f>
        <v>0</v>
      </c>
      <c r="AM14" s="1041"/>
      <c r="AN14" s="1042"/>
      <c r="AO14" s="1043"/>
      <c r="AP14" s="1041"/>
      <c r="AQ14" s="1044"/>
      <c r="AR14" s="1044"/>
    </row>
    <row r="15" spans="1:48" ht="15.9" customHeight="1">
      <c r="A15" s="989"/>
      <c r="B15" s="2238"/>
      <c r="C15" s="2240"/>
      <c r="D15" s="2242"/>
      <c r="E15" s="2244"/>
      <c r="F15" s="1045" t="s">
        <v>1960</v>
      </c>
      <c r="G15" s="1046" t="str">
        <f t="shared" ref="G15:AK15" si="3">IF(G14&lt;&gt;"",VLOOKUP(G14,$AC$197:$AL$221,9,FALSE),"")</f>
        <v/>
      </c>
      <c r="H15" s="1047" t="str">
        <f t="shared" si="3"/>
        <v/>
      </c>
      <c r="I15" s="1047" t="str">
        <f t="shared" si="3"/>
        <v/>
      </c>
      <c r="J15" s="1047" t="str">
        <f t="shared" si="3"/>
        <v/>
      </c>
      <c r="K15" s="1047" t="str">
        <f t="shared" si="3"/>
        <v/>
      </c>
      <c r="L15" s="1047" t="str">
        <f t="shared" si="3"/>
        <v/>
      </c>
      <c r="M15" s="1048" t="str">
        <f t="shared" si="3"/>
        <v/>
      </c>
      <c r="N15" s="1046" t="str">
        <f t="shared" si="3"/>
        <v/>
      </c>
      <c r="O15" s="1047" t="str">
        <f t="shared" si="3"/>
        <v/>
      </c>
      <c r="P15" s="1047" t="str">
        <f t="shared" si="3"/>
        <v/>
      </c>
      <c r="Q15" s="1047" t="str">
        <f t="shared" si="3"/>
        <v/>
      </c>
      <c r="R15" s="1047" t="str">
        <f t="shared" si="3"/>
        <v/>
      </c>
      <c r="S15" s="1047" t="str">
        <f t="shared" si="3"/>
        <v/>
      </c>
      <c r="T15" s="1048" t="str">
        <f t="shared" si="3"/>
        <v/>
      </c>
      <c r="U15" s="1046" t="str">
        <f t="shared" si="3"/>
        <v/>
      </c>
      <c r="V15" s="1047" t="str">
        <f t="shared" si="3"/>
        <v/>
      </c>
      <c r="W15" s="1047" t="str">
        <f t="shared" si="3"/>
        <v/>
      </c>
      <c r="X15" s="1047" t="str">
        <f t="shared" si="3"/>
        <v/>
      </c>
      <c r="Y15" s="1047" t="str">
        <f t="shared" si="3"/>
        <v/>
      </c>
      <c r="Z15" s="1047" t="str">
        <f t="shared" si="3"/>
        <v/>
      </c>
      <c r="AA15" s="1048" t="str">
        <f t="shared" si="3"/>
        <v/>
      </c>
      <c r="AB15" s="1046" t="str">
        <f t="shared" si="3"/>
        <v/>
      </c>
      <c r="AC15" s="1047" t="str">
        <f t="shared" si="3"/>
        <v/>
      </c>
      <c r="AD15" s="1047" t="str">
        <f t="shared" si="3"/>
        <v/>
      </c>
      <c r="AE15" s="1047" t="str">
        <f t="shared" si="3"/>
        <v/>
      </c>
      <c r="AF15" s="1047" t="str">
        <f t="shared" si="3"/>
        <v/>
      </c>
      <c r="AG15" s="1047" t="str">
        <f t="shared" si="3"/>
        <v/>
      </c>
      <c r="AH15" s="1048" t="str">
        <f t="shared" si="3"/>
        <v/>
      </c>
      <c r="AI15" s="1049" t="str">
        <f t="shared" si="3"/>
        <v/>
      </c>
      <c r="AJ15" s="1047" t="str">
        <f t="shared" si="3"/>
        <v/>
      </c>
      <c r="AK15" s="1047" t="str">
        <f t="shared" si="3"/>
        <v/>
      </c>
      <c r="AL15" s="1050">
        <f>SUM(G15:AH15)</f>
        <v>0</v>
      </c>
      <c r="AM15" s="1051">
        <f>AL15/4</f>
        <v>0</v>
      </c>
      <c r="AN15" s="1052" t="str">
        <f>IF(C14="","",C14)</f>
        <v/>
      </c>
      <c r="AO15" s="1053" t="str">
        <f>IF(D14="","",D14)</f>
        <v/>
      </c>
      <c r="AP15" s="1054" t="str">
        <f>IF(D14&lt;&gt;"",VLOOKUP(D14,$AU$2:$AV$6,2,FALSE),"")</f>
        <v/>
      </c>
      <c r="AQ15" s="1051" t="e">
        <f>ROUNDDOWN(AL15/$AL$6,2)</f>
        <v>#DIV/0!</v>
      </c>
      <c r="AR15" s="1051" t="e">
        <f>IF(AP15=1,"",AQ15)</f>
        <v>#DIV/0!</v>
      </c>
    </row>
    <row r="16" spans="1:48" ht="15.9" customHeight="1">
      <c r="A16" s="989"/>
      <c r="B16" s="2238" t="s">
        <v>1963</v>
      </c>
      <c r="C16" s="2239"/>
      <c r="D16" s="2241"/>
      <c r="E16" s="2243"/>
      <c r="F16" s="1034" t="s">
        <v>1959</v>
      </c>
      <c r="G16" s="1035"/>
      <c r="H16" s="1036"/>
      <c r="I16" s="1037"/>
      <c r="J16" s="1037"/>
      <c r="K16" s="1037"/>
      <c r="L16" s="1037"/>
      <c r="M16" s="1038"/>
      <c r="N16" s="1035"/>
      <c r="O16" s="1036"/>
      <c r="P16" s="1037"/>
      <c r="Q16" s="1037"/>
      <c r="R16" s="1037"/>
      <c r="S16" s="1037"/>
      <c r="T16" s="1038"/>
      <c r="U16" s="1035"/>
      <c r="V16" s="1036"/>
      <c r="W16" s="1037"/>
      <c r="X16" s="1037"/>
      <c r="Y16" s="1037"/>
      <c r="Z16" s="1037"/>
      <c r="AA16" s="1038"/>
      <c r="AB16" s="1035"/>
      <c r="AC16" s="1036"/>
      <c r="AD16" s="1037"/>
      <c r="AE16" s="1037"/>
      <c r="AF16" s="1037"/>
      <c r="AG16" s="1037"/>
      <c r="AH16" s="1038"/>
      <c r="AI16" s="1055"/>
      <c r="AJ16" s="1036"/>
      <c r="AK16" s="1036"/>
      <c r="AL16" s="1040">
        <f>SUM(G17:AK17)</f>
        <v>0</v>
      </c>
      <c r="AM16" s="1041"/>
      <c r="AN16" s="1042"/>
      <c r="AO16" s="1043"/>
      <c r="AP16" s="1041"/>
      <c r="AQ16" s="1044"/>
      <c r="AR16" s="1044"/>
    </row>
    <row r="17" spans="1:44" ht="15.9" customHeight="1">
      <c r="A17" s="989"/>
      <c r="B17" s="2238"/>
      <c r="C17" s="2240"/>
      <c r="D17" s="2242"/>
      <c r="E17" s="2244"/>
      <c r="F17" s="1045" t="s">
        <v>1960</v>
      </c>
      <c r="G17" s="1046" t="str">
        <f t="shared" ref="G17:AK17" si="4">IF(G16&lt;&gt;"",VLOOKUP(G16,$AC$197:$AL$221,9,FALSE),"")</f>
        <v/>
      </c>
      <c r="H17" s="1047" t="str">
        <f t="shared" si="4"/>
        <v/>
      </c>
      <c r="I17" s="1047" t="str">
        <f t="shared" si="4"/>
        <v/>
      </c>
      <c r="J17" s="1047" t="str">
        <f t="shared" si="4"/>
        <v/>
      </c>
      <c r="K17" s="1047" t="str">
        <f t="shared" si="4"/>
        <v/>
      </c>
      <c r="L17" s="1047" t="str">
        <f t="shared" si="4"/>
        <v/>
      </c>
      <c r="M17" s="1048" t="str">
        <f t="shared" si="4"/>
        <v/>
      </c>
      <c r="N17" s="1046" t="str">
        <f t="shared" si="4"/>
        <v/>
      </c>
      <c r="O17" s="1047" t="str">
        <f t="shared" si="4"/>
        <v/>
      </c>
      <c r="P17" s="1047" t="str">
        <f t="shared" si="4"/>
        <v/>
      </c>
      <c r="Q17" s="1047" t="str">
        <f t="shared" si="4"/>
        <v/>
      </c>
      <c r="R17" s="1047" t="str">
        <f t="shared" si="4"/>
        <v/>
      </c>
      <c r="S17" s="1047" t="str">
        <f t="shared" si="4"/>
        <v/>
      </c>
      <c r="T17" s="1048" t="str">
        <f t="shared" si="4"/>
        <v/>
      </c>
      <c r="U17" s="1046" t="str">
        <f t="shared" si="4"/>
        <v/>
      </c>
      <c r="V17" s="1047" t="str">
        <f t="shared" si="4"/>
        <v/>
      </c>
      <c r="W17" s="1047" t="str">
        <f t="shared" si="4"/>
        <v/>
      </c>
      <c r="X17" s="1047" t="str">
        <f t="shared" si="4"/>
        <v/>
      </c>
      <c r="Y17" s="1047" t="str">
        <f t="shared" si="4"/>
        <v/>
      </c>
      <c r="Z17" s="1047" t="str">
        <f t="shared" si="4"/>
        <v/>
      </c>
      <c r="AA17" s="1048" t="str">
        <f t="shared" si="4"/>
        <v/>
      </c>
      <c r="AB17" s="1046" t="str">
        <f t="shared" si="4"/>
        <v/>
      </c>
      <c r="AC17" s="1047" t="str">
        <f t="shared" si="4"/>
        <v/>
      </c>
      <c r="AD17" s="1047" t="str">
        <f t="shared" si="4"/>
        <v/>
      </c>
      <c r="AE17" s="1047" t="str">
        <f t="shared" si="4"/>
        <v/>
      </c>
      <c r="AF17" s="1047" t="str">
        <f t="shared" si="4"/>
        <v/>
      </c>
      <c r="AG17" s="1047" t="str">
        <f t="shared" si="4"/>
        <v/>
      </c>
      <c r="AH17" s="1048" t="str">
        <f t="shared" si="4"/>
        <v/>
      </c>
      <c r="AI17" s="1049" t="str">
        <f t="shared" si="4"/>
        <v/>
      </c>
      <c r="AJ17" s="1047" t="str">
        <f t="shared" si="4"/>
        <v/>
      </c>
      <c r="AK17" s="1047" t="str">
        <f t="shared" si="4"/>
        <v/>
      </c>
      <c r="AL17" s="1050">
        <f>SUM(G17:AH17)</f>
        <v>0</v>
      </c>
      <c r="AM17" s="1051">
        <f>AL17/4</f>
        <v>0</v>
      </c>
      <c r="AN17" s="1052" t="str">
        <f>IF(C16="","",C16)</f>
        <v/>
      </c>
      <c r="AO17" s="1053" t="str">
        <f>IF(D16="","",D16)</f>
        <v/>
      </c>
      <c r="AP17" s="1054" t="str">
        <f>IF(D16&lt;&gt;"",VLOOKUP(D16,$AU$2:$AV$6,2,FALSE),"")</f>
        <v/>
      </c>
      <c r="AQ17" s="1051" t="e">
        <f>ROUNDDOWN(AL17/$AL$6,2)</f>
        <v>#DIV/0!</v>
      </c>
      <c r="AR17" s="1051" t="e">
        <f>IF(AP17=1,"",AQ17)</f>
        <v>#DIV/0!</v>
      </c>
    </row>
    <row r="18" spans="1:44" ht="15.9" customHeight="1">
      <c r="A18" s="989"/>
      <c r="B18" s="2238" t="s">
        <v>1964</v>
      </c>
      <c r="C18" s="2239"/>
      <c r="D18" s="2241"/>
      <c r="E18" s="2243"/>
      <c r="F18" s="1034" t="s">
        <v>1959</v>
      </c>
      <c r="G18" s="1035"/>
      <c r="H18" s="1036"/>
      <c r="I18" s="1037"/>
      <c r="J18" s="1037"/>
      <c r="K18" s="1037"/>
      <c r="L18" s="1037"/>
      <c r="M18" s="1038"/>
      <c r="N18" s="1035"/>
      <c r="O18" s="1036"/>
      <c r="P18" s="1037"/>
      <c r="Q18" s="1037"/>
      <c r="R18" s="1037"/>
      <c r="S18" s="1037"/>
      <c r="T18" s="1038"/>
      <c r="U18" s="1035"/>
      <c r="V18" s="1036"/>
      <c r="W18" s="1037"/>
      <c r="X18" s="1037"/>
      <c r="Y18" s="1037"/>
      <c r="Z18" s="1037"/>
      <c r="AA18" s="1038"/>
      <c r="AB18" s="1035"/>
      <c r="AC18" s="1036"/>
      <c r="AD18" s="1037"/>
      <c r="AE18" s="1037"/>
      <c r="AF18" s="1037"/>
      <c r="AG18" s="1037"/>
      <c r="AH18" s="1038"/>
      <c r="AI18" s="1039"/>
      <c r="AJ18" s="1037"/>
      <c r="AK18" s="1037"/>
      <c r="AL18" s="1040">
        <f>SUM(G19:AK19)</f>
        <v>0</v>
      </c>
      <c r="AM18" s="1041"/>
      <c r="AN18" s="1042"/>
      <c r="AO18" s="1043"/>
      <c r="AP18" s="1041"/>
      <c r="AQ18" s="1044"/>
      <c r="AR18" s="1044"/>
    </row>
    <row r="19" spans="1:44" ht="15.9" customHeight="1">
      <c r="A19" s="989"/>
      <c r="B19" s="2238"/>
      <c r="C19" s="2240"/>
      <c r="D19" s="2242"/>
      <c r="E19" s="2244"/>
      <c r="F19" s="1045" t="s">
        <v>1960</v>
      </c>
      <c r="G19" s="1046" t="str">
        <f t="shared" ref="G19:AK19" si="5">IF(G18&lt;&gt;"",VLOOKUP(G18,$AC$197:$AL$221,9,FALSE),"")</f>
        <v/>
      </c>
      <c r="H19" s="1047" t="str">
        <f t="shared" si="5"/>
        <v/>
      </c>
      <c r="I19" s="1047" t="str">
        <f t="shared" si="5"/>
        <v/>
      </c>
      <c r="J19" s="1047" t="str">
        <f t="shared" si="5"/>
        <v/>
      </c>
      <c r="K19" s="1047" t="str">
        <f t="shared" si="5"/>
        <v/>
      </c>
      <c r="L19" s="1047" t="str">
        <f t="shared" si="5"/>
        <v/>
      </c>
      <c r="M19" s="1048" t="str">
        <f t="shared" si="5"/>
        <v/>
      </c>
      <c r="N19" s="1046" t="str">
        <f t="shared" si="5"/>
        <v/>
      </c>
      <c r="O19" s="1047" t="str">
        <f t="shared" si="5"/>
        <v/>
      </c>
      <c r="P19" s="1047" t="str">
        <f t="shared" si="5"/>
        <v/>
      </c>
      <c r="Q19" s="1047" t="str">
        <f t="shared" si="5"/>
        <v/>
      </c>
      <c r="R19" s="1047" t="str">
        <f t="shared" si="5"/>
        <v/>
      </c>
      <c r="S19" s="1047" t="str">
        <f t="shared" si="5"/>
        <v/>
      </c>
      <c r="T19" s="1048" t="str">
        <f t="shared" si="5"/>
        <v/>
      </c>
      <c r="U19" s="1046" t="str">
        <f t="shared" si="5"/>
        <v/>
      </c>
      <c r="V19" s="1047" t="str">
        <f t="shared" si="5"/>
        <v/>
      </c>
      <c r="W19" s="1047" t="str">
        <f t="shared" si="5"/>
        <v/>
      </c>
      <c r="X19" s="1047" t="str">
        <f t="shared" si="5"/>
        <v/>
      </c>
      <c r="Y19" s="1047" t="str">
        <f t="shared" si="5"/>
        <v/>
      </c>
      <c r="Z19" s="1047" t="str">
        <f t="shared" si="5"/>
        <v/>
      </c>
      <c r="AA19" s="1048" t="str">
        <f t="shared" si="5"/>
        <v/>
      </c>
      <c r="AB19" s="1046" t="str">
        <f t="shared" si="5"/>
        <v/>
      </c>
      <c r="AC19" s="1047" t="str">
        <f t="shared" si="5"/>
        <v/>
      </c>
      <c r="AD19" s="1047" t="str">
        <f t="shared" si="5"/>
        <v/>
      </c>
      <c r="AE19" s="1047" t="str">
        <f t="shared" si="5"/>
        <v/>
      </c>
      <c r="AF19" s="1047" t="str">
        <f t="shared" si="5"/>
        <v/>
      </c>
      <c r="AG19" s="1047" t="str">
        <f t="shared" si="5"/>
        <v/>
      </c>
      <c r="AH19" s="1048" t="str">
        <f t="shared" si="5"/>
        <v/>
      </c>
      <c r="AI19" s="1049" t="str">
        <f t="shared" si="5"/>
        <v/>
      </c>
      <c r="AJ19" s="1047" t="str">
        <f t="shared" si="5"/>
        <v/>
      </c>
      <c r="AK19" s="1047" t="str">
        <f t="shared" si="5"/>
        <v/>
      </c>
      <c r="AL19" s="1050">
        <f>SUM(G19:AH19)</f>
        <v>0</v>
      </c>
      <c r="AM19" s="1051">
        <f>AL19/4</f>
        <v>0</v>
      </c>
      <c r="AN19" s="1052" t="str">
        <f>IF(C18="","",C18)</f>
        <v/>
      </c>
      <c r="AO19" s="1053" t="str">
        <f>IF(D18="","",D18)</f>
        <v/>
      </c>
      <c r="AP19" s="1054" t="str">
        <f>IF(D18&lt;&gt;"",VLOOKUP(D18,$AU$2:$AV$6,2,FALSE),"")</f>
        <v/>
      </c>
      <c r="AQ19" s="1051" t="e">
        <f>ROUNDDOWN(AL19/$AL$6,2)</f>
        <v>#DIV/0!</v>
      </c>
      <c r="AR19" s="1051" t="e">
        <f>IF(AP19=1,"",AQ19)</f>
        <v>#DIV/0!</v>
      </c>
    </row>
    <row r="20" spans="1:44" ht="15.9" customHeight="1">
      <c r="A20" s="989"/>
      <c r="B20" s="2238" t="s">
        <v>1965</v>
      </c>
      <c r="C20" s="2239"/>
      <c r="D20" s="2241"/>
      <c r="E20" s="2243"/>
      <c r="F20" s="1034" t="s">
        <v>1959</v>
      </c>
      <c r="G20" s="1035"/>
      <c r="H20" s="1036"/>
      <c r="I20" s="1037"/>
      <c r="J20" s="1037"/>
      <c r="K20" s="1037"/>
      <c r="L20" s="1037"/>
      <c r="M20" s="1038"/>
      <c r="N20" s="1035"/>
      <c r="O20" s="1036"/>
      <c r="P20" s="1037"/>
      <c r="Q20" s="1037"/>
      <c r="R20" s="1037"/>
      <c r="S20" s="1037"/>
      <c r="T20" s="1038"/>
      <c r="U20" s="1035"/>
      <c r="V20" s="1036"/>
      <c r="W20" s="1037"/>
      <c r="X20" s="1037"/>
      <c r="Y20" s="1037"/>
      <c r="Z20" s="1037"/>
      <c r="AA20" s="1038"/>
      <c r="AB20" s="1035"/>
      <c r="AC20" s="1036"/>
      <c r="AD20" s="1037"/>
      <c r="AE20" s="1037"/>
      <c r="AF20" s="1037"/>
      <c r="AG20" s="1037"/>
      <c r="AH20" s="1038"/>
      <c r="AI20" s="1039"/>
      <c r="AJ20" s="1037"/>
      <c r="AK20" s="1037"/>
      <c r="AL20" s="1040">
        <f>SUM(G21:AK21)</f>
        <v>0</v>
      </c>
      <c r="AM20" s="1041"/>
      <c r="AN20" s="1042"/>
      <c r="AO20" s="1043"/>
      <c r="AP20" s="1041"/>
      <c r="AQ20" s="1044"/>
      <c r="AR20" s="1044"/>
    </row>
    <row r="21" spans="1:44" ht="15.9" customHeight="1">
      <c r="A21" s="989"/>
      <c r="B21" s="2238"/>
      <c r="C21" s="2240"/>
      <c r="D21" s="2242"/>
      <c r="E21" s="2244"/>
      <c r="F21" s="1045" t="s">
        <v>1960</v>
      </c>
      <c r="G21" s="1046" t="str">
        <f t="shared" ref="G21:AK21" si="6">IF(G20&lt;&gt;"",VLOOKUP(G20,$AC$197:$AL$221,9,FALSE),"")</f>
        <v/>
      </c>
      <c r="H21" s="1047" t="str">
        <f t="shared" si="6"/>
        <v/>
      </c>
      <c r="I21" s="1047" t="str">
        <f t="shared" si="6"/>
        <v/>
      </c>
      <c r="J21" s="1047" t="str">
        <f t="shared" si="6"/>
        <v/>
      </c>
      <c r="K21" s="1047" t="str">
        <f t="shared" si="6"/>
        <v/>
      </c>
      <c r="L21" s="1047" t="str">
        <f t="shared" si="6"/>
        <v/>
      </c>
      <c r="M21" s="1048" t="str">
        <f t="shared" si="6"/>
        <v/>
      </c>
      <c r="N21" s="1046" t="str">
        <f t="shared" si="6"/>
        <v/>
      </c>
      <c r="O21" s="1047" t="str">
        <f t="shared" si="6"/>
        <v/>
      </c>
      <c r="P21" s="1047" t="str">
        <f t="shared" si="6"/>
        <v/>
      </c>
      <c r="Q21" s="1047" t="str">
        <f t="shared" si="6"/>
        <v/>
      </c>
      <c r="R21" s="1047" t="str">
        <f t="shared" si="6"/>
        <v/>
      </c>
      <c r="S21" s="1047" t="str">
        <f t="shared" si="6"/>
        <v/>
      </c>
      <c r="T21" s="1048" t="str">
        <f t="shared" si="6"/>
        <v/>
      </c>
      <c r="U21" s="1046" t="str">
        <f t="shared" si="6"/>
        <v/>
      </c>
      <c r="V21" s="1047" t="str">
        <f t="shared" si="6"/>
        <v/>
      </c>
      <c r="W21" s="1047" t="str">
        <f t="shared" si="6"/>
        <v/>
      </c>
      <c r="X21" s="1047" t="str">
        <f t="shared" si="6"/>
        <v/>
      </c>
      <c r="Y21" s="1047" t="str">
        <f t="shared" si="6"/>
        <v/>
      </c>
      <c r="Z21" s="1047" t="str">
        <f t="shared" si="6"/>
        <v/>
      </c>
      <c r="AA21" s="1048" t="str">
        <f t="shared" si="6"/>
        <v/>
      </c>
      <c r="AB21" s="1046" t="str">
        <f t="shared" si="6"/>
        <v/>
      </c>
      <c r="AC21" s="1047" t="str">
        <f t="shared" si="6"/>
        <v/>
      </c>
      <c r="AD21" s="1047" t="str">
        <f t="shared" si="6"/>
        <v/>
      </c>
      <c r="AE21" s="1047" t="str">
        <f t="shared" si="6"/>
        <v/>
      </c>
      <c r="AF21" s="1047" t="str">
        <f t="shared" si="6"/>
        <v/>
      </c>
      <c r="AG21" s="1047" t="str">
        <f t="shared" si="6"/>
        <v/>
      </c>
      <c r="AH21" s="1048" t="str">
        <f t="shared" si="6"/>
        <v/>
      </c>
      <c r="AI21" s="1049" t="str">
        <f t="shared" si="6"/>
        <v/>
      </c>
      <c r="AJ21" s="1047" t="str">
        <f t="shared" si="6"/>
        <v/>
      </c>
      <c r="AK21" s="1047" t="str">
        <f t="shared" si="6"/>
        <v/>
      </c>
      <c r="AL21" s="1050">
        <f>SUM(G21:AH21)</f>
        <v>0</v>
      </c>
      <c r="AM21" s="1051">
        <f>AL21/4</f>
        <v>0</v>
      </c>
      <c r="AN21" s="1052" t="str">
        <f>IF(C20="","",C20)</f>
        <v/>
      </c>
      <c r="AO21" s="1053" t="str">
        <f>IF(D20="","",D20)</f>
        <v/>
      </c>
      <c r="AP21" s="1054" t="str">
        <f>IF(D20&lt;&gt;"",VLOOKUP(D20,$AU$2:$AV$6,2,FALSE),"")</f>
        <v/>
      </c>
      <c r="AQ21" s="1051" t="e">
        <f>ROUNDDOWN(AL21/$AL$6,2)</f>
        <v>#DIV/0!</v>
      </c>
      <c r="AR21" s="1051" t="e">
        <f>IF(AP21=1,"",AQ21)</f>
        <v>#DIV/0!</v>
      </c>
    </row>
    <row r="22" spans="1:44" ht="15.9" customHeight="1">
      <c r="A22" s="989"/>
      <c r="B22" s="2238" t="s">
        <v>1966</v>
      </c>
      <c r="C22" s="2239"/>
      <c r="D22" s="2241"/>
      <c r="E22" s="2243"/>
      <c r="F22" s="1034" t="s">
        <v>1959</v>
      </c>
      <c r="G22" s="1035"/>
      <c r="H22" s="1036"/>
      <c r="I22" s="1037"/>
      <c r="J22" s="1037"/>
      <c r="K22" s="1037"/>
      <c r="L22" s="1037"/>
      <c r="M22" s="1038"/>
      <c r="N22" s="1035"/>
      <c r="O22" s="1036"/>
      <c r="P22" s="1037"/>
      <c r="Q22" s="1037"/>
      <c r="R22" s="1037"/>
      <c r="S22" s="1037"/>
      <c r="T22" s="1038"/>
      <c r="U22" s="1035"/>
      <c r="V22" s="1036"/>
      <c r="W22" s="1037"/>
      <c r="X22" s="1037"/>
      <c r="Y22" s="1037"/>
      <c r="Z22" s="1037"/>
      <c r="AA22" s="1038"/>
      <c r="AB22" s="1035"/>
      <c r="AC22" s="1036"/>
      <c r="AD22" s="1037"/>
      <c r="AE22" s="1037"/>
      <c r="AF22" s="1037"/>
      <c r="AG22" s="1037"/>
      <c r="AH22" s="1038"/>
      <c r="AI22" s="1055"/>
      <c r="AJ22" s="1036"/>
      <c r="AK22" s="1036"/>
      <c r="AL22" s="1040">
        <f>SUM(G23:AK23)</f>
        <v>0</v>
      </c>
      <c r="AM22" s="1041"/>
      <c r="AN22" s="1042"/>
      <c r="AO22" s="1043"/>
      <c r="AP22" s="1041"/>
      <c r="AQ22" s="1044"/>
      <c r="AR22" s="1044"/>
    </row>
    <row r="23" spans="1:44" ht="15.9" customHeight="1">
      <c r="A23" s="989"/>
      <c r="B23" s="2238"/>
      <c r="C23" s="2240"/>
      <c r="D23" s="2242"/>
      <c r="E23" s="2244"/>
      <c r="F23" s="1045" t="s">
        <v>1960</v>
      </c>
      <c r="G23" s="1046" t="str">
        <f t="shared" ref="G23:AK23" si="7">IF(G22&lt;&gt;"",VLOOKUP(G22,$AC$197:$AL$221,9,FALSE),"")</f>
        <v/>
      </c>
      <c r="H23" s="1047" t="str">
        <f t="shared" si="7"/>
        <v/>
      </c>
      <c r="I23" s="1047" t="str">
        <f t="shared" si="7"/>
        <v/>
      </c>
      <c r="J23" s="1047" t="str">
        <f t="shared" si="7"/>
        <v/>
      </c>
      <c r="K23" s="1047" t="str">
        <f t="shared" si="7"/>
        <v/>
      </c>
      <c r="L23" s="1047" t="str">
        <f t="shared" si="7"/>
        <v/>
      </c>
      <c r="M23" s="1048" t="str">
        <f t="shared" si="7"/>
        <v/>
      </c>
      <c r="N23" s="1046" t="str">
        <f t="shared" si="7"/>
        <v/>
      </c>
      <c r="O23" s="1047" t="str">
        <f t="shared" si="7"/>
        <v/>
      </c>
      <c r="P23" s="1047" t="str">
        <f t="shared" si="7"/>
        <v/>
      </c>
      <c r="Q23" s="1047" t="str">
        <f t="shared" si="7"/>
        <v/>
      </c>
      <c r="R23" s="1047" t="str">
        <f t="shared" si="7"/>
        <v/>
      </c>
      <c r="S23" s="1047" t="str">
        <f t="shared" si="7"/>
        <v/>
      </c>
      <c r="T23" s="1048" t="str">
        <f t="shared" si="7"/>
        <v/>
      </c>
      <c r="U23" s="1046" t="str">
        <f t="shared" si="7"/>
        <v/>
      </c>
      <c r="V23" s="1047" t="str">
        <f t="shared" si="7"/>
        <v/>
      </c>
      <c r="W23" s="1047" t="str">
        <f t="shared" si="7"/>
        <v/>
      </c>
      <c r="X23" s="1047" t="str">
        <f t="shared" si="7"/>
        <v/>
      </c>
      <c r="Y23" s="1047" t="str">
        <f t="shared" si="7"/>
        <v/>
      </c>
      <c r="Z23" s="1047" t="str">
        <f t="shared" si="7"/>
        <v/>
      </c>
      <c r="AA23" s="1048" t="str">
        <f t="shared" si="7"/>
        <v/>
      </c>
      <c r="AB23" s="1046" t="str">
        <f t="shared" si="7"/>
        <v/>
      </c>
      <c r="AC23" s="1047" t="str">
        <f t="shared" si="7"/>
        <v/>
      </c>
      <c r="AD23" s="1047" t="str">
        <f t="shared" si="7"/>
        <v/>
      </c>
      <c r="AE23" s="1047" t="str">
        <f t="shared" si="7"/>
        <v/>
      </c>
      <c r="AF23" s="1047" t="str">
        <f t="shared" si="7"/>
        <v/>
      </c>
      <c r="AG23" s="1047" t="str">
        <f t="shared" si="7"/>
        <v/>
      </c>
      <c r="AH23" s="1048" t="str">
        <f t="shared" si="7"/>
        <v/>
      </c>
      <c r="AI23" s="1049" t="str">
        <f t="shared" si="7"/>
        <v/>
      </c>
      <c r="AJ23" s="1047" t="str">
        <f t="shared" si="7"/>
        <v/>
      </c>
      <c r="AK23" s="1047" t="str">
        <f t="shared" si="7"/>
        <v/>
      </c>
      <c r="AL23" s="1050">
        <f>SUM(G23:AH23)</f>
        <v>0</v>
      </c>
      <c r="AM23" s="1051">
        <f>AL23/4</f>
        <v>0</v>
      </c>
      <c r="AN23" s="1052" t="str">
        <f>IF(C22="","",C22)</f>
        <v/>
      </c>
      <c r="AO23" s="1053" t="str">
        <f>IF(D22="","",D22)</f>
        <v/>
      </c>
      <c r="AP23" s="1054" t="str">
        <f>IF(D22&lt;&gt;"",VLOOKUP(D22,$AU$2:$AV$6,2,FALSE),"")</f>
        <v/>
      </c>
      <c r="AQ23" s="1051" t="e">
        <f>ROUNDDOWN(AL23/$AL$6,2)</f>
        <v>#DIV/0!</v>
      </c>
      <c r="AR23" s="1051" t="e">
        <f>IF(AP23=1,"",AQ23)</f>
        <v>#DIV/0!</v>
      </c>
    </row>
    <row r="24" spans="1:44" ht="15.9" customHeight="1">
      <c r="A24" s="989"/>
      <c r="B24" s="2238" t="s">
        <v>1967</v>
      </c>
      <c r="C24" s="2239"/>
      <c r="D24" s="2241"/>
      <c r="E24" s="2243"/>
      <c r="F24" s="1034" t="s">
        <v>1959</v>
      </c>
      <c r="G24" s="1035"/>
      <c r="H24" s="1036"/>
      <c r="I24" s="1037"/>
      <c r="J24" s="1037"/>
      <c r="K24" s="1037"/>
      <c r="L24" s="1037"/>
      <c r="M24" s="1038"/>
      <c r="N24" s="1035"/>
      <c r="O24" s="1036"/>
      <c r="P24" s="1037"/>
      <c r="Q24" s="1037"/>
      <c r="R24" s="1037"/>
      <c r="S24" s="1037"/>
      <c r="T24" s="1038"/>
      <c r="U24" s="1035"/>
      <c r="V24" s="1036"/>
      <c r="W24" s="1037"/>
      <c r="X24" s="1037"/>
      <c r="Y24" s="1037"/>
      <c r="Z24" s="1037"/>
      <c r="AA24" s="1038"/>
      <c r="AB24" s="1035"/>
      <c r="AC24" s="1036"/>
      <c r="AD24" s="1037"/>
      <c r="AE24" s="1037"/>
      <c r="AF24" s="1037"/>
      <c r="AG24" s="1037"/>
      <c r="AH24" s="1038"/>
      <c r="AI24" s="1055"/>
      <c r="AJ24" s="1036"/>
      <c r="AK24" s="1036"/>
      <c r="AL24" s="1040">
        <f>SUM(G25:AK25)</f>
        <v>0</v>
      </c>
      <c r="AM24" s="1041"/>
      <c r="AN24" s="1042"/>
      <c r="AO24" s="1043"/>
      <c r="AP24" s="1041"/>
      <c r="AQ24" s="1044"/>
      <c r="AR24" s="1044"/>
    </row>
    <row r="25" spans="1:44" ht="15.9" customHeight="1">
      <c r="A25" s="989"/>
      <c r="B25" s="2238"/>
      <c r="C25" s="2240"/>
      <c r="D25" s="2242"/>
      <c r="E25" s="2244"/>
      <c r="F25" s="1045" t="s">
        <v>1960</v>
      </c>
      <c r="G25" s="1046" t="str">
        <f t="shared" ref="G25:AK25" si="8">IF(G24&lt;&gt;"",VLOOKUP(G24,$AC$197:$AL$221,9,FALSE),"")</f>
        <v/>
      </c>
      <c r="H25" s="1047" t="str">
        <f t="shared" si="8"/>
        <v/>
      </c>
      <c r="I25" s="1047" t="str">
        <f t="shared" si="8"/>
        <v/>
      </c>
      <c r="J25" s="1047" t="str">
        <f t="shared" si="8"/>
        <v/>
      </c>
      <c r="K25" s="1047" t="str">
        <f t="shared" si="8"/>
        <v/>
      </c>
      <c r="L25" s="1047" t="str">
        <f t="shared" si="8"/>
        <v/>
      </c>
      <c r="M25" s="1048" t="str">
        <f t="shared" si="8"/>
        <v/>
      </c>
      <c r="N25" s="1046" t="str">
        <f t="shared" si="8"/>
        <v/>
      </c>
      <c r="O25" s="1047" t="str">
        <f t="shared" si="8"/>
        <v/>
      </c>
      <c r="P25" s="1047" t="str">
        <f t="shared" si="8"/>
        <v/>
      </c>
      <c r="Q25" s="1047" t="str">
        <f t="shared" si="8"/>
        <v/>
      </c>
      <c r="R25" s="1047" t="str">
        <f t="shared" si="8"/>
        <v/>
      </c>
      <c r="S25" s="1047" t="str">
        <f t="shared" si="8"/>
        <v/>
      </c>
      <c r="T25" s="1048" t="str">
        <f t="shared" si="8"/>
        <v/>
      </c>
      <c r="U25" s="1046" t="str">
        <f t="shared" si="8"/>
        <v/>
      </c>
      <c r="V25" s="1047" t="str">
        <f t="shared" si="8"/>
        <v/>
      </c>
      <c r="W25" s="1047" t="str">
        <f t="shared" si="8"/>
        <v/>
      </c>
      <c r="X25" s="1047" t="str">
        <f t="shared" si="8"/>
        <v/>
      </c>
      <c r="Y25" s="1047" t="str">
        <f t="shared" si="8"/>
        <v/>
      </c>
      <c r="Z25" s="1047" t="str">
        <f t="shared" si="8"/>
        <v/>
      </c>
      <c r="AA25" s="1048" t="str">
        <f t="shared" si="8"/>
        <v/>
      </c>
      <c r="AB25" s="1046" t="str">
        <f t="shared" si="8"/>
        <v/>
      </c>
      <c r="AC25" s="1047" t="str">
        <f t="shared" si="8"/>
        <v/>
      </c>
      <c r="AD25" s="1047" t="str">
        <f t="shared" si="8"/>
        <v/>
      </c>
      <c r="AE25" s="1047" t="str">
        <f t="shared" si="8"/>
        <v/>
      </c>
      <c r="AF25" s="1047" t="str">
        <f t="shared" si="8"/>
        <v/>
      </c>
      <c r="AG25" s="1047" t="str">
        <f t="shared" si="8"/>
        <v/>
      </c>
      <c r="AH25" s="1048" t="str">
        <f t="shared" si="8"/>
        <v/>
      </c>
      <c r="AI25" s="1049" t="str">
        <f t="shared" si="8"/>
        <v/>
      </c>
      <c r="AJ25" s="1047" t="str">
        <f t="shared" si="8"/>
        <v/>
      </c>
      <c r="AK25" s="1047" t="str">
        <f t="shared" si="8"/>
        <v/>
      </c>
      <c r="AL25" s="1050">
        <f>SUM(G25:AH25)</f>
        <v>0</v>
      </c>
      <c r="AM25" s="1051">
        <f>AL25/4</f>
        <v>0</v>
      </c>
      <c r="AN25" s="1052" t="str">
        <f>IF(C24="","",C24)</f>
        <v/>
      </c>
      <c r="AO25" s="1053" t="str">
        <f>IF(D24="","",D24)</f>
        <v/>
      </c>
      <c r="AP25" s="1054" t="str">
        <f>IF(D24&lt;&gt;"",VLOOKUP(D24,$AU$2:$AV$6,2,FALSE),"")</f>
        <v/>
      </c>
      <c r="AQ25" s="1051" t="e">
        <f>ROUNDDOWN(AL25/$AL$6,2)</f>
        <v>#DIV/0!</v>
      </c>
      <c r="AR25" s="1051" t="e">
        <f>IF(AP25=1,"",AQ25)</f>
        <v>#DIV/0!</v>
      </c>
    </row>
    <row r="26" spans="1:44" ht="15.9" customHeight="1">
      <c r="A26" s="989"/>
      <c r="B26" s="2238" t="s">
        <v>1968</v>
      </c>
      <c r="C26" s="2239"/>
      <c r="D26" s="2241"/>
      <c r="E26" s="2243"/>
      <c r="F26" s="1034" t="s">
        <v>1959</v>
      </c>
      <c r="G26" s="1035"/>
      <c r="H26" s="1036"/>
      <c r="I26" s="1037"/>
      <c r="J26" s="1037"/>
      <c r="K26" s="1037"/>
      <c r="L26" s="1037"/>
      <c r="M26" s="1038"/>
      <c r="N26" s="1035"/>
      <c r="O26" s="1036"/>
      <c r="P26" s="1037"/>
      <c r="Q26" s="1037"/>
      <c r="R26" s="1037"/>
      <c r="S26" s="1037"/>
      <c r="T26" s="1038"/>
      <c r="U26" s="1035"/>
      <c r="V26" s="1036"/>
      <c r="W26" s="1037"/>
      <c r="X26" s="1037"/>
      <c r="Y26" s="1037"/>
      <c r="Z26" s="1037"/>
      <c r="AA26" s="1038"/>
      <c r="AB26" s="1035"/>
      <c r="AC26" s="1036"/>
      <c r="AD26" s="1037"/>
      <c r="AE26" s="1037"/>
      <c r="AF26" s="1037"/>
      <c r="AG26" s="1037"/>
      <c r="AH26" s="1038"/>
      <c r="AI26" s="1039"/>
      <c r="AJ26" s="1037"/>
      <c r="AK26" s="1037"/>
      <c r="AL26" s="1040">
        <f>SUM(G27:AK27)</f>
        <v>0</v>
      </c>
      <c r="AM26" s="1041"/>
      <c r="AN26" s="1042"/>
      <c r="AO26" s="1043"/>
      <c r="AP26" s="1041"/>
      <c r="AQ26" s="1044"/>
      <c r="AR26" s="1044"/>
    </row>
    <row r="27" spans="1:44" ht="15.9" customHeight="1">
      <c r="A27" s="989"/>
      <c r="B27" s="2238"/>
      <c r="C27" s="2240"/>
      <c r="D27" s="2242"/>
      <c r="E27" s="2244"/>
      <c r="F27" s="1045" t="s">
        <v>1960</v>
      </c>
      <c r="G27" s="1046" t="str">
        <f t="shared" ref="G27:AK27" si="9">IF(G26&lt;&gt;"",VLOOKUP(G26,$AC$197:$AL$221,9,FALSE),"")</f>
        <v/>
      </c>
      <c r="H27" s="1047" t="str">
        <f t="shared" si="9"/>
        <v/>
      </c>
      <c r="I27" s="1047" t="str">
        <f t="shared" si="9"/>
        <v/>
      </c>
      <c r="J27" s="1047" t="str">
        <f t="shared" si="9"/>
        <v/>
      </c>
      <c r="K27" s="1047" t="str">
        <f t="shared" si="9"/>
        <v/>
      </c>
      <c r="L27" s="1047" t="str">
        <f t="shared" si="9"/>
        <v/>
      </c>
      <c r="M27" s="1048" t="str">
        <f t="shared" si="9"/>
        <v/>
      </c>
      <c r="N27" s="1046" t="str">
        <f t="shared" si="9"/>
        <v/>
      </c>
      <c r="O27" s="1047" t="str">
        <f t="shared" si="9"/>
        <v/>
      </c>
      <c r="P27" s="1047" t="str">
        <f t="shared" si="9"/>
        <v/>
      </c>
      <c r="Q27" s="1047" t="str">
        <f t="shared" si="9"/>
        <v/>
      </c>
      <c r="R27" s="1047" t="str">
        <f t="shared" si="9"/>
        <v/>
      </c>
      <c r="S27" s="1047" t="str">
        <f t="shared" si="9"/>
        <v/>
      </c>
      <c r="T27" s="1048" t="str">
        <f t="shared" si="9"/>
        <v/>
      </c>
      <c r="U27" s="1046" t="str">
        <f t="shared" si="9"/>
        <v/>
      </c>
      <c r="V27" s="1047" t="str">
        <f t="shared" si="9"/>
        <v/>
      </c>
      <c r="W27" s="1047" t="str">
        <f t="shared" si="9"/>
        <v/>
      </c>
      <c r="X27" s="1047" t="str">
        <f t="shared" si="9"/>
        <v/>
      </c>
      <c r="Y27" s="1047" t="str">
        <f t="shared" si="9"/>
        <v/>
      </c>
      <c r="Z27" s="1047" t="str">
        <f t="shared" si="9"/>
        <v/>
      </c>
      <c r="AA27" s="1048" t="str">
        <f t="shared" si="9"/>
        <v/>
      </c>
      <c r="AB27" s="1046" t="str">
        <f t="shared" si="9"/>
        <v/>
      </c>
      <c r="AC27" s="1047" t="str">
        <f t="shared" si="9"/>
        <v/>
      </c>
      <c r="AD27" s="1047" t="str">
        <f t="shared" si="9"/>
        <v/>
      </c>
      <c r="AE27" s="1047" t="str">
        <f t="shared" si="9"/>
        <v/>
      </c>
      <c r="AF27" s="1047" t="str">
        <f t="shared" si="9"/>
        <v/>
      </c>
      <c r="AG27" s="1047" t="str">
        <f t="shared" si="9"/>
        <v/>
      </c>
      <c r="AH27" s="1048" t="str">
        <f t="shared" si="9"/>
        <v/>
      </c>
      <c r="AI27" s="1049" t="str">
        <f t="shared" si="9"/>
        <v/>
      </c>
      <c r="AJ27" s="1047" t="str">
        <f t="shared" si="9"/>
        <v/>
      </c>
      <c r="AK27" s="1047" t="str">
        <f t="shared" si="9"/>
        <v/>
      </c>
      <c r="AL27" s="1050">
        <f>SUM(G27:AH27)</f>
        <v>0</v>
      </c>
      <c r="AM27" s="1051">
        <f>AL27/4</f>
        <v>0</v>
      </c>
      <c r="AN27" s="1052" t="str">
        <f>IF(C26="","",C26)</f>
        <v/>
      </c>
      <c r="AO27" s="1053" t="str">
        <f>IF(D26="","",D26)</f>
        <v/>
      </c>
      <c r="AP27" s="1054" t="str">
        <f>IF(D26&lt;&gt;"",VLOOKUP(D26,$AU$2:$AV$6,2,FALSE),"")</f>
        <v/>
      </c>
      <c r="AQ27" s="1051" t="e">
        <f>ROUNDDOWN(AL27/$AL$6,2)</f>
        <v>#DIV/0!</v>
      </c>
      <c r="AR27" s="1051" t="e">
        <f>IF(AP27=1,"",AQ27)</f>
        <v>#DIV/0!</v>
      </c>
    </row>
    <row r="28" spans="1:44" ht="15.9" customHeight="1">
      <c r="A28" s="989"/>
      <c r="B28" s="2238" t="s">
        <v>1969</v>
      </c>
      <c r="C28" s="2239"/>
      <c r="D28" s="2241"/>
      <c r="E28" s="2243"/>
      <c r="F28" s="1034" t="s">
        <v>1959</v>
      </c>
      <c r="G28" s="1035"/>
      <c r="H28" s="1036"/>
      <c r="I28" s="1037"/>
      <c r="J28" s="1037"/>
      <c r="K28" s="1037"/>
      <c r="L28" s="1037"/>
      <c r="M28" s="1038"/>
      <c r="N28" s="1035"/>
      <c r="O28" s="1036"/>
      <c r="P28" s="1037"/>
      <c r="Q28" s="1037"/>
      <c r="R28" s="1037"/>
      <c r="S28" s="1037"/>
      <c r="T28" s="1038"/>
      <c r="U28" s="1035"/>
      <c r="V28" s="1036"/>
      <c r="W28" s="1037"/>
      <c r="X28" s="1037"/>
      <c r="Y28" s="1037"/>
      <c r="Z28" s="1037"/>
      <c r="AA28" s="1038"/>
      <c r="AB28" s="1035"/>
      <c r="AC28" s="1036"/>
      <c r="AD28" s="1037"/>
      <c r="AE28" s="1037"/>
      <c r="AF28" s="1037"/>
      <c r="AG28" s="1037"/>
      <c r="AH28" s="1038"/>
      <c r="AI28" s="1039"/>
      <c r="AJ28" s="1037"/>
      <c r="AK28" s="1037"/>
      <c r="AL28" s="1040">
        <f>SUM(G29:AK29)</f>
        <v>0</v>
      </c>
      <c r="AM28" s="1041"/>
      <c r="AN28" s="1042"/>
      <c r="AO28" s="1043"/>
      <c r="AP28" s="1041"/>
      <c r="AQ28" s="1044"/>
      <c r="AR28" s="1044"/>
    </row>
    <row r="29" spans="1:44" ht="15.9" customHeight="1">
      <c r="A29" s="989"/>
      <c r="B29" s="2238"/>
      <c r="C29" s="2240"/>
      <c r="D29" s="2242"/>
      <c r="E29" s="2244"/>
      <c r="F29" s="1045" t="s">
        <v>1960</v>
      </c>
      <c r="G29" s="1046" t="str">
        <f t="shared" ref="G29:AK29" si="10">IF(G28&lt;&gt;"",VLOOKUP(G28,$AC$197:$AL$221,9,FALSE),"")</f>
        <v/>
      </c>
      <c r="H29" s="1047" t="str">
        <f t="shared" si="10"/>
        <v/>
      </c>
      <c r="I29" s="1047" t="str">
        <f t="shared" si="10"/>
        <v/>
      </c>
      <c r="J29" s="1047" t="str">
        <f t="shared" si="10"/>
        <v/>
      </c>
      <c r="K29" s="1047" t="str">
        <f t="shared" si="10"/>
        <v/>
      </c>
      <c r="L29" s="1047" t="str">
        <f t="shared" si="10"/>
        <v/>
      </c>
      <c r="M29" s="1048" t="str">
        <f t="shared" si="10"/>
        <v/>
      </c>
      <c r="N29" s="1046" t="str">
        <f t="shared" si="10"/>
        <v/>
      </c>
      <c r="O29" s="1047" t="str">
        <f t="shared" si="10"/>
        <v/>
      </c>
      <c r="P29" s="1047" t="str">
        <f t="shared" si="10"/>
        <v/>
      </c>
      <c r="Q29" s="1047" t="str">
        <f t="shared" si="10"/>
        <v/>
      </c>
      <c r="R29" s="1047" t="str">
        <f t="shared" si="10"/>
        <v/>
      </c>
      <c r="S29" s="1047" t="str">
        <f t="shared" si="10"/>
        <v/>
      </c>
      <c r="T29" s="1048" t="str">
        <f t="shared" si="10"/>
        <v/>
      </c>
      <c r="U29" s="1046" t="str">
        <f t="shared" si="10"/>
        <v/>
      </c>
      <c r="V29" s="1047" t="str">
        <f t="shared" si="10"/>
        <v/>
      </c>
      <c r="W29" s="1047" t="str">
        <f t="shared" si="10"/>
        <v/>
      </c>
      <c r="X29" s="1047" t="str">
        <f t="shared" si="10"/>
        <v/>
      </c>
      <c r="Y29" s="1047" t="str">
        <f t="shared" si="10"/>
        <v/>
      </c>
      <c r="Z29" s="1047" t="str">
        <f t="shared" si="10"/>
        <v/>
      </c>
      <c r="AA29" s="1048" t="str">
        <f t="shared" si="10"/>
        <v/>
      </c>
      <c r="AB29" s="1046" t="str">
        <f t="shared" si="10"/>
        <v/>
      </c>
      <c r="AC29" s="1047" t="str">
        <f t="shared" si="10"/>
        <v/>
      </c>
      <c r="AD29" s="1047" t="str">
        <f t="shared" si="10"/>
        <v/>
      </c>
      <c r="AE29" s="1047" t="str">
        <f t="shared" si="10"/>
        <v/>
      </c>
      <c r="AF29" s="1047" t="str">
        <f t="shared" si="10"/>
        <v/>
      </c>
      <c r="AG29" s="1047" t="str">
        <f t="shared" si="10"/>
        <v/>
      </c>
      <c r="AH29" s="1048" t="str">
        <f t="shared" si="10"/>
        <v/>
      </c>
      <c r="AI29" s="1049" t="str">
        <f t="shared" si="10"/>
        <v/>
      </c>
      <c r="AJ29" s="1047" t="str">
        <f t="shared" si="10"/>
        <v/>
      </c>
      <c r="AK29" s="1047" t="str">
        <f t="shared" si="10"/>
        <v/>
      </c>
      <c r="AL29" s="1050">
        <f>SUM(G29:AH29)</f>
        <v>0</v>
      </c>
      <c r="AM29" s="1051">
        <f>AL29/4</f>
        <v>0</v>
      </c>
      <c r="AN29" s="1052" t="str">
        <f>IF(C28="","",C28)</f>
        <v/>
      </c>
      <c r="AO29" s="1053" t="str">
        <f>IF(D28="","",D28)</f>
        <v/>
      </c>
      <c r="AP29" s="1054" t="str">
        <f>IF(D28&lt;&gt;"",VLOOKUP(D28,$AU$2:$AV$6,2,FALSE),"")</f>
        <v/>
      </c>
      <c r="AQ29" s="1051" t="e">
        <f>ROUNDDOWN(AL29/$AL$6,2)</f>
        <v>#DIV/0!</v>
      </c>
      <c r="AR29" s="1051" t="e">
        <f>IF(AP29=1,"",AQ29)</f>
        <v>#DIV/0!</v>
      </c>
    </row>
    <row r="30" spans="1:44" ht="15.9" customHeight="1">
      <c r="A30" s="989"/>
      <c r="B30" s="2238" t="s">
        <v>1970</v>
      </c>
      <c r="C30" s="2239"/>
      <c r="D30" s="2241"/>
      <c r="E30" s="2243"/>
      <c r="F30" s="1034" t="s">
        <v>1959</v>
      </c>
      <c r="G30" s="1035"/>
      <c r="H30" s="1036"/>
      <c r="I30" s="1037"/>
      <c r="J30" s="1037"/>
      <c r="K30" s="1037"/>
      <c r="L30" s="1037"/>
      <c r="M30" s="1038"/>
      <c r="N30" s="1035"/>
      <c r="O30" s="1036"/>
      <c r="P30" s="1037"/>
      <c r="Q30" s="1037"/>
      <c r="R30" s="1037"/>
      <c r="S30" s="1037"/>
      <c r="T30" s="1038"/>
      <c r="U30" s="1035"/>
      <c r="V30" s="1036"/>
      <c r="W30" s="1037"/>
      <c r="X30" s="1037"/>
      <c r="Y30" s="1037"/>
      <c r="Z30" s="1037"/>
      <c r="AA30" s="1038"/>
      <c r="AB30" s="1035"/>
      <c r="AC30" s="1036"/>
      <c r="AD30" s="1037"/>
      <c r="AE30" s="1037"/>
      <c r="AF30" s="1037"/>
      <c r="AG30" s="1037"/>
      <c r="AH30" s="1038"/>
      <c r="AI30" s="1055"/>
      <c r="AJ30" s="1036"/>
      <c r="AK30" s="1036"/>
      <c r="AL30" s="1040">
        <f>SUM(G31:AK31)</f>
        <v>0</v>
      </c>
      <c r="AM30" s="1041"/>
      <c r="AN30" s="1042"/>
      <c r="AO30" s="1043"/>
      <c r="AP30" s="1041"/>
      <c r="AQ30" s="1044"/>
      <c r="AR30" s="1044"/>
    </row>
    <row r="31" spans="1:44" ht="15.9" customHeight="1">
      <c r="A31" s="989"/>
      <c r="B31" s="2238"/>
      <c r="C31" s="2240"/>
      <c r="D31" s="2242"/>
      <c r="E31" s="2244"/>
      <c r="F31" s="1045" t="s">
        <v>1960</v>
      </c>
      <c r="G31" s="1046" t="str">
        <f t="shared" ref="G31:AK31" si="11">IF(G30&lt;&gt;"",VLOOKUP(G30,$AC$197:$AL$221,9,FALSE),"")</f>
        <v/>
      </c>
      <c r="H31" s="1047" t="str">
        <f t="shared" si="11"/>
        <v/>
      </c>
      <c r="I31" s="1047" t="str">
        <f t="shared" si="11"/>
        <v/>
      </c>
      <c r="J31" s="1047" t="str">
        <f t="shared" si="11"/>
        <v/>
      </c>
      <c r="K31" s="1047" t="str">
        <f t="shared" si="11"/>
        <v/>
      </c>
      <c r="L31" s="1047" t="str">
        <f t="shared" si="11"/>
        <v/>
      </c>
      <c r="M31" s="1048" t="str">
        <f t="shared" si="11"/>
        <v/>
      </c>
      <c r="N31" s="1046" t="str">
        <f t="shared" si="11"/>
        <v/>
      </c>
      <c r="O31" s="1047" t="str">
        <f t="shared" si="11"/>
        <v/>
      </c>
      <c r="P31" s="1047" t="str">
        <f t="shared" si="11"/>
        <v/>
      </c>
      <c r="Q31" s="1047" t="str">
        <f t="shared" si="11"/>
        <v/>
      </c>
      <c r="R31" s="1047" t="str">
        <f t="shared" si="11"/>
        <v/>
      </c>
      <c r="S31" s="1047" t="str">
        <f t="shared" si="11"/>
        <v/>
      </c>
      <c r="T31" s="1048" t="str">
        <f t="shared" si="11"/>
        <v/>
      </c>
      <c r="U31" s="1046" t="str">
        <f t="shared" si="11"/>
        <v/>
      </c>
      <c r="V31" s="1047" t="str">
        <f t="shared" si="11"/>
        <v/>
      </c>
      <c r="W31" s="1047" t="str">
        <f t="shared" si="11"/>
        <v/>
      </c>
      <c r="X31" s="1047" t="str">
        <f t="shared" si="11"/>
        <v/>
      </c>
      <c r="Y31" s="1047" t="str">
        <f t="shared" si="11"/>
        <v/>
      </c>
      <c r="Z31" s="1047" t="str">
        <f t="shared" si="11"/>
        <v/>
      </c>
      <c r="AA31" s="1048" t="str">
        <f t="shared" si="11"/>
        <v/>
      </c>
      <c r="AB31" s="1046" t="str">
        <f t="shared" si="11"/>
        <v/>
      </c>
      <c r="AC31" s="1047" t="str">
        <f t="shared" si="11"/>
        <v/>
      </c>
      <c r="AD31" s="1047" t="str">
        <f t="shared" si="11"/>
        <v/>
      </c>
      <c r="AE31" s="1047" t="str">
        <f t="shared" si="11"/>
        <v/>
      </c>
      <c r="AF31" s="1047" t="str">
        <f t="shared" si="11"/>
        <v/>
      </c>
      <c r="AG31" s="1047" t="str">
        <f t="shared" si="11"/>
        <v/>
      </c>
      <c r="AH31" s="1048" t="str">
        <f t="shared" si="11"/>
        <v/>
      </c>
      <c r="AI31" s="1049" t="str">
        <f t="shared" si="11"/>
        <v/>
      </c>
      <c r="AJ31" s="1047" t="str">
        <f t="shared" si="11"/>
        <v/>
      </c>
      <c r="AK31" s="1047" t="str">
        <f t="shared" si="11"/>
        <v/>
      </c>
      <c r="AL31" s="1050">
        <f>SUM(G31:AH31)</f>
        <v>0</v>
      </c>
      <c r="AM31" s="1051">
        <f>AL31/4</f>
        <v>0</v>
      </c>
      <c r="AN31" s="1052" t="str">
        <f>IF(C30="","",C30)</f>
        <v/>
      </c>
      <c r="AO31" s="1053" t="str">
        <f>IF(D30="","",D30)</f>
        <v/>
      </c>
      <c r="AP31" s="1054" t="str">
        <f>IF(D30&lt;&gt;"",VLOOKUP(D30,$AU$2:$AV$6,2,FALSE),"")</f>
        <v/>
      </c>
      <c r="AQ31" s="1051" t="e">
        <f>ROUNDDOWN(AL31/$AL$6,2)</f>
        <v>#DIV/0!</v>
      </c>
      <c r="AR31" s="1051" t="e">
        <f>IF(AP31=1,"",AQ31)</f>
        <v>#DIV/0!</v>
      </c>
    </row>
    <row r="32" spans="1:44" ht="15.9" customHeight="1">
      <c r="A32" s="989"/>
      <c r="B32" s="2238" t="s">
        <v>1971</v>
      </c>
      <c r="C32" s="2239"/>
      <c r="D32" s="2241"/>
      <c r="E32" s="2243"/>
      <c r="F32" s="1034" t="s">
        <v>1959</v>
      </c>
      <c r="G32" s="1035"/>
      <c r="H32" s="1036"/>
      <c r="I32" s="1037"/>
      <c r="J32" s="1037"/>
      <c r="K32" s="1037"/>
      <c r="L32" s="1037"/>
      <c r="M32" s="1038"/>
      <c r="N32" s="1035"/>
      <c r="O32" s="1036"/>
      <c r="P32" s="1037"/>
      <c r="Q32" s="1037"/>
      <c r="R32" s="1037"/>
      <c r="S32" s="1037"/>
      <c r="T32" s="1038"/>
      <c r="U32" s="1035"/>
      <c r="V32" s="1036"/>
      <c r="W32" s="1037"/>
      <c r="X32" s="1037"/>
      <c r="Y32" s="1037"/>
      <c r="Z32" s="1037"/>
      <c r="AA32" s="1038"/>
      <c r="AB32" s="1035"/>
      <c r="AC32" s="1036"/>
      <c r="AD32" s="1037"/>
      <c r="AE32" s="1037"/>
      <c r="AF32" s="1037"/>
      <c r="AG32" s="1037"/>
      <c r="AH32" s="1038"/>
      <c r="AI32" s="1055"/>
      <c r="AJ32" s="1036"/>
      <c r="AK32" s="1036"/>
      <c r="AL32" s="1040">
        <f>SUM(G33:AK33)</f>
        <v>0</v>
      </c>
      <c r="AM32" s="1041"/>
      <c r="AN32" s="1042"/>
      <c r="AO32" s="1043"/>
      <c r="AP32" s="1041"/>
      <c r="AQ32" s="1044"/>
      <c r="AR32" s="1044"/>
    </row>
    <row r="33" spans="1:44" ht="15.9" customHeight="1">
      <c r="A33" s="989"/>
      <c r="B33" s="2238"/>
      <c r="C33" s="2240"/>
      <c r="D33" s="2242"/>
      <c r="E33" s="2244"/>
      <c r="F33" s="1045" t="s">
        <v>1960</v>
      </c>
      <c r="G33" s="1046" t="str">
        <f t="shared" ref="G33:AK33" si="12">IF(G32&lt;&gt;"",VLOOKUP(G32,$AC$197:$AL$221,9,FALSE),"")</f>
        <v/>
      </c>
      <c r="H33" s="1047" t="str">
        <f t="shared" si="12"/>
        <v/>
      </c>
      <c r="I33" s="1047" t="str">
        <f t="shared" si="12"/>
        <v/>
      </c>
      <c r="J33" s="1047" t="str">
        <f t="shared" si="12"/>
        <v/>
      </c>
      <c r="K33" s="1047" t="str">
        <f t="shared" si="12"/>
        <v/>
      </c>
      <c r="L33" s="1047" t="str">
        <f t="shared" si="12"/>
        <v/>
      </c>
      <c r="M33" s="1048" t="str">
        <f t="shared" si="12"/>
        <v/>
      </c>
      <c r="N33" s="1046" t="str">
        <f t="shared" si="12"/>
        <v/>
      </c>
      <c r="O33" s="1047" t="str">
        <f t="shared" si="12"/>
        <v/>
      </c>
      <c r="P33" s="1047" t="str">
        <f t="shared" si="12"/>
        <v/>
      </c>
      <c r="Q33" s="1047" t="str">
        <f t="shared" si="12"/>
        <v/>
      </c>
      <c r="R33" s="1047" t="str">
        <f t="shared" si="12"/>
        <v/>
      </c>
      <c r="S33" s="1047" t="str">
        <f t="shared" si="12"/>
        <v/>
      </c>
      <c r="T33" s="1048" t="str">
        <f t="shared" si="12"/>
        <v/>
      </c>
      <c r="U33" s="1046" t="str">
        <f t="shared" si="12"/>
        <v/>
      </c>
      <c r="V33" s="1047" t="str">
        <f t="shared" si="12"/>
        <v/>
      </c>
      <c r="W33" s="1047" t="str">
        <f t="shared" si="12"/>
        <v/>
      </c>
      <c r="X33" s="1047" t="str">
        <f t="shared" si="12"/>
        <v/>
      </c>
      <c r="Y33" s="1047" t="str">
        <f t="shared" si="12"/>
        <v/>
      </c>
      <c r="Z33" s="1047" t="str">
        <f t="shared" si="12"/>
        <v/>
      </c>
      <c r="AA33" s="1048" t="str">
        <f t="shared" si="12"/>
        <v/>
      </c>
      <c r="AB33" s="1046" t="str">
        <f t="shared" si="12"/>
        <v/>
      </c>
      <c r="AC33" s="1047" t="str">
        <f t="shared" si="12"/>
        <v/>
      </c>
      <c r="AD33" s="1047" t="str">
        <f t="shared" si="12"/>
        <v/>
      </c>
      <c r="AE33" s="1047" t="str">
        <f t="shared" si="12"/>
        <v/>
      </c>
      <c r="AF33" s="1047" t="str">
        <f t="shared" si="12"/>
        <v/>
      </c>
      <c r="AG33" s="1047" t="str">
        <f t="shared" si="12"/>
        <v/>
      </c>
      <c r="AH33" s="1048" t="str">
        <f t="shared" si="12"/>
        <v/>
      </c>
      <c r="AI33" s="1049" t="str">
        <f t="shared" si="12"/>
        <v/>
      </c>
      <c r="AJ33" s="1047" t="str">
        <f t="shared" si="12"/>
        <v/>
      </c>
      <c r="AK33" s="1047" t="str">
        <f t="shared" si="12"/>
        <v/>
      </c>
      <c r="AL33" s="1050">
        <f>SUM(G33:AH33)</f>
        <v>0</v>
      </c>
      <c r="AM33" s="1051">
        <f>AL33/4</f>
        <v>0</v>
      </c>
      <c r="AN33" s="1052" t="str">
        <f>IF(C32="","",C32)</f>
        <v/>
      </c>
      <c r="AO33" s="1053" t="str">
        <f>IF(D32="","",D32)</f>
        <v/>
      </c>
      <c r="AP33" s="1054" t="str">
        <f>IF(D32&lt;&gt;"",VLOOKUP(D32,$AU$2:$AV$6,2,FALSE),"")</f>
        <v/>
      </c>
      <c r="AQ33" s="1051" t="e">
        <f>ROUNDDOWN(AL33/$AL$6,2)</f>
        <v>#DIV/0!</v>
      </c>
      <c r="AR33" s="1051" t="e">
        <f>IF(AP33=1,"",AQ33)</f>
        <v>#DIV/0!</v>
      </c>
    </row>
    <row r="34" spans="1:44" ht="15.9" customHeight="1">
      <c r="A34" s="989"/>
      <c r="B34" s="2238" t="s">
        <v>1972</v>
      </c>
      <c r="C34" s="2239"/>
      <c r="D34" s="2241"/>
      <c r="E34" s="2243"/>
      <c r="F34" s="1034" t="s">
        <v>1959</v>
      </c>
      <c r="G34" s="1035"/>
      <c r="H34" s="1036"/>
      <c r="I34" s="1037"/>
      <c r="J34" s="1037"/>
      <c r="K34" s="1037"/>
      <c r="L34" s="1037"/>
      <c r="M34" s="1038"/>
      <c r="N34" s="1035"/>
      <c r="O34" s="1036"/>
      <c r="P34" s="1037"/>
      <c r="Q34" s="1037"/>
      <c r="R34" s="1037"/>
      <c r="S34" s="1037"/>
      <c r="T34" s="1038"/>
      <c r="U34" s="1035"/>
      <c r="V34" s="1036"/>
      <c r="W34" s="1037"/>
      <c r="X34" s="1037"/>
      <c r="Y34" s="1037"/>
      <c r="Z34" s="1037"/>
      <c r="AA34" s="1038"/>
      <c r="AB34" s="1035"/>
      <c r="AC34" s="1036"/>
      <c r="AD34" s="1037"/>
      <c r="AE34" s="1037"/>
      <c r="AF34" s="1037"/>
      <c r="AG34" s="1037"/>
      <c r="AH34" s="1038"/>
      <c r="AI34" s="1039"/>
      <c r="AJ34" s="1037"/>
      <c r="AK34" s="1037"/>
      <c r="AL34" s="1040">
        <f>SUM(G35:AK35)</f>
        <v>0</v>
      </c>
      <c r="AM34" s="1041"/>
      <c r="AN34" s="1042"/>
      <c r="AO34" s="1043"/>
      <c r="AP34" s="1041"/>
      <c r="AQ34" s="1044"/>
      <c r="AR34" s="1044"/>
    </row>
    <row r="35" spans="1:44" ht="15.9" customHeight="1">
      <c r="A35" s="989"/>
      <c r="B35" s="2238"/>
      <c r="C35" s="2240"/>
      <c r="D35" s="2242"/>
      <c r="E35" s="2244"/>
      <c r="F35" s="1045" t="s">
        <v>1960</v>
      </c>
      <c r="G35" s="1046" t="str">
        <f t="shared" ref="G35:AK35" si="13">IF(G34&lt;&gt;"",VLOOKUP(G34,$AC$197:$AL$221,9,FALSE),"")</f>
        <v/>
      </c>
      <c r="H35" s="1047" t="str">
        <f t="shared" si="13"/>
        <v/>
      </c>
      <c r="I35" s="1047" t="str">
        <f t="shared" si="13"/>
        <v/>
      </c>
      <c r="J35" s="1047" t="str">
        <f t="shared" si="13"/>
        <v/>
      </c>
      <c r="K35" s="1047" t="str">
        <f t="shared" si="13"/>
        <v/>
      </c>
      <c r="L35" s="1047" t="str">
        <f t="shared" si="13"/>
        <v/>
      </c>
      <c r="M35" s="1048" t="str">
        <f t="shared" si="13"/>
        <v/>
      </c>
      <c r="N35" s="1046" t="str">
        <f t="shared" si="13"/>
        <v/>
      </c>
      <c r="O35" s="1047" t="str">
        <f t="shared" si="13"/>
        <v/>
      </c>
      <c r="P35" s="1047" t="str">
        <f t="shared" si="13"/>
        <v/>
      </c>
      <c r="Q35" s="1047" t="str">
        <f t="shared" si="13"/>
        <v/>
      </c>
      <c r="R35" s="1047" t="str">
        <f t="shared" si="13"/>
        <v/>
      </c>
      <c r="S35" s="1047" t="str">
        <f t="shared" si="13"/>
        <v/>
      </c>
      <c r="T35" s="1048" t="str">
        <f t="shared" si="13"/>
        <v/>
      </c>
      <c r="U35" s="1046" t="str">
        <f t="shared" si="13"/>
        <v/>
      </c>
      <c r="V35" s="1047" t="str">
        <f t="shared" si="13"/>
        <v/>
      </c>
      <c r="W35" s="1047" t="str">
        <f t="shared" si="13"/>
        <v/>
      </c>
      <c r="X35" s="1047" t="str">
        <f t="shared" si="13"/>
        <v/>
      </c>
      <c r="Y35" s="1047" t="str">
        <f t="shared" si="13"/>
        <v/>
      </c>
      <c r="Z35" s="1047" t="str">
        <f t="shared" si="13"/>
        <v/>
      </c>
      <c r="AA35" s="1048" t="str">
        <f t="shared" si="13"/>
        <v/>
      </c>
      <c r="AB35" s="1046" t="str">
        <f t="shared" si="13"/>
        <v/>
      </c>
      <c r="AC35" s="1047" t="str">
        <f t="shared" si="13"/>
        <v/>
      </c>
      <c r="AD35" s="1047" t="str">
        <f t="shared" si="13"/>
        <v/>
      </c>
      <c r="AE35" s="1047" t="str">
        <f t="shared" si="13"/>
        <v/>
      </c>
      <c r="AF35" s="1047" t="str">
        <f t="shared" si="13"/>
        <v/>
      </c>
      <c r="AG35" s="1047" t="str">
        <f t="shared" si="13"/>
        <v/>
      </c>
      <c r="AH35" s="1048" t="str">
        <f t="shared" si="13"/>
        <v/>
      </c>
      <c r="AI35" s="1049" t="str">
        <f t="shared" si="13"/>
        <v/>
      </c>
      <c r="AJ35" s="1047" t="str">
        <f t="shared" si="13"/>
        <v/>
      </c>
      <c r="AK35" s="1047" t="str">
        <f t="shared" si="13"/>
        <v/>
      </c>
      <c r="AL35" s="1050">
        <f>SUM(G35:AH35)</f>
        <v>0</v>
      </c>
      <c r="AM35" s="1051">
        <f>AL35/4</f>
        <v>0</v>
      </c>
      <c r="AN35" s="1052" t="str">
        <f>IF(C34="","",C34)</f>
        <v/>
      </c>
      <c r="AO35" s="1053" t="str">
        <f>IF(D34="","",D34)</f>
        <v/>
      </c>
      <c r="AP35" s="1054" t="str">
        <f>IF(D34&lt;&gt;"",VLOOKUP(D34,$AU$2:$AV$6,2,FALSE),"")</f>
        <v/>
      </c>
      <c r="AQ35" s="1051" t="e">
        <f>ROUNDDOWN(AL35/$AL$6,2)</f>
        <v>#DIV/0!</v>
      </c>
      <c r="AR35" s="1051" t="e">
        <f>IF(AP35=1,"",AQ35)</f>
        <v>#DIV/0!</v>
      </c>
    </row>
    <row r="36" spans="1:44" ht="15.9" customHeight="1">
      <c r="A36" s="989"/>
      <c r="B36" s="2238" t="s">
        <v>1973</v>
      </c>
      <c r="C36" s="2239"/>
      <c r="D36" s="2241"/>
      <c r="E36" s="2243"/>
      <c r="F36" s="1034" t="s">
        <v>1959</v>
      </c>
      <c r="G36" s="1035"/>
      <c r="H36" s="1036"/>
      <c r="I36" s="1037"/>
      <c r="J36" s="1037"/>
      <c r="K36" s="1037"/>
      <c r="L36" s="1037"/>
      <c r="M36" s="1038"/>
      <c r="N36" s="1035"/>
      <c r="O36" s="1036"/>
      <c r="P36" s="1037"/>
      <c r="Q36" s="1037"/>
      <c r="R36" s="1037"/>
      <c r="S36" s="1037"/>
      <c r="T36" s="1038"/>
      <c r="U36" s="1035"/>
      <c r="V36" s="1036"/>
      <c r="W36" s="1037"/>
      <c r="X36" s="1037"/>
      <c r="Y36" s="1037"/>
      <c r="Z36" s="1037"/>
      <c r="AA36" s="1038"/>
      <c r="AB36" s="1035"/>
      <c r="AC36" s="1036"/>
      <c r="AD36" s="1037"/>
      <c r="AE36" s="1037"/>
      <c r="AF36" s="1037"/>
      <c r="AG36" s="1037"/>
      <c r="AH36" s="1038"/>
      <c r="AI36" s="1039"/>
      <c r="AJ36" s="1037"/>
      <c r="AK36" s="1037"/>
      <c r="AL36" s="1040">
        <f>SUM(G37:AK37)</f>
        <v>0</v>
      </c>
      <c r="AM36" s="1041"/>
      <c r="AN36" s="1042"/>
      <c r="AO36" s="1043"/>
      <c r="AP36" s="1041"/>
      <c r="AQ36" s="1044"/>
      <c r="AR36" s="1044"/>
    </row>
    <row r="37" spans="1:44" ht="15.9" customHeight="1">
      <c r="A37" s="989"/>
      <c r="B37" s="2238"/>
      <c r="C37" s="2240"/>
      <c r="D37" s="2242"/>
      <c r="E37" s="2244"/>
      <c r="F37" s="1045" t="s">
        <v>1960</v>
      </c>
      <c r="G37" s="1046" t="str">
        <f t="shared" ref="G37:AK37" si="14">IF(G36&lt;&gt;"",VLOOKUP(G36,$AC$197:$AL$221,9,FALSE),"")</f>
        <v/>
      </c>
      <c r="H37" s="1047" t="str">
        <f t="shared" si="14"/>
        <v/>
      </c>
      <c r="I37" s="1047" t="str">
        <f t="shared" si="14"/>
        <v/>
      </c>
      <c r="J37" s="1047" t="str">
        <f t="shared" si="14"/>
        <v/>
      </c>
      <c r="K37" s="1047" t="str">
        <f t="shared" si="14"/>
        <v/>
      </c>
      <c r="L37" s="1047" t="str">
        <f t="shared" si="14"/>
        <v/>
      </c>
      <c r="M37" s="1048" t="str">
        <f t="shared" si="14"/>
        <v/>
      </c>
      <c r="N37" s="1046" t="str">
        <f t="shared" si="14"/>
        <v/>
      </c>
      <c r="O37" s="1047" t="str">
        <f t="shared" si="14"/>
        <v/>
      </c>
      <c r="P37" s="1047" t="str">
        <f t="shared" si="14"/>
        <v/>
      </c>
      <c r="Q37" s="1047" t="str">
        <f t="shared" si="14"/>
        <v/>
      </c>
      <c r="R37" s="1047" t="str">
        <f t="shared" si="14"/>
        <v/>
      </c>
      <c r="S37" s="1047" t="str">
        <f t="shared" si="14"/>
        <v/>
      </c>
      <c r="T37" s="1048" t="str">
        <f t="shared" si="14"/>
        <v/>
      </c>
      <c r="U37" s="1046" t="str">
        <f t="shared" si="14"/>
        <v/>
      </c>
      <c r="V37" s="1047" t="str">
        <f t="shared" si="14"/>
        <v/>
      </c>
      <c r="W37" s="1047" t="str">
        <f t="shared" si="14"/>
        <v/>
      </c>
      <c r="X37" s="1047" t="str">
        <f t="shared" si="14"/>
        <v/>
      </c>
      <c r="Y37" s="1047" t="str">
        <f t="shared" si="14"/>
        <v/>
      </c>
      <c r="Z37" s="1047" t="str">
        <f t="shared" si="14"/>
        <v/>
      </c>
      <c r="AA37" s="1048" t="str">
        <f t="shared" si="14"/>
        <v/>
      </c>
      <c r="AB37" s="1046" t="str">
        <f t="shared" si="14"/>
        <v/>
      </c>
      <c r="AC37" s="1047" t="str">
        <f t="shared" si="14"/>
        <v/>
      </c>
      <c r="AD37" s="1047" t="str">
        <f t="shared" si="14"/>
        <v/>
      </c>
      <c r="AE37" s="1047" t="str">
        <f t="shared" si="14"/>
        <v/>
      </c>
      <c r="AF37" s="1047" t="str">
        <f t="shared" si="14"/>
        <v/>
      </c>
      <c r="AG37" s="1047" t="str">
        <f t="shared" si="14"/>
        <v/>
      </c>
      <c r="AH37" s="1048" t="str">
        <f t="shared" si="14"/>
        <v/>
      </c>
      <c r="AI37" s="1049" t="str">
        <f t="shared" si="14"/>
        <v/>
      </c>
      <c r="AJ37" s="1047" t="str">
        <f t="shared" si="14"/>
        <v/>
      </c>
      <c r="AK37" s="1047" t="str">
        <f t="shared" si="14"/>
        <v/>
      </c>
      <c r="AL37" s="1050">
        <f>SUM(G37:AH37)</f>
        <v>0</v>
      </c>
      <c r="AM37" s="1051">
        <f>AL37/4</f>
        <v>0</v>
      </c>
      <c r="AN37" s="1052" t="str">
        <f>IF(C36="","",C36)</f>
        <v/>
      </c>
      <c r="AO37" s="1053" t="str">
        <f>IF(D36="","",D36)</f>
        <v/>
      </c>
      <c r="AP37" s="1054" t="str">
        <f>IF(D36&lt;&gt;"",VLOOKUP(D36,$AU$2:$AV$6,2,FALSE),"")</f>
        <v/>
      </c>
      <c r="AQ37" s="1051" t="e">
        <f>ROUNDDOWN(AL37/$AL$6,2)</f>
        <v>#DIV/0!</v>
      </c>
      <c r="AR37" s="1051" t="e">
        <f>IF(AP37=1,"",AQ37)</f>
        <v>#DIV/0!</v>
      </c>
    </row>
    <row r="38" spans="1:44" ht="15.9" customHeight="1">
      <c r="A38" s="989"/>
      <c r="B38" s="2238" t="s">
        <v>1974</v>
      </c>
      <c r="C38" s="2239"/>
      <c r="D38" s="2241"/>
      <c r="E38" s="2243"/>
      <c r="F38" s="1034" t="s">
        <v>1959</v>
      </c>
      <c r="G38" s="1035"/>
      <c r="H38" s="1036"/>
      <c r="I38" s="1037"/>
      <c r="J38" s="1037"/>
      <c r="K38" s="1037"/>
      <c r="L38" s="1037"/>
      <c r="M38" s="1038"/>
      <c r="N38" s="1035"/>
      <c r="O38" s="1036"/>
      <c r="P38" s="1037"/>
      <c r="Q38" s="1037"/>
      <c r="R38" s="1037"/>
      <c r="S38" s="1037"/>
      <c r="T38" s="1038"/>
      <c r="U38" s="1035"/>
      <c r="V38" s="1036"/>
      <c r="W38" s="1037"/>
      <c r="X38" s="1037"/>
      <c r="Y38" s="1037"/>
      <c r="Z38" s="1037"/>
      <c r="AA38" s="1038"/>
      <c r="AB38" s="1035"/>
      <c r="AC38" s="1036"/>
      <c r="AD38" s="1037"/>
      <c r="AE38" s="1037"/>
      <c r="AF38" s="1037"/>
      <c r="AG38" s="1037"/>
      <c r="AH38" s="1038"/>
      <c r="AI38" s="1055"/>
      <c r="AJ38" s="1036"/>
      <c r="AK38" s="1036"/>
      <c r="AL38" s="1040">
        <f>SUM(G39:AK39)</f>
        <v>0</v>
      </c>
      <c r="AM38" s="1041"/>
      <c r="AN38" s="1042"/>
      <c r="AO38" s="1043"/>
      <c r="AP38" s="1041"/>
      <c r="AQ38" s="1044"/>
      <c r="AR38" s="1044"/>
    </row>
    <row r="39" spans="1:44" ht="15.9" customHeight="1">
      <c r="A39" s="989"/>
      <c r="B39" s="2238"/>
      <c r="C39" s="2240"/>
      <c r="D39" s="2242"/>
      <c r="E39" s="2244"/>
      <c r="F39" s="1045" t="s">
        <v>1960</v>
      </c>
      <c r="G39" s="1046" t="str">
        <f t="shared" ref="G39:AK39" si="15">IF(G38&lt;&gt;"",VLOOKUP(G38,$AC$197:$AL$221,9,FALSE),"")</f>
        <v/>
      </c>
      <c r="H39" s="1047" t="str">
        <f t="shared" si="15"/>
        <v/>
      </c>
      <c r="I39" s="1047" t="str">
        <f t="shared" si="15"/>
        <v/>
      </c>
      <c r="J39" s="1047" t="str">
        <f t="shared" si="15"/>
        <v/>
      </c>
      <c r="K39" s="1047" t="str">
        <f t="shared" si="15"/>
        <v/>
      </c>
      <c r="L39" s="1047" t="str">
        <f t="shared" si="15"/>
        <v/>
      </c>
      <c r="M39" s="1048" t="str">
        <f t="shared" si="15"/>
        <v/>
      </c>
      <c r="N39" s="1046" t="str">
        <f t="shared" si="15"/>
        <v/>
      </c>
      <c r="O39" s="1047" t="str">
        <f t="shared" si="15"/>
        <v/>
      </c>
      <c r="P39" s="1047" t="str">
        <f t="shared" si="15"/>
        <v/>
      </c>
      <c r="Q39" s="1047" t="str">
        <f t="shared" si="15"/>
        <v/>
      </c>
      <c r="R39" s="1047" t="str">
        <f t="shared" si="15"/>
        <v/>
      </c>
      <c r="S39" s="1047" t="str">
        <f t="shared" si="15"/>
        <v/>
      </c>
      <c r="T39" s="1048" t="str">
        <f t="shared" si="15"/>
        <v/>
      </c>
      <c r="U39" s="1046" t="str">
        <f t="shared" si="15"/>
        <v/>
      </c>
      <c r="V39" s="1047" t="str">
        <f t="shared" si="15"/>
        <v/>
      </c>
      <c r="W39" s="1047" t="str">
        <f t="shared" si="15"/>
        <v/>
      </c>
      <c r="X39" s="1047" t="str">
        <f t="shared" si="15"/>
        <v/>
      </c>
      <c r="Y39" s="1047" t="str">
        <f t="shared" si="15"/>
        <v/>
      </c>
      <c r="Z39" s="1047" t="str">
        <f t="shared" si="15"/>
        <v/>
      </c>
      <c r="AA39" s="1048" t="str">
        <f t="shared" si="15"/>
        <v/>
      </c>
      <c r="AB39" s="1046" t="str">
        <f t="shared" si="15"/>
        <v/>
      </c>
      <c r="AC39" s="1047" t="str">
        <f t="shared" si="15"/>
        <v/>
      </c>
      <c r="AD39" s="1047" t="str">
        <f t="shared" si="15"/>
        <v/>
      </c>
      <c r="AE39" s="1047" t="str">
        <f t="shared" si="15"/>
        <v/>
      </c>
      <c r="AF39" s="1047" t="str">
        <f t="shared" si="15"/>
        <v/>
      </c>
      <c r="AG39" s="1047" t="str">
        <f t="shared" si="15"/>
        <v/>
      </c>
      <c r="AH39" s="1048" t="str">
        <f t="shared" si="15"/>
        <v/>
      </c>
      <c r="AI39" s="1049" t="str">
        <f t="shared" si="15"/>
        <v/>
      </c>
      <c r="AJ39" s="1047" t="str">
        <f t="shared" si="15"/>
        <v/>
      </c>
      <c r="AK39" s="1047" t="str">
        <f t="shared" si="15"/>
        <v/>
      </c>
      <c r="AL39" s="1050">
        <f>SUM(G39:AH39)</f>
        <v>0</v>
      </c>
      <c r="AM39" s="1051">
        <f>AL39/4</f>
        <v>0</v>
      </c>
      <c r="AN39" s="1052" t="str">
        <f>IF(C38="","",C38)</f>
        <v/>
      </c>
      <c r="AO39" s="1053" t="str">
        <f>IF(D38="","",D38)</f>
        <v/>
      </c>
      <c r="AP39" s="1054" t="str">
        <f>IF(D38&lt;&gt;"",VLOOKUP(D38,$AU$2:$AV$6,2,FALSE),"")</f>
        <v/>
      </c>
      <c r="AQ39" s="1051" t="e">
        <f>ROUNDDOWN(AL39/$AL$6,2)</f>
        <v>#DIV/0!</v>
      </c>
      <c r="AR39" s="1051" t="e">
        <f>IF(AP39=1,"",AQ39)</f>
        <v>#DIV/0!</v>
      </c>
    </row>
    <row r="40" spans="1:44" ht="15.9" customHeight="1">
      <c r="A40" s="989"/>
      <c r="B40" s="2238" t="s">
        <v>1975</v>
      </c>
      <c r="C40" s="2239"/>
      <c r="D40" s="2241"/>
      <c r="E40" s="2243"/>
      <c r="F40" s="1034" t="s">
        <v>1959</v>
      </c>
      <c r="G40" s="1035"/>
      <c r="H40" s="1036"/>
      <c r="I40" s="1037"/>
      <c r="J40" s="1037"/>
      <c r="K40" s="1037"/>
      <c r="L40" s="1037"/>
      <c r="M40" s="1038"/>
      <c r="N40" s="1035"/>
      <c r="O40" s="1036"/>
      <c r="P40" s="1037"/>
      <c r="Q40" s="1037"/>
      <c r="R40" s="1037"/>
      <c r="S40" s="1037"/>
      <c r="T40" s="1038"/>
      <c r="U40" s="1035"/>
      <c r="V40" s="1036"/>
      <c r="W40" s="1037"/>
      <c r="X40" s="1037"/>
      <c r="Y40" s="1037"/>
      <c r="Z40" s="1037"/>
      <c r="AA40" s="1038"/>
      <c r="AB40" s="1035"/>
      <c r="AC40" s="1036"/>
      <c r="AD40" s="1037"/>
      <c r="AE40" s="1037"/>
      <c r="AF40" s="1037"/>
      <c r="AG40" s="1037"/>
      <c r="AH40" s="1038"/>
      <c r="AI40" s="1055"/>
      <c r="AJ40" s="1036"/>
      <c r="AK40" s="1036"/>
      <c r="AL40" s="1040">
        <f>SUM(G41:AK41)</f>
        <v>0</v>
      </c>
      <c r="AM40" s="1041"/>
      <c r="AN40" s="1042"/>
      <c r="AO40" s="1043"/>
      <c r="AP40" s="1041"/>
      <c r="AQ40" s="1044"/>
      <c r="AR40" s="1044"/>
    </row>
    <row r="41" spans="1:44" ht="15.9" customHeight="1">
      <c r="A41" s="989"/>
      <c r="B41" s="2238"/>
      <c r="C41" s="2240"/>
      <c r="D41" s="2242"/>
      <c r="E41" s="2244"/>
      <c r="F41" s="1045" t="s">
        <v>1960</v>
      </c>
      <c r="G41" s="1046" t="str">
        <f t="shared" ref="G41:AK41" si="16">IF(G40&lt;&gt;"",VLOOKUP(G40,$AC$197:$AL$221,9,FALSE),"")</f>
        <v/>
      </c>
      <c r="H41" s="1047" t="str">
        <f t="shared" si="16"/>
        <v/>
      </c>
      <c r="I41" s="1047" t="str">
        <f t="shared" si="16"/>
        <v/>
      </c>
      <c r="J41" s="1047" t="str">
        <f t="shared" si="16"/>
        <v/>
      </c>
      <c r="K41" s="1047" t="str">
        <f t="shared" si="16"/>
        <v/>
      </c>
      <c r="L41" s="1047" t="str">
        <f t="shared" si="16"/>
        <v/>
      </c>
      <c r="M41" s="1048" t="str">
        <f t="shared" si="16"/>
        <v/>
      </c>
      <c r="N41" s="1046" t="str">
        <f t="shared" si="16"/>
        <v/>
      </c>
      <c r="O41" s="1047" t="str">
        <f t="shared" si="16"/>
        <v/>
      </c>
      <c r="P41" s="1047" t="str">
        <f t="shared" si="16"/>
        <v/>
      </c>
      <c r="Q41" s="1047" t="str">
        <f t="shared" si="16"/>
        <v/>
      </c>
      <c r="R41" s="1047" t="str">
        <f t="shared" si="16"/>
        <v/>
      </c>
      <c r="S41" s="1047" t="str">
        <f t="shared" si="16"/>
        <v/>
      </c>
      <c r="T41" s="1048" t="str">
        <f t="shared" si="16"/>
        <v/>
      </c>
      <c r="U41" s="1046" t="str">
        <f t="shared" si="16"/>
        <v/>
      </c>
      <c r="V41" s="1047" t="str">
        <f t="shared" si="16"/>
        <v/>
      </c>
      <c r="W41" s="1047" t="str">
        <f t="shared" si="16"/>
        <v/>
      </c>
      <c r="X41" s="1047" t="str">
        <f t="shared" si="16"/>
        <v/>
      </c>
      <c r="Y41" s="1047" t="str">
        <f t="shared" si="16"/>
        <v/>
      </c>
      <c r="Z41" s="1047" t="str">
        <f t="shared" si="16"/>
        <v/>
      </c>
      <c r="AA41" s="1048" t="str">
        <f t="shared" si="16"/>
        <v/>
      </c>
      <c r="AB41" s="1046" t="str">
        <f t="shared" si="16"/>
        <v/>
      </c>
      <c r="AC41" s="1047" t="str">
        <f t="shared" si="16"/>
        <v/>
      </c>
      <c r="AD41" s="1047" t="str">
        <f t="shared" si="16"/>
        <v/>
      </c>
      <c r="AE41" s="1047" t="str">
        <f t="shared" si="16"/>
        <v/>
      </c>
      <c r="AF41" s="1047" t="str">
        <f t="shared" si="16"/>
        <v/>
      </c>
      <c r="AG41" s="1047" t="str">
        <f t="shared" si="16"/>
        <v/>
      </c>
      <c r="AH41" s="1048" t="str">
        <f t="shared" si="16"/>
        <v/>
      </c>
      <c r="AI41" s="1049" t="str">
        <f t="shared" si="16"/>
        <v/>
      </c>
      <c r="AJ41" s="1047" t="str">
        <f t="shared" si="16"/>
        <v/>
      </c>
      <c r="AK41" s="1047" t="str">
        <f t="shared" si="16"/>
        <v/>
      </c>
      <c r="AL41" s="1050">
        <f>SUM(G41:AH41)</f>
        <v>0</v>
      </c>
      <c r="AM41" s="1051">
        <f>AL41/4</f>
        <v>0</v>
      </c>
      <c r="AN41" s="1052" t="str">
        <f>IF(C40="","",C40)</f>
        <v/>
      </c>
      <c r="AO41" s="1053" t="str">
        <f>IF(D40="","",D40)</f>
        <v/>
      </c>
      <c r="AP41" s="1054" t="str">
        <f>IF(D40&lt;&gt;"",VLOOKUP(D40,$AU$2:$AV$6,2,FALSE),"")</f>
        <v/>
      </c>
      <c r="AQ41" s="1051" t="e">
        <f>ROUNDDOWN(AL41/$AL$6,2)</f>
        <v>#DIV/0!</v>
      </c>
      <c r="AR41" s="1051" t="e">
        <f>IF(AP41=1,"",AQ41)</f>
        <v>#DIV/0!</v>
      </c>
    </row>
    <row r="42" spans="1:44" ht="15.9" customHeight="1">
      <c r="A42" s="989"/>
      <c r="B42" s="2238" t="s">
        <v>1976</v>
      </c>
      <c r="C42" s="2239"/>
      <c r="D42" s="2241"/>
      <c r="E42" s="2243"/>
      <c r="F42" s="1034" t="s">
        <v>1959</v>
      </c>
      <c r="G42" s="1035"/>
      <c r="H42" s="1036"/>
      <c r="I42" s="1037"/>
      <c r="J42" s="1037"/>
      <c r="K42" s="1037"/>
      <c r="L42" s="1037"/>
      <c r="M42" s="1038"/>
      <c r="N42" s="1035"/>
      <c r="O42" s="1036"/>
      <c r="P42" s="1037"/>
      <c r="Q42" s="1037"/>
      <c r="R42" s="1037"/>
      <c r="S42" s="1037"/>
      <c r="T42" s="1038"/>
      <c r="U42" s="1035"/>
      <c r="V42" s="1036"/>
      <c r="W42" s="1037"/>
      <c r="X42" s="1037"/>
      <c r="Y42" s="1037"/>
      <c r="Z42" s="1037"/>
      <c r="AA42" s="1038"/>
      <c r="AB42" s="1035"/>
      <c r="AC42" s="1036"/>
      <c r="AD42" s="1037"/>
      <c r="AE42" s="1037"/>
      <c r="AF42" s="1037"/>
      <c r="AG42" s="1037"/>
      <c r="AH42" s="1038"/>
      <c r="AI42" s="1039"/>
      <c r="AJ42" s="1037"/>
      <c r="AK42" s="1037"/>
      <c r="AL42" s="1040">
        <f>SUM(G43:AK43)</f>
        <v>0</v>
      </c>
      <c r="AM42" s="1041"/>
      <c r="AN42" s="1042"/>
      <c r="AO42" s="1043"/>
      <c r="AP42" s="1041"/>
      <c r="AQ42" s="1044"/>
      <c r="AR42" s="1044"/>
    </row>
    <row r="43" spans="1:44" ht="15.9" customHeight="1">
      <c r="A43" s="989"/>
      <c r="B43" s="2238"/>
      <c r="C43" s="2240"/>
      <c r="D43" s="2242"/>
      <c r="E43" s="2244"/>
      <c r="F43" s="1045" t="s">
        <v>1960</v>
      </c>
      <c r="G43" s="1046" t="str">
        <f t="shared" ref="G43:AK43" si="17">IF(G42&lt;&gt;"",VLOOKUP(G42,$AC$197:$AL$221,9,FALSE),"")</f>
        <v/>
      </c>
      <c r="H43" s="1047" t="str">
        <f t="shared" si="17"/>
        <v/>
      </c>
      <c r="I43" s="1047" t="str">
        <f t="shared" si="17"/>
        <v/>
      </c>
      <c r="J43" s="1047" t="str">
        <f t="shared" si="17"/>
        <v/>
      </c>
      <c r="K43" s="1047" t="str">
        <f t="shared" si="17"/>
        <v/>
      </c>
      <c r="L43" s="1047" t="str">
        <f t="shared" si="17"/>
        <v/>
      </c>
      <c r="M43" s="1048" t="str">
        <f t="shared" si="17"/>
        <v/>
      </c>
      <c r="N43" s="1046" t="str">
        <f t="shared" si="17"/>
        <v/>
      </c>
      <c r="O43" s="1047" t="str">
        <f t="shared" si="17"/>
        <v/>
      </c>
      <c r="P43" s="1047" t="str">
        <f t="shared" si="17"/>
        <v/>
      </c>
      <c r="Q43" s="1047" t="str">
        <f t="shared" si="17"/>
        <v/>
      </c>
      <c r="R43" s="1047" t="str">
        <f t="shared" si="17"/>
        <v/>
      </c>
      <c r="S43" s="1047" t="str">
        <f t="shared" si="17"/>
        <v/>
      </c>
      <c r="T43" s="1048" t="str">
        <f t="shared" si="17"/>
        <v/>
      </c>
      <c r="U43" s="1046" t="str">
        <f t="shared" si="17"/>
        <v/>
      </c>
      <c r="V43" s="1047" t="str">
        <f t="shared" si="17"/>
        <v/>
      </c>
      <c r="W43" s="1047" t="str">
        <f t="shared" si="17"/>
        <v/>
      </c>
      <c r="X43" s="1047" t="str">
        <f t="shared" si="17"/>
        <v/>
      </c>
      <c r="Y43" s="1047" t="str">
        <f t="shared" si="17"/>
        <v/>
      </c>
      <c r="Z43" s="1047" t="str">
        <f t="shared" si="17"/>
        <v/>
      </c>
      <c r="AA43" s="1048" t="str">
        <f t="shared" si="17"/>
        <v/>
      </c>
      <c r="AB43" s="1046" t="str">
        <f t="shared" si="17"/>
        <v/>
      </c>
      <c r="AC43" s="1047" t="str">
        <f t="shared" si="17"/>
        <v/>
      </c>
      <c r="AD43" s="1047" t="str">
        <f t="shared" si="17"/>
        <v/>
      </c>
      <c r="AE43" s="1047" t="str">
        <f t="shared" si="17"/>
        <v/>
      </c>
      <c r="AF43" s="1047" t="str">
        <f t="shared" si="17"/>
        <v/>
      </c>
      <c r="AG43" s="1047" t="str">
        <f t="shared" si="17"/>
        <v/>
      </c>
      <c r="AH43" s="1048" t="str">
        <f t="shared" si="17"/>
        <v/>
      </c>
      <c r="AI43" s="1049" t="str">
        <f t="shared" si="17"/>
        <v/>
      </c>
      <c r="AJ43" s="1047" t="str">
        <f t="shared" si="17"/>
        <v/>
      </c>
      <c r="AK43" s="1047" t="str">
        <f t="shared" si="17"/>
        <v/>
      </c>
      <c r="AL43" s="1050">
        <f>SUM(G43:AH43)</f>
        <v>0</v>
      </c>
      <c r="AM43" s="1051">
        <f>AL43/4</f>
        <v>0</v>
      </c>
      <c r="AN43" s="1052" t="str">
        <f>IF(C42="","",C42)</f>
        <v/>
      </c>
      <c r="AO43" s="1053" t="str">
        <f>IF(D42="","",D42)</f>
        <v/>
      </c>
      <c r="AP43" s="1054" t="str">
        <f>IF(D42&lt;&gt;"",VLOOKUP(D42,$AU$2:$AV$6,2,FALSE),"")</f>
        <v/>
      </c>
      <c r="AQ43" s="1051" t="e">
        <f>ROUNDDOWN(AL43/$AL$6,2)</f>
        <v>#DIV/0!</v>
      </c>
      <c r="AR43" s="1051" t="e">
        <f>IF(AP43=1,"",AQ43)</f>
        <v>#DIV/0!</v>
      </c>
    </row>
    <row r="44" spans="1:44" ht="15.9" customHeight="1">
      <c r="A44" s="989"/>
      <c r="B44" s="2238" t="s">
        <v>1977</v>
      </c>
      <c r="C44" s="2239"/>
      <c r="D44" s="2241"/>
      <c r="E44" s="2243"/>
      <c r="F44" s="1034" t="s">
        <v>1959</v>
      </c>
      <c r="G44" s="1035"/>
      <c r="H44" s="1036"/>
      <c r="I44" s="1037"/>
      <c r="J44" s="1037"/>
      <c r="K44" s="1037"/>
      <c r="L44" s="1037"/>
      <c r="M44" s="1038"/>
      <c r="N44" s="1035"/>
      <c r="O44" s="1036"/>
      <c r="P44" s="1037"/>
      <c r="Q44" s="1037"/>
      <c r="R44" s="1037"/>
      <c r="S44" s="1037"/>
      <c r="T44" s="1038"/>
      <c r="U44" s="1035"/>
      <c r="V44" s="1036"/>
      <c r="W44" s="1037"/>
      <c r="X44" s="1037"/>
      <c r="Y44" s="1037"/>
      <c r="Z44" s="1037"/>
      <c r="AA44" s="1038"/>
      <c r="AB44" s="1035"/>
      <c r="AC44" s="1036"/>
      <c r="AD44" s="1037"/>
      <c r="AE44" s="1037"/>
      <c r="AF44" s="1037"/>
      <c r="AG44" s="1037"/>
      <c r="AH44" s="1038"/>
      <c r="AI44" s="1039"/>
      <c r="AJ44" s="1037"/>
      <c r="AK44" s="1037"/>
      <c r="AL44" s="1040">
        <f>SUM(G45:AK45)</f>
        <v>0</v>
      </c>
      <c r="AM44" s="1041"/>
      <c r="AN44" s="1042"/>
      <c r="AO44" s="1043"/>
      <c r="AP44" s="1041"/>
      <c r="AQ44" s="1044"/>
      <c r="AR44" s="1044"/>
    </row>
    <row r="45" spans="1:44" ht="15.9" customHeight="1">
      <c r="A45" s="989"/>
      <c r="B45" s="2238"/>
      <c r="C45" s="2240"/>
      <c r="D45" s="2242"/>
      <c r="E45" s="2244"/>
      <c r="F45" s="1045" t="s">
        <v>1960</v>
      </c>
      <c r="G45" s="1046" t="str">
        <f t="shared" ref="G45:AK45" si="18">IF(G44&lt;&gt;"",VLOOKUP(G44,$AC$197:$AL$221,9,FALSE),"")</f>
        <v/>
      </c>
      <c r="H45" s="1047" t="str">
        <f t="shared" si="18"/>
        <v/>
      </c>
      <c r="I45" s="1047" t="str">
        <f t="shared" si="18"/>
        <v/>
      </c>
      <c r="J45" s="1047" t="str">
        <f t="shared" si="18"/>
        <v/>
      </c>
      <c r="K45" s="1047" t="str">
        <f t="shared" si="18"/>
        <v/>
      </c>
      <c r="L45" s="1047" t="str">
        <f t="shared" si="18"/>
        <v/>
      </c>
      <c r="M45" s="1048" t="str">
        <f t="shared" si="18"/>
        <v/>
      </c>
      <c r="N45" s="1046" t="str">
        <f t="shared" si="18"/>
        <v/>
      </c>
      <c r="O45" s="1047" t="str">
        <f t="shared" si="18"/>
        <v/>
      </c>
      <c r="P45" s="1047" t="str">
        <f t="shared" si="18"/>
        <v/>
      </c>
      <c r="Q45" s="1047" t="str">
        <f t="shared" si="18"/>
        <v/>
      </c>
      <c r="R45" s="1047" t="str">
        <f t="shared" si="18"/>
        <v/>
      </c>
      <c r="S45" s="1047" t="str">
        <f t="shared" si="18"/>
        <v/>
      </c>
      <c r="T45" s="1048" t="str">
        <f t="shared" si="18"/>
        <v/>
      </c>
      <c r="U45" s="1046" t="str">
        <f t="shared" si="18"/>
        <v/>
      </c>
      <c r="V45" s="1047" t="str">
        <f t="shared" si="18"/>
        <v/>
      </c>
      <c r="W45" s="1047" t="str">
        <f t="shared" si="18"/>
        <v/>
      </c>
      <c r="X45" s="1047" t="str">
        <f t="shared" si="18"/>
        <v/>
      </c>
      <c r="Y45" s="1047" t="str">
        <f t="shared" si="18"/>
        <v/>
      </c>
      <c r="Z45" s="1047" t="str">
        <f t="shared" si="18"/>
        <v/>
      </c>
      <c r="AA45" s="1048" t="str">
        <f t="shared" si="18"/>
        <v/>
      </c>
      <c r="AB45" s="1046" t="str">
        <f t="shared" si="18"/>
        <v/>
      </c>
      <c r="AC45" s="1047" t="str">
        <f t="shared" si="18"/>
        <v/>
      </c>
      <c r="AD45" s="1047" t="str">
        <f t="shared" si="18"/>
        <v/>
      </c>
      <c r="AE45" s="1047" t="str">
        <f t="shared" si="18"/>
        <v/>
      </c>
      <c r="AF45" s="1047" t="str">
        <f t="shared" si="18"/>
        <v/>
      </c>
      <c r="AG45" s="1047" t="str">
        <f t="shared" si="18"/>
        <v/>
      </c>
      <c r="AH45" s="1048" t="str">
        <f t="shared" si="18"/>
        <v/>
      </c>
      <c r="AI45" s="1049" t="str">
        <f t="shared" si="18"/>
        <v/>
      </c>
      <c r="AJ45" s="1047" t="str">
        <f t="shared" si="18"/>
        <v/>
      </c>
      <c r="AK45" s="1047" t="str">
        <f t="shared" si="18"/>
        <v/>
      </c>
      <c r="AL45" s="1050">
        <f>SUM(G45:AH45)</f>
        <v>0</v>
      </c>
      <c r="AM45" s="1051">
        <f>AL45/4</f>
        <v>0</v>
      </c>
      <c r="AN45" s="1052" t="str">
        <f>IF(C44="","",C44)</f>
        <v/>
      </c>
      <c r="AO45" s="1053" t="str">
        <f>IF(D44="","",D44)</f>
        <v/>
      </c>
      <c r="AP45" s="1054" t="str">
        <f>IF(D44&lt;&gt;"",VLOOKUP(D44,$AU$2:$AV$6,2,FALSE),"")</f>
        <v/>
      </c>
      <c r="AQ45" s="1051" t="e">
        <f>ROUNDDOWN(AL45/$AL$6,2)</f>
        <v>#DIV/0!</v>
      </c>
      <c r="AR45" s="1051" t="e">
        <f>IF(AP45=1,"",AQ45)</f>
        <v>#DIV/0!</v>
      </c>
    </row>
    <row r="46" spans="1:44" ht="15.9" customHeight="1">
      <c r="A46" s="989"/>
      <c r="B46" s="2238" t="s">
        <v>1978</v>
      </c>
      <c r="C46" s="2239"/>
      <c r="D46" s="2241"/>
      <c r="E46" s="2243"/>
      <c r="F46" s="1034" t="s">
        <v>1959</v>
      </c>
      <c r="G46" s="1035"/>
      <c r="H46" s="1036"/>
      <c r="I46" s="1037"/>
      <c r="J46" s="1037"/>
      <c r="K46" s="1037"/>
      <c r="L46" s="1037"/>
      <c r="M46" s="1038"/>
      <c r="N46" s="1035"/>
      <c r="O46" s="1036"/>
      <c r="P46" s="1037"/>
      <c r="Q46" s="1037"/>
      <c r="R46" s="1037"/>
      <c r="S46" s="1037"/>
      <c r="T46" s="1038"/>
      <c r="U46" s="1035"/>
      <c r="V46" s="1036"/>
      <c r="W46" s="1037"/>
      <c r="X46" s="1037"/>
      <c r="Y46" s="1037"/>
      <c r="Z46" s="1037"/>
      <c r="AA46" s="1038"/>
      <c r="AB46" s="1035"/>
      <c r="AC46" s="1036"/>
      <c r="AD46" s="1037"/>
      <c r="AE46" s="1037"/>
      <c r="AF46" s="1037"/>
      <c r="AG46" s="1037"/>
      <c r="AH46" s="1038"/>
      <c r="AI46" s="1055"/>
      <c r="AJ46" s="1036"/>
      <c r="AK46" s="1036"/>
      <c r="AL46" s="1040">
        <f>SUM(G47:AK47)</f>
        <v>0</v>
      </c>
      <c r="AM46" s="1041"/>
      <c r="AN46" s="1042"/>
      <c r="AO46" s="1043"/>
      <c r="AP46" s="1041"/>
      <c r="AQ46" s="1044"/>
      <c r="AR46" s="1044"/>
    </row>
    <row r="47" spans="1:44" ht="15.9" customHeight="1">
      <c r="A47" s="989"/>
      <c r="B47" s="2238"/>
      <c r="C47" s="2240"/>
      <c r="D47" s="2242"/>
      <c r="E47" s="2244"/>
      <c r="F47" s="1045" t="s">
        <v>1960</v>
      </c>
      <c r="G47" s="1046" t="str">
        <f t="shared" ref="G47:AK47" si="19">IF(G46&lt;&gt;"",VLOOKUP(G46,$AC$197:$AL$221,9,FALSE),"")</f>
        <v/>
      </c>
      <c r="H47" s="1047" t="str">
        <f t="shared" si="19"/>
        <v/>
      </c>
      <c r="I47" s="1047" t="str">
        <f t="shared" si="19"/>
        <v/>
      </c>
      <c r="J47" s="1047" t="str">
        <f t="shared" si="19"/>
        <v/>
      </c>
      <c r="K47" s="1047" t="str">
        <f t="shared" si="19"/>
        <v/>
      </c>
      <c r="L47" s="1047" t="str">
        <f t="shared" si="19"/>
        <v/>
      </c>
      <c r="M47" s="1048" t="str">
        <f t="shared" si="19"/>
        <v/>
      </c>
      <c r="N47" s="1046" t="str">
        <f t="shared" si="19"/>
        <v/>
      </c>
      <c r="O47" s="1047" t="str">
        <f t="shared" si="19"/>
        <v/>
      </c>
      <c r="P47" s="1047" t="str">
        <f t="shared" si="19"/>
        <v/>
      </c>
      <c r="Q47" s="1047" t="str">
        <f t="shared" si="19"/>
        <v/>
      </c>
      <c r="R47" s="1047" t="str">
        <f t="shared" si="19"/>
        <v/>
      </c>
      <c r="S47" s="1047" t="str">
        <f t="shared" si="19"/>
        <v/>
      </c>
      <c r="T47" s="1048" t="str">
        <f t="shared" si="19"/>
        <v/>
      </c>
      <c r="U47" s="1046" t="str">
        <f t="shared" si="19"/>
        <v/>
      </c>
      <c r="V47" s="1047" t="str">
        <f t="shared" si="19"/>
        <v/>
      </c>
      <c r="W47" s="1047" t="str">
        <f t="shared" si="19"/>
        <v/>
      </c>
      <c r="X47" s="1047" t="str">
        <f t="shared" si="19"/>
        <v/>
      </c>
      <c r="Y47" s="1047" t="str">
        <f t="shared" si="19"/>
        <v/>
      </c>
      <c r="Z47" s="1047" t="str">
        <f t="shared" si="19"/>
        <v/>
      </c>
      <c r="AA47" s="1048" t="str">
        <f t="shared" si="19"/>
        <v/>
      </c>
      <c r="AB47" s="1046" t="str">
        <f t="shared" si="19"/>
        <v/>
      </c>
      <c r="AC47" s="1047" t="str">
        <f t="shared" si="19"/>
        <v/>
      </c>
      <c r="AD47" s="1047" t="str">
        <f t="shared" si="19"/>
        <v/>
      </c>
      <c r="AE47" s="1047" t="str">
        <f t="shared" si="19"/>
        <v/>
      </c>
      <c r="AF47" s="1047" t="str">
        <f t="shared" si="19"/>
        <v/>
      </c>
      <c r="AG47" s="1047" t="str">
        <f t="shared" si="19"/>
        <v/>
      </c>
      <c r="AH47" s="1048" t="str">
        <f t="shared" si="19"/>
        <v/>
      </c>
      <c r="AI47" s="1049" t="str">
        <f t="shared" si="19"/>
        <v/>
      </c>
      <c r="AJ47" s="1047" t="str">
        <f t="shared" si="19"/>
        <v/>
      </c>
      <c r="AK47" s="1047" t="str">
        <f t="shared" si="19"/>
        <v/>
      </c>
      <c r="AL47" s="1050">
        <f>SUM(G47:AH47)</f>
        <v>0</v>
      </c>
      <c r="AM47" s="1051">
        <f>AL47/4</f>
        <v>0</v>
      </c>
      <c r="AN47" s="1052" t="str">
        <f>IF(C46="","",C46)</f>
        <v/>
      </c>
      <c r="AO47" s="1053" t="str">
        <f>IF(D46="","",D46)</f>
        <v/>
      </c>
      <c r="AP47" s="1054" t="str">
        <f>IF(D46&lt;&gt;"",VLOOKUP(D46,$AU$2:$AV$6,2,FALSE),"")</f>
        <v/>
      </c>
      <c r="AQ47" s="1051" t="e">
        <f>ROUNDDOWN(AL47/$AL$6,2)</f>
        <v>#DIV/0!</v>
      </c>
      <c r="AR47" s="1051" t="e">
        <f>IF(AP47=1,"",AQ47)</f>
        <v>#DIV/0!</v>
      </c>
    </row>
    <row r="48" spans="1:44" ht="15.9" customHeight="1">
      <c r="A48" s="989"/>
      <c r="B48" s="2238" t="s">
        <v>1979</v>
      </c>
      <c r="C48" s="2239"/>
      <c r="D48" s="2241"/>
      <c r="E48" s="2243"/>
      <c r="F48" s="1034" t="s">
        <v>1959</v>
      </c>
      <c r="G48" s="1035"/>
      <c r="H48" s="1036"/>
      <c r="I48" s="1037"/>
      <c r="J48" s="1037"/>
      <c r="K48" s="1037"/>
      <c r="L48" s="1037"/>
      <c r="M48" s="1038"/>
      <c r="N48" s="1035"/>
      <c r="O48" s="1036"/>
      <c r="P48" s="1037"/>
      <c r="Q48" s="1037"/>
      <c r="R48" s="1037"/>
      <c r="S48" s="1037"/>
      <c r="T48" s="1038"/>
      <c r="U48" s="1035"/>
      <c r="V48" s="1036"/>
      <c r="W48" s="1037"/>
      <c r="X48" s="1037"/>
      <c r="Y48" s="1037"/>
      <c r="Z48" s="1037"/>
      <c r="AA48" s="1038"/>
      <c r="AB48" s="1035"/>
      <c r="AC48" s="1036"/>
      <c r="AD48" s="1037"/>
      <c r="AE48" s="1037"/>
      <c r="AF48" s="1037"/>
      <c r="AG48" s="1037"/>
      <c r="AH48" s="1038"/>
      <c r="AI48" s="1055"/>
      <c r="AJ48" s="1036"/>
      <c r="AK48" s="1036"/>
      <c r="AL48" s="1040">
        <f>SUM(G49:AK49)</f>
        <v>0</v>
      </c>
      <c r="AM48" s="1041"/>
      <c r="AN48" s="1042"/>
      <c r="AO48" s="1043"/>
      <c r="AP48" s="1041"/>
      <c r="AQ48" s="1044"/>
      <c r="AR48" s="1044"/>
    </row>
    <row r="49" spans="1:44" ht="15.9" customHeight="1">
      <c r="A49" s="989"/>
      <c r="B49" s="2238"/>
      <c r="C49" s="2240"/>
      <c r="D49" s="2242"/>
      <c r="E49" s="2244"/>
      <c r="F49" s="1045" t="s">
        <v>1960</v>
      </c>
      <c r="G49" s="1046" t="str">
        <f t="shared" ref="G49:AK49" si="20">IF(G48&lt;&gt;"",VLOOKUP(G48,$AC$197:$AL$221,9,FALSE),"")</f>
        <v/>
      </c>
      <c r="H49" s="1047" t="str">
        <f t="shared" si="20"/>
        <v/>
      </c>
      <c r="I49" s="1047" t="str">
        <f t="shared" si="20"/>
        <v/>
      </c>
      <c r="J49" s="1047" t="str">
        <f t="shared" si="20"/>
        <v/>
      </c>
      <c r="K49" s="1047" t="str">
        <f t="shared" si="20"/>
        <v/>
      </c>
      <c r="L49" s="1047" t="str">
        <f t="shared" si="20"/>
        <v/>
      </c>
      <c r="M49" s="1048" t="str">
        <f t="shared" si="20"/>
        <v/>
      </c>
      <c r="N49" s="1046" t="str">
        <f t="shared" si="20"/>
        <v/>
      </c>
      <c r="O49" s="1047" t="str">
        <f t="shared" si="20"/>
        <v/>
      </c>
      <c r="P49" s="1047" t="str">
        <f t="shared" si="20"/>
        <v/>
      </c>
      <c r="Q49" s="1047" t="str">
        <f t="shared" si="20"/>
        <v/>
      </c>
      <c r="R49" s="1047" t="str">
        <f t="shared" si="20"/>
        <v/>
      </c>
      <c r="S49" s="1047" t="str">
        <f t="shared" si="20"/>
        <v/>
      </c>
      <c r="T49" s="1048" t="str">
        <f t="shared" si="20"/>
        <v/>
      </c>
      <c r="U49" s="1046" t="str">
        <f t="shared" si="20"/>
        <v/>
      </c>
      <c r="V49" s="1047" t="str">
        <f t="shared" si="20"/>
        <v/>
      </c>
      <c r="W49" s="1047" t="str">
        <f t="shared" si="20"/>
        <v/>
      </c>
      <c r="X49" s="1047" t="str">
        <f t="shared" si="20"/>
        <v/>
      </c>
      <c r="Y49" s="1047" t="str">
        <f t="shared" si="20"/>
        <v/>
      </c>
      <c r="Z49" s="1047" t="str">
        <f t="shared" si="20"/>
        <v/>
      </c>
      <c r="AA49" s="1048" t="str">
        <f t="shared" si="20"/>
        <v/>
      </c>
      <c r="AB49" s="1046" t="str">
        <f t="shared" si="20"/>
        <v/>
      </c>
      <c r="AC49" s="1047" t="str">
        <f t="shared" si="20"/>
        <v/>
      </c>
      <c r="AD49" s="1047" t="str">
        <f t="shared" si="20"/>
        <v/>
      </c>
      <c r="AE49" s="1047" t="str">
        <f t="shared" si="20"/>
        <v/>
      </c>
      <c r="AF49" s="1047" t="str">
        <f t="shared" si="20"/>
        <v/>
      </c>
      <c r="AG49" s="1047" t="str">
        <f t="shared" si="20"/>
        <v/>
      </c>
      <c r="AH49" s="1048" t="str">
        <f t="shared" si="20"/>
        <v/>
      </c>
      <c r="AI49" s="1049" t="str">
        <f t="shared" si="20"/>
        <v/>
      </c>
      <c r="AJ49" s="1047" t="str">
        <f t="shared" si="20"/>
        <v/>
      </c>
      <c r="AK49" s="1047" t="str">
        <f t="shared" si="20"/>
        <v/>
      </c>
      <c r="AL49" s="1050">
        <f>SUM(G49:AH49)</f>
        <v>0</v>
      </c>
      <c r="AM49" s="1051">
        <f>AL49/4</f>
        <v>0</v>
      </c>
      <c r="AN49" s="1052" t="str">
        <f>IF(C48="","",C48)</f>
        <v/>
      </c>
      <c r="AO49" s="1053" t="str">
        <f>IF(D48="","",D48)</f>
        <v/>
      </c>
      <c r="AP49" s="1054" t="str">
        <f>IF(D48&lt;&gt;"",VLOOKUP(D48,$AU$2:$AV$6,2,FALSE),"")</f>
        <v/>
      </c>
      <c r="AQ49" s="1051" t="e">
        <f>ROUNDDOWN(AL49/$AL$6,2)</f>
        <v>#DIV/0!</v>
      </c>
      <c r="AR49" s="1051" t="e">
        <f>IF(AP49=1,"",AQ49)</f>
        <v>#DIV/0!</v>
      </c>
    </row>
    <row r="50" spans="1:44" ht="15.9" customHeight="1">
      <c r="A50" s="989"/>
      <c r="B50" s="2238" t="s">
        <v>1980</v>
      </c>
      <c r="C50" s="2239"/>
      <c r="D50" s="2241"/>
      <c r="E50" s="2243"/>
      <c r="F50" s="1034" t="s">
        <v>1959</v>
      </c>
      <c r="G50" s="1035"/>
      <c r="H50" s="1036"/>
      <c r="I50" s="1037"/>
      <c r="J50" s="1037"/>
      <c r="K50" s="1037"/>
      <c r="L50" s="1037"/>
      <c r="M50" s="1038"/>
      <c r="N50" s="1035"/>
      <c r="O50" s="1036"/>
      <c r="P50" s="1037"/>
      <c r="Q50" s="1037"/>
      <c r="R50" s="1037"/>
      <c r="S50" s="1037"/>
      <c r="T50" s="1038"/>
      <c r="U50" s="1035"/>
      <c r="V50" s="1036"/>
      <c r="W50" s="1037"/>
      <c r="X50" s="1037"/>
      <c r="Y50" s="1037"/>
      <c r="Z50" s="1037"/>
      <c r="AA50" s="1038"/>
      <c r="AB50" s="1035"/>
      <c r="AC50" s="1036"/>
      <c r="AD50" s="1037"/>
      <c r="AE50" s="1037"/>
      <c r="AF50" s="1037"/>
      <c r="AG50" s="1037"/>
      <c r="AH50" s="1038"/>
      <c r="AI50" s="1039"/>
      <c r="AJ50" s="1037"/>
      <c r="AK50" s="1037"/>
      <c r="AL50" s="1040">
        <f>SUM(G51:AK51)</f>
        <v>0</v>
      </c>
      <c r="AM50" s="1041"/>
      <c r="AN50" s="1042"/>
      <c r="AO50" s="1043"/>
      <c r="AP50" s="1041"/>
      <c r="AQ50" s="1044"/>
      <c r="AR50" s="1044"/>
    </row>
    <row r="51" spans="1:44" ht="15.9" customHeight="1">
      <c r="A51" s="989"/>
      <c r="B51" s="2238"/>
      <c r="C51" s="2240"/>
      <c r="D51" s="2242"/>
      <c r="E51" s="2244"/>
      <c r="F51" s="1045" t="s">
        <v>1960</v>
      </c>
      <c r="G51" s="1046" t="str">
        <f t="shared" ref="G51:AK51" si="21">IF(G50&lt;&gt;"",VLOOKUP(G50,$AC$197:$AL$221,9,FALSE),"")</f>
        <v/>
      </c>
      <c r="H51" s="1047" t="str">
        <f t="shared" si="21"/>
        <v/>
      </c>
      <c r="I51" s="1047" t="str">
        <f t="shared" si="21"/>
        <v/>
      </c>
      <c r="J51" s="1047" t="str">
        <f t="shared" si="21"/>
        <v/>
      </c>
      <c r="K51" s="1047" t="str">
        <f t="shared" si="21"/>
        <v/>
      </c>
      <c r="L51" s="1047" t="str">
        <f t="shared" si="21"/>
        <v/>
      </c>
      <c r="M51" s="1048" t="str">
        <f t="shared" si="21"/>
        <v/>
      </c>
      <c r="N51" s="1046" t="str">
        <f t="shared" si="21"/>
        <v/>
      </c>
      <c r="O51" s="1047" t="str">
        <f t="shared" si="21"/>
        <v/>
      </c>
      <c r="P51" s="1047" t="str">
        <f t="shared" si="21"/>
        <v/>
      </c>
      <c r="Q51" s="1047" t="str">
        <f t="shared" si="21"/>
        <v/>
      </c>
      <c r="R51" s="1047" t="str">
        <f t="shared" si="21"/>
        <v/>
      </c>
      <c r="S51" s="1047" t="str">
        <f t="shared" si="21"/>
        <v/>
      </c>
      <c r="T51" s="1048" t="str">
        <f t="shared" si="21"/>
        <v/>
      </c>
      <c r="U51" s="1046" t="str">
        <f t="shared" si="21"/>
        <v/>
      </c>
      <c r="V51" s="1047" t="str">
        <f t="shared" si="21"/>
        <v/>
      </c>
      <c r="W51" s="1047" t="str">
        <f t="shared" si="21"/>
        <v/>
      </c>
      <c r="X51" s="1047" t="str">
        <f t="shared" si="21"/>
        <v/>
      </c>
      <c r="Y51" s="1047" t="str">
        <f t="shared" si="21"/>
        <v/>
      </c>
      <c r="Z51" s="1047" t="str">
        <f t="shared" si="21"/>
        <v/>
      </c>
      <c r="AA51" s="1048" t="str">
        <f t="shared" si="21"/>
        <v/>
      </c>
      <c r="AB51" s="1046" t="str">
        <f t="shared" si="21"/>
        <v/>
      </c>
      <c r="AC51" s="1047" t="str">
        <f t="shared" si="21"/>
        <v/>
      </c>
      <c r="AD51" s="1047" t="str">
        <f t="shared" si="21"/>
        <v/>
      </c>
      <c r="AE51" s="1047" t="str">
        <f t="shared" si="21"/>
        <v/>
      </c>
      <c r="AF51" s="1047" t="str">
        <f t="shared" si="21"/>
        <v/>
      </c>
      <c r="AG51" s="1047" t="str">
        <f t="shared" si="21"/>
        <v/>
      </c>
      <c r="AH51" s="1048" t="str">
        <f t="shared" si="21"/>
        <v/>
      </c>
      <c r="AI51" s="1049" t="str">
        <f t="shared" si="21"/>
        <v/>
      </c>
      <c r="AJ51" s="1047" t="str">
        <f t="shared" si="21"/>
        <v/>
      </c>
      <c r="AK51" s="1047" t="str">
        <f t="shared" si="21"/>
        <v/>
      </c>
      <c r="AL51" s="1050">
        <f>SUM(G51:AH51)</f>
        <v>0</v>
      </c>
      <c r="AM51" s="1051">
        <f>AL51/4</f>
        <v>0</v>
      </c>
      <c r="AN51" s="1052" t="str">
        <f>IF(C50="","",C50)</f>
        <v/>
      </c>
      <c r="AO51" s="1053" t="str">
        <f>IF(D50="","",D50)</f>
        <v/>
      </c>
      <c r="AP51" s="1054" t="str">
        <f>IF(D50&lt;&gt;"",VLOOKUP(D50,$AU$2:$AV$6,2,FALSE),"")</f>
        <v/>
      </c>
      <c r="AQ51" s="1051" t="e">
        <f>ROUNDDOWN(AL51/$AL$6,2)</f>
        <v>#DIV/0!</v>
      </c>
      <c r="AR51" s="1051" t="e">
        <f>IF(AP51=1,"",AQ51)</f>
        <v>#DIV/0!</v>
      </c>
    </row>
    <row r="52" spans="1:44" ht="15.9" customHeight="1">
      <c r="A52" s="989"/>
      <c r="B52" s="2238" t="s">
        <v>1981</v>
      </c>
      <c r="C52" s="2239"/>
      <c r="D52" s="2241"/>
      <c r="E52" s="2243"/>
      <c r="F52" s="1034" t="s">
        <v>1959</v>
      </c>
      <c r="G52" s="1035"/>
      <c r="H52" s="1036"/>
      <c r="I52" s="1037"/>
      <c r="J52" s="1037"/>
      <c r="K52" s="1037"/>
      <c r="L52" s="1037"/>
      <c r="M52" s="1038"/>
      <c r="N52" s="1035"/>
      <c r="O52" s="1036"/>
      <c r="P52" s="1037"/>
      <c r="Q52" s="1037"/>
      <c r="R52" s="1037"/>
      <c r="S52" s="1037"/>
      <c r="T52" s="1038"/>
      <c r="U52" s="1035"/>
      <c r="V52" s="1036"/>
      <c r="W52" s="1037"/>
      <c r="X52" s="1037"/>
      <c r="Y52" s="1037"/>
      <c r="Z52" s="1037"/>
      <c r="AA52" s="1038"/>
      <c r="AB52" s="1035"/>
      <c r="AC52" s="1036"/>
      <c r="AD52" s="1037"/>
      <c r="AE52" s="1037"/>
      <c r="AF52" s="1037"/>
      <c r="AG52" s="1037"/>
      <c r="AH52" s="1038"/>
      <c r="AI52" s="1039"/>
      <c r="AJ52" s="1037"/>
      <c r="AK52" s="1037"/>
      <c r="AL52" s="1040">
        <f>SUM(G53:AK53)</f>
        <v>0</v>
      </c>
      <c r="AM52" s="1041"/>
      <c r="AN52" s="1042"/>
      <c r="AO52" s="1043"/>
      <c r="AP52" s="1041"/>
      <c r="AQ52" s="1044"/>
      <c r="AR52" s="1044"/>
    </row>
    <row r="53" spans="1:44" ht="15.9" customHeight="1">
      <c r="A53" s="989"/>
      <c r="B53" s="2238"/>
      <c r="C53" s="2240"/>
      <c r="D53" s="2242"/>
      <c r="E53" s="2244"/>
      <c r="F53" s="1045" t="s">
        <v>1960</v>
      </c>
      <c r="G53" s="1046" t="str">
        <f t="shared" ref="G53:AK53" si="22">IF(G52&lt;&gt;"",VLOOKUP(G52,$AC$197:$AL$221,9,FALSE),"")</f>
        <v/>
      </c>
      <c r="H53" s="1047" t="str">
        <f t="shared" si="22"/>
        <v/>
      </c>
      <c r="I53" s="1047" t="str">
        <f t="shared" si="22"/>
        <v/>
      </c>
      <c r="J53" s="1047" t="str">
        <f t="shared" si="22"/>
        <v/>
      </c>
      <c r="K53" s="1047" t="str">
        <f t="shared" si="22"/>
        <v/>
      </c>
      <c r="L53" s="1047" t="str">
        <f t="shared" si="22"/>
        <v/>
      </c>
      <c r="M53" s="1048" t="str">
        <f t="shared" si="22"/>
        <v/>
      </c>
      <c r="N53" s="1046" t="str">
        <f t="shared" si="22"/>
        <v/>
      </c>
      <c r="O53" s="1047" t="str">
        <f t="shared" si="22"/>
        <v/>
      </c>
      <c r="P53" s="1047" t="str">
        <f t="shared" si="22"/>
        <v/>
      </c>
      <c r="Q53" s="1047" t="str">
        <f t="shared" si="22"/>
        <v/>
      </c>
      <c r="R53" s="1047" t="str">
        <f t="shared" si="22"/>
        <v/>
      </c>
      <c r="S53" s="1047" t="str">
        <f t="shared" si="22"/>
        <v/>
      </c>
      <c r="T53" s="1048" t="str">
        <f t="shared" si="22"/>
        <v/>
      </c>
      <c r="U53" s="1046" t="str">
        <f t="shared" si="22"/>
        <v/>
      </c>
      <c r="V53" s="1047" t="str">
        <f t="shared" si="22"/>
        <v/>
      </c>
      <c r="W53" s="1047" t="str">
        <f t="shared" si="22"/>
        <v/>
      </c>
      <c r="X53" s="1047" t="str">
        <f t="shared" si="22"/>
        <v/>
      </c>
      <c r="Y53" s="1047" t="str">
        <f t="shared" si="22"/>
        <v/>
      </c>
      <c r="Z53" s="1047" t="str">
        <f t="shared" si="22"/>
        <v/>
      </c>
      <c r="AA53" s="1048" t="str">
        <f t="shared" si="22"/>
        <v/>
      </c>
      <c r="AB53" s="1046" t="str">
        <f t="shared" si="22"/>
        <v/>
      </c>
      <c r="AC53" s="1047" t="str">
        <f t="shared" si="22"/>
        <v/>
      </c>
      <c r="AD53" s="1047" t="str">
        <f t="shared" si="22"/>
        <v/>
      </c>
      <c r="AE53" s="1047" t="str">
        <f t="shared" si="22"/>
        <v/>
      </c>
      <c r="AF53" s="1047" t="str">
        <f t="shared" si="22"/>
        <v/>
      </c>
      <c r="AG53" s="1047" t="str">
        <f t="shared" si="22"/>
        <v/>
      </c>
      <c r="AH53" s="1048" t="str">
        <f t="shared" si="22"/>
        <v/>
      </c>
      <c r="AI53" s="1049" t="str">
        <f t="shared" si="22"/>
        <v/>
      </c>
      <c r="AJ53" s="1047" t="str">
        <f t="shared" si="22"/>
        <v/>
      </c>
      <c r="AK53" s="1047" t="str">
        <f t="shared" si="22"/>
        <v/>
      </c>
      <c r="AL53" s="1050">
        <f>SUM(G53:AH53)</f>
        <v>0</v>
      </c>
      <c r="AM53" s="1051">
        <f>AL53/4</f>
        <v>0</v>
      </c>
      <c r="AN53" s="1052" t="str">
        <f>IF(C52="","",C52)</f>
        <v/>
      </c>
      <c r="AO53" s="1053" t="str">
        <f>IF(D52="","",D52)</f>
        <v/>
      </c>
      <c r="AP53" s="1054" t="str">
        <f>IF(D52&lt;&gt;"",VLOOKUP(D52,$AU$2:$AV$6,2,FALSE),"")</f>
        <v/>
      </c>
      <c r="AQ53" s="1051" t="e">
        <f>ROUNDDOWN(AL53/$AL$6,2)</f>
        <v>#DIV/0!</v>
      </c>
      <c r="AR53" s="1051" t="e">
        <f>IF(AP53=1,"",AQ53)</f>
        <v>#DIV/0!</v>
      </c>
    </row>
    <row r="54" spans="1:44" ht="15.9" customHeight="1">
      <c r="A54" s="989"/>
      <c r="B54" s="2238" t="s">
        <v>1982</v>
      </c>
      <c r="C54" s="2239"/>
      <c r="D54" s="2241"/>
      <c r="E54" s="2243"/>
      <c r="F54" s="1034" t="s">
        <v>1959</v>
      </c>
      <c r="G54" s="1035"/>
      <c r="H54" s="1036"/>
      <c r="I54" s="1037"/>
      <c r="J54" s="1037"/>
      <c r="K54" s="1037"/>
      <c r="L54" s="1037"/>
      <c r="M54" s="1038"/>
      <c r="N54" s="1035"/>
      <c r="O54" s="1036"/>
      <c r="P54" s="1037"/>
      <c r="Q54" s="1037"/>
      <c r="R54" s="1037"/>
      <c r="S54" s="1037"/>
      <c r="T54" s="1038"/>
      <c r="U54" s="1035"/>
      <c r="V54" s="1036"/>
      <c r="W54" s="1037"/>
      <c r="X54" s="1037"/>
      <c r="Y54" s="1037"/>
      <c r="Z54" s="1037"/>
      <c r="AA54" s="1038"/>
      <c r="AB54" s="1035"/>
      <c r="AC54" s="1036"/>
      <c r="AD54" s="1037"/>
      <c r="AE54" s="1037"/>
      <c r="AF54" s="1037"/>
      <c r="AG54" s="1037"/>
      <c r="AH54" s="1038"/>
      <c r="AI54" s="1055"/>
      <c r="AJ54" s="1036"/>
      <c r="AK54" s="1036"/>
      <c r="AL54" s="1040">
        <f>SUM(G55:AK55)</f>
        <v>0</v>
      </c>
      <c r="AM54" s="1041"/>
      <c r="AN54" s="1042"/>
      <c r="AO54" s="1043"/>
      <c r="AP54" s="1041"/>
      <c r="AQ54" s="1044"/>
      <c r="AR54" s="1044"/>
    </row>
    <row r="55" spans="1:44" ht="15.9" customHeight="1">
      <c r="A55" s="989"/>
      <c r="B55" s="2238"/>
      <c r="C55" s="2240"/>
      <c r="D55" s="2242"/>
      <c r="E55" s="2244"/>
      <c r="F55" s="1045" t="s">
        <v>1960</v>
      </c>
      <c r="G55" s="1046" t="str">
        <f t="shared" ref="G55:AK55" si="23">IF(G54&lt;&gt;"",VLOOKUP(G54,$AC$197:$AL$221,9,FALSE),"")</f>
        <v/>
      </c>
      <c r="H55" s="1047" t="str">
        <f t="shared" si="23"/>
        <v/>
      </c>
      <c r="I55" s="1047" t="str">
        <f t="shared" si="23"/>
        <v/>
      </c>
      <c r="J55" s="1047" t="str">
        <f t="shared" si="23"/>
        <v/>
      </c>
      <c r="K55" s="1047" t="str">
        <f t="shared" si="23"/>
        <v/>
      </c>
      <c r="L55" s="1047" t="str">
        <f t="shared" si="23"/>
        <v/>
      </c>
      <c r="M55" s="1048" t="str">
        <f t="shared" si="23"/>
        <v/>
      </c>
      <c r="N55" s="1046" t="str">
        <f t="shared" si="23"/>
        <v/>
      </c>
      <c r="O55" s="1047" t="str">
        <f t="shared" si="23"/>
        <v/>
      </c>
      <c r="P55" s="1047" t="str">
        <f t="shared" si="23"/>
        <v/>
      </c>
      <c r="Q55" s="1047" t="str">
        <f t="shared" si="23"/>
        <v/>
      </c>
      <c r="R55" s="1047" t="str">
        <f t="shared" si="23"/>
        <v/>
      </c>
      <c r="S55" s="1047" t="str">
        <f t="shared" si="23"/>
        <v/>
      </c>
      <c r="T55" s="1048" t="str">
        <f t="shared" si="23"/>
        <v/>
      </c>
      <c r="U55" s="1046" t="str">
        <f t="shared" si="23"/>
        <v/>
      </c>
      <c r="V55" s="1047" t="str">
        <f t="shared" si="23"/>
        <v/>
      </c>
      <c r="W55" s="1047" t="str">
        <f t="shared" si="23"/>
        <v/>
      </c>
      <c r="X55" s="1047" t="str">
        <f t="shared" si="23"/>
        <v/>
      </c>
      <c r="Y55" s="1047" t="str">
        <f t="shared" si="23"/>
        <v/>
      </c>
      <c r="Z55" s="1047" t="str">
        <f t="shared" si="23"/>
        <v/>
      </c>
      <c r="AA55" s="1048" t="str">
        <f t="shared" si="23"/>
        <v/>
      </c>
      <c r="AB55" s="1046" t="str">
        <f t="shared" si="23"/>
        <v/>
      </c>
      <c r="AC55" s="1047" t="str">
        <f t="shared" si="23"/>
        <v/>
      </c>
      <c r="AD55" s="1047" t="str">
        <f t="shared" si="23"/>
        <v/>
      </c>
      <c r="AE55" s="1047" t="str">
        <f t="shared" si="23"/>
        <v/>
      </c>
      <c r="AF55" s="1047" t="str">
        <f t="shared" si="23"/>
        <v/>
      </c>
      <c r="AG55" s="1047" t="str">
        <f t="shared" si="23"/>
        <v/>
      </c>
      <c r="AH55" s="1048" t="str">
        <f t="shared" si="23"/>
        <v/>
      </c>
      <c r="AI55" s="1049" t="str">
        <f t="shared" si="23"/>
        <v/>
      </c>
      <c r="AJ55" s="1047" t="str">
        <f t="shared" si="23"/>
        <v/>
      </c>
      <c r="AK55" s="1047" t="str">
        <f t="shared" si="23"/>
        <v/>
      </c>
      <c r="AL55" s="1050">
        <f>SUM(G55:AH55)</f>
        <v>0</v>
      </c>
      <c r="AM55" s="1051">
        <f>AL55/4</f>
        <v>0</v>
      </c>
      <c r="AN55" s="1052" t="str">
        <f>IF(C54="","",C54)</f>
        <v/>
      </c>
      <c r="AO55" s="1053" t="str">
        <f>IF(D54="","",D54)</f>
        <v/>
      </c>
      <c r="AP55" s="1054" t="str">
        <f>IF(D54&lt;&gt;"",VLOOKUP(D54,$AU$2:$AV$6,2,FALSE),"")</f>
        <v/>
      </c>
      <c r="AQ55" s="1051" t="e">
        <f>ROUNDDOWN(AL55/$AL$6,2)</f>
        <v>#DIV/0!</v>
      </c>
      <c r="AR55" s="1051" t="e">
        <f>IF(AP55=1,"",AQ55)</f>
        <v>#DIV/0!</v>
      </c>
    </row>
    <row r="56" spans="1:44" ht="15.9" customHeight="1">
      <c r="A56" s="989"/>
      <c r="B56" s="2238" t="s">
        <v>1983</v>
      </c>
      <c r="C56" s="2239"/>
      <c r="D56" s="2241"/>
      <c r="E56" s="2243"/>
      <c r="F56" s="1034" t="s">
        <v>1959</v>
      </c>
      <c r="G56" s="1035"/>
      <c r="H56" s="1036"/>
      <c r="I56" s="1037"/>
      <c r="J56" s="1037"/>
      <c r="K56" s="1037"/>
      <c r="L56" s="1037"/>
      <c r="M56" s="1038"/>
      <c r="N56" s="1035"/>
      <c r="O56" s="1036"/>
      <c r="P56" s="1037"/>
      <c r="Q56" s="1037"/>
      <c r="R56" s="1037"/>
      <c r="S56" s="1037"/>
      <c r="T56" s="1038"/>
      <c r="U56" s="1035"/>
      <c r="V56" s="1036"/>
      <c r="W56" s="1037"/>
      <c r="X56" s="1037"/>
      <c r="Y56" s="1037"/>
      <c r="Z56" s="1037"/>
      <c r="AA56" s="1038"/>
      <c r="AB56" s="1035"/>
      <c r="AC56" s="1036"/>
      <c r="AD56" s="1037"/>
      <c r="AE56" s="1037"/>
      <c r="AF56" s="1037"/>
      <c r="AG56" s="1037"/>
      <c r="AH56" s="1038"/>
      <c r="AI56" s="1055"/>
      <c r="AJ56" s="1036"/>
      <c r="AK56" s="1036"/>
      <c r="AL56" s="1040">
        <f>SUM(G57:AK57)</f>
        <v>0</v>
      </c>
      <c r="AM56" s="1041"/>
      <c r="AN56" s="1042"/>
      <c r="AO56" s="1043"/>
      <c r="AP56" s="1041"/>
      <c r="AQ56" s="1044"/>
      <c r="AR56" s="1044"/>
    </row>
    <row r="57" spans="1:44" ht="15.9" customHeight="1">
      <c r="A57" s="989"/>
      <c r="B57" s="2238"/>
      <c r="C57" s="2240"/>
      <c r="D57" s="2242"/>
      <c r="E57" s="2244"/>
      <c r="F57" s="1045" t="s">
        <v>1960</v>
      </c>
      <c r="G57" s="1046" t="str">
        <f t="shared" ref="G57:AK57" si="24">IF(G56&lt;&gt;"",VLOOKUP(G56,$AC$197:$AL$221,9,FALSE),"")</f>
        <v/>
      </c>
      <c r="H57" s="1047" t="str">
        <f t="shared" si="24"/>
        <v/>
      </c>
      <c r="I57" s="1047" t="str">
        <f t="shared" si="24"/>
        <v/>
      </c>
      <c r="J57" s="1047" t="str">
        <f t="shared" si="24"/>
        <v/>
      </c>
      <c r="K57" s="1047" t="str">
        <f t="shared" si="24"/>
        <v/>
      </c>
      <c r="L57" s="1047" t="str">
        <f t="shared" si="24"/>
        <v/>
      </c>
      <c r="M57" s="1048" t="str">
        <f t="shared" si="24"/>
        <v/>
      </c>
      <c r="N57" s="1046" t="str">
        <f t="shared" si="24"/>
        <v/>
      </c>
      <c r="O57" s="1047" t="str">
        <f t="shared" si="24"/>
        <v/>
      </c>
      <c r="P57" s="1047" t="str">
        <f t="shared" si="24"/>
        <v/>
      </c>
      <c r="Q57" s="1047" t="str">
        <f t="shared" si="24"/>
        <v/>
      </c>
      <c r="R57" s="1047" t="str">
        <f t="shared" si="24"/>
        <v/>
      </c>
      <c r="S57" s="1047" t="str">
        <f t="shared" si="24"/>
        <v/>
      </c>
      <c r="T57" s="1048" t="str">
        <f t="shared" si="24"/>
        <v/>
      </c>
      <c r="U57" s="1046" t="str">
        <f t="shared" si="24"/>
        <v/>
      </c>
      <c r="V57" s="1047" t="str">
        <f t="shared" si="24"/>
        <v/>
      </c>
      <c r="W57" s="1047" t="str">
        <f t="shared" si="24"/>
        <v/>
      </c>
      <c r="X57" s="1047" t="str">
        <f t="shared" si="24"/>
        <v/>
      </c>
      <c r="Y57" s="1047" t="str">
        <f t="shared" si="24"/>
        <v/>
      </c>
      <c r="Z57" s="1047" t="str">
        <f t="shared" si="24"/>
        <v/>
      </c>
      <c r="AA57" s="1048" t="str">
        <f t="shared" si="24"/>
        <v/>
      </c>
      <c r="AB57" s="1046" t="str">
        <f t="shared" si="24"/>
        <v/>
      </c>
      <c r="AC57" s="1047" t="str">
        <f t="shared" si="24"/>
        <v/>
      </c>
      <c r="AD57" s="1047" t="str">
        <f t="shared" si="24"/>
        <v/>
      </c>
      <c r="AE57" s="1047" t="str">
        <f t="shared" si="24"/>
        <v/>
      </c>
      <c r="AF57" s="1047" t="str">
        <f t="shared" si="24"/>
        <v/>
      </c>
      <c r="AG57" s="1047" t="str">
        <f t="shared" si="24"/>
        <v/>
      </c>
      <c r="AH57" s="1048" t="str">
        <f t="shared" si="24"/>
        <v/>
      </c>
      <c r="AI57" s="1049" t="str">
        <f t="shared" si="24"/>
        <v/>
      </c>
      <c r="AJ57" s="1047" t="str">
        <f t="shared" si="24"/>
        <v/>
      </c>
      <c r="AK57" s="1047" t="str">
        <f t="shared" si="24"/>
        <v/>
      </c>
      <c r="AL57" s="1050">
        <f>SUM(G57:AH57)</f>
        <v>0</v>
      </c>
      <c r="AM57" s="1051">
        <f>AL57/4</f>
        <v>0</v>
      </c>
      <c r="AN57" s="1052" t="str">
        <f>IF(C56="","",C56)</f>
        <v/>
      </c>
      <c r="AO57" s="1053" t="str">
        <f>IF(D56="","",D56)</f>
        <v/>
      </c>
      <c r="AP57" s="1054" t="str">
        <f>IF(D56&lt;&gt;"",VLOOKUP(D56,$AU$2:$AV$6,2,FALSE),"")</f>
        <v/>
      </c>
      <c r="AQ57" s="1051" t="e">
        <f>ROUNDDOWN(AL57/$AL$6,2)</f>
        <v>#DIV/0!</v>
      </c>
      <c r="AR57" s="1051" t="e">
        <f>IF(AP57=1,"",AQ57)</f>
        <v>#DIV/0!</v>
      </c>
    </row>
    <row r="58" spans="1:44" ht="15.9" customHeight="1">
      <c r="A58" s="989"/>
      <c r="B58" s="2238" t="s">
        <v>1984</v>
      </c>
      <c r="C58" s="2239"/>
      <c r="D58" s="2241"/>
      <c r="E58" s="2243"/>
      <c r="F58" s="1034" t="s">
        <v>1959</v>
      </c>
      <c r="G58" s="1035"/>
      <c r="H58" s="1036"/>
      <c r="I58" s="1037"/>
      <c r="J58" s="1037"/>
      <c r="K58" s="1037"/>
      <c r="L58" s="1037"/>
      <c r="M58" s="1038"/>
      <c r="N58" s="1035"/>
      <c r="O58" s="1036"/>
      <c r="P58" s="1037"/>
      <c r="Q58" s="1037"/>
      <c r="R58" s="1037"/>
      <c r="S58" s="1037"/>
      <c r="T58" s="1038"/>
      <c r="U58" s="1035"/>
      <c r="V58" s="1036"/>
      <c r="W58" s="1037"/>
      <c r="X58" s="1037"/>
      <c r="Y58" s="1037"/>
      <c r="Z58" s="1037"/>
      <c r="AA58" s="1038"/>
      <c r="AB58" s="1035"/>
      <c r="AC58" s="1036"/>
      <c r="AD58" s="1037"/>
      <c r="AE58" s="1037"/>
      <c r="AF58" s="1037"/>
      <c r="AG58" s="1037"/>
      <c r="AH58" s="1038"/>
      <c r="AI58" s="1039"/>
      <c r="AJ58" s="1037"/>
      <c r="AK58" s="1037"/>
      <c r="AL58" s="1040">
        <f>SUM(G59:AK59)</f>
        <v>0</v>
      </c>
      <c r="AM58" s="1041"/>
      <c r="AN58" s="1042"/>
      <c r="AO58" s="1043"/>
      <c r="AP58" s="1041"/>
      <c r="AQ58" s="1044"/>
      <c r="AR58" s="1044"/>
    </row>
    <row r="59" spans="1:44" ht="15.9" customHeight="1">
      <c r="A59" s="989"/>
      <c r="B59" s="2238"/>
      <c r="C59" s="2240"/>
      <c r="D59" s="2242"/>
      <c r="E59" s="2244"/>
      <c r="F59" s="1045" t="s">
        <v>1960</v>
      </c>
      <c r="G59" s="1046" t="str">
        <f t="shared" ref="G59:AK59" si="25">IF(G58&lt;&gt;"",VLOOKUP(G58,$AC$197:$AL$221,9,FALSE),"")</f>
        <v/>
      </c>
      <c r="H59" s="1047" t="str">
        <f t="shared" si="25"/>
        <v/>
      </c>
      <c r="I59" s="1047" t="str">
        <f t="shared" si="25"/>
        <v/>
      </c>
      <c r="J59" s="1047" t="str">
        <f t="shared" si="25"/>
        <v/>
      </c>
      <c r="K59" s="1047" t="str">
        <f t="shared" si="25"/>
        <v/>
      </c>
      <c r="L59" s="1047" t="str">
        <f t="shared" si="25"/>
        <v/>
      </c>
      <c r="M59" s="1048" t="str">
        <f t="shared" si="25"/>
        <v/>
      </c>
      <c r="N59" s="1046" t="str">
        <f t="shared" si="25"/>
        <v/>
      </c>
      <c r="O59" s="1047" t="str">
        <f t="shared" si="25"/>
        <v/>
      </c>
      <c r="P59" s="1047" t="str">
        <f t="shared" si="25"/>
        <v/>
      </c>
      <c r="Q59" s="1047" t="str">
        <f t="shared" si="25"/>
        <v/>
      </c>
      <c r="R59" s="1047" t="str">
        <f t="shared" si="25"/>
        <v/>
      </c>
      <c r="S59" s="1047" t="str">
        <f t="shared" si="25"/>
        <v/>
      </c>
      <c r="T59" s="1048" t="str">
        <f t="shared" si="25"/>
        <v/>
      </c>
      <c r="U59" s="1046" t="str">
        <f t="shared" si="25"/>
        <v/>
      </c>
      <c r="V59" s="1047" t="str">
        <f t="shared" si="25"/>
        <v/>
      </c>
      <c r="W59" s="1047" t="str">
        <f t="shared" si="25"/>
        <v/>
      </c>
      <c r="X59" s="1047" t="str">
        <f t="shared" si="25"/>
        <v/>
      </c>
      <c r="Y59" s="1047" t="str">
        <f t="shared" si="25"/>
        <v/>
      </c>
      <c r="Z59" s="1047" t="str">
        <f t="shared" si="25"/>
        <v/>
      </c>
      <c r="AA59" s="1048" t="str">
        <f t="shared" si="25"/>
        <v/>
      </c>
      <c r="AB59" s="1046" t="str">
        <f t="shared" si="25"/>
        <v/>
      </c>
      <c r="AC59" s="1047" t="str">
        <f t="shared" si="25"/>
        <v/>
      </c>
      <c r="AD59" s="1047" t="str">
        <f t="shared" si="25"/>
        <v/>
      </c>
      <c r="AE59" s="1047" t="str">
        <f t="shared" si="25"/>
        <v/>
      </c>
      <c r="AF59" s="1047" t="str">
        <f t="shared" si="25"/>
        <v/>
      </c>
      <c r="AG59" s="1047" t="str">
        <f t="shared" si="25"/>
        <v/>
      </c>
      <c r="AH59" s="1048" t="str">
        <f t="shared" si="25"/>
        <v/>
      </c>
      <c r="AI59" s="1049" t="str">
        <f t="shared" si="25"/>
        <v/>
      </c>
      <c r="AJ59" s="1047" t="str">
        <f t="shared" si="25"/>
        <v/>
      </c>
      <c r="AK59" s="1047" t="str">
        <f t="shared" si="25"/>
        <v/>
      </c>
      <c r="AL59" s="1050">
        <f>SUM(G59:AH59)</f>
        <v>0</v>
      </c>
      <c r="AM59" s="1051">
        <f>AL59/4</f>
        <v>0</v>
      </c>
      <c r="AN59" s="1052" t="str">
        <f>IF(C58="","",C58)</f>
        <v/>
      </c>
      <c r="AO59" s="1053" t="str">
        <f>IF(D58="","",D58)</f>
        <v/>
      </c>
      <c r="AP59" s="1054" t="str">
        <f>IF(D58&lt;&gt;"",VLOOKUP(D58,$AU$2:$AV$6,2,FALSE),"")</f>
        <v/>
      </c>
      <c r="AQ59" s="1051" t="e">
        <f>ROUNDDOWN(AL59/$AL$6,2)</f>
        <v>#DIV/0!</v>
      </c>
      <c r="AR59" s="1051" t="e">
        <f>IF(AP59=1,"",AQ59)</f>
        <v>#DIV/0!</v>
      </c>
    </row>
    <row r="60" spans="1:44" ht="15.9" customHeight="1">
      <c r="A60" s="989"/>
      <c r="B60" s="2238" t="s">
        <v>1985</v>
      </c>
      <c r="C60" s="2239"/>
      <c r="D60" s="2241"/>
      <c r="E60" s="2243"/>
      <c r="F60" s="1034" t="s">
        <v>1959</v>
      </c>
      <c r="G60" s="1035"/>
      <c r="H60" s="1036"/>
      <c r="I60" s="1037"/>
      <c r="J60" s="1037"/>
      <c r="K60" s="1037"/>
      <c r="L60" s="1037"/>
      <c r="M60" s="1038"/>
      <c r="N60" s="1035"/>
      <c r="O60" s="1036"/>
      <c r="P60" s="1037"/>
      <c r="Q60" s="1037"/>
      <c r="R60" s="1037"/>
      <c r="S60" s="1037"/>
      <c r="T60" s="1038"/>
      <c r="U60" s="1035"/>
      <c r="V60" s="1036"/>
      <c r="W60" s="1037"/>
      <c r="X60" s="1037"/>
      <c r="Y60" s="1037"/>
      <c r="Z60" s="1037"/>
      <c r="AA60" s="1038"/>
      <c r="AB60" s="1035"/>
      <c r="AC60" s="1036"/>
      <c r="AD60" s="1037"/>
      <c r="AE60" s="1037"/>
      <c r="AF60" s="1037"/>
      <c r="AG60" s="1037"/>
      <c r="AH60" s="1038"/>
      <c r="AI60" s="1039"/>
      <c r="AJ60" s="1037"/>
      <c r="AK60" s="1037"/>
      <c r="AL60" s="1040">
        <f>SUM(G61:AK61)</f>
        <v>0</v>
      </c>
      <c r="AM60" s="1041"/>
      <c r="AN60" s="1042"/>
      <c r="AO60" s="1043"/>
      <c r="AP60" s="1041"/>
      <c r="AQ60" s="1044"/>
      <c r="AR60" s="1044"/>
    </row>
    <row r="61" spans="1:44" ht="15.9" customHeight="1">
      <c r="A61" s="989"/>
      <c r="B61" s="2238"/>
      <c r="C61" s="2240"/>
      <c r="D61" s="2242"/>
      <c r="E61" s="2244"/>
      <c r="F61" s="1045" t="s">
        <v>1960</v>
      </c>
      <c r="G61" s="1046" t="str">
        <f t="shared" ref="G61:AK61" si="26">IF(G60&lt;&gt;"",VLOOKUP(G60,$AC$197:$AL$221,9,FALSE),"")</f>
        <v/>
      </c>
      <c r="H61" s="1047" t="str">
        <f t="shared" si="26"/>
        <v/>
      </c>
      <c r="I61" s="1047" t="str">
        <f t="shared" si="26"/>
        <v/>
      </c>
      <c r="J61" s="1047" t="str">
        <f t="shared" si="26"/>
        <v/>
      </c>
      <c r="K61" s="1047" t="str">
        <f t="shared" si="26"/>
        <v/>
      </c>
      <c r="L61" s="1047" t="str">
        <f t="shared" si="26"/>
        <v/>
      </c>
      <c r="M61" s="1048" t="str">
        <f t="shared" si="26"/>
        <v/>
      </c>
      <c r="N61" s="1046" t="str">
        <f t="shared" si="26"/>
        <v/>
      </c>
      <c r="O61" s="1047" t="str">
        <f t="shared" si="26"/>
        <v/>
      </c>
      <c r="P61" s="1047" t="str">
        <f t="shared" si="26"/>
        <v/>
      </c>
      <c r="Q61" s="1047" t="str">
        <f t="shared" si="26"/>
        <v/>
      </c>
      <c r="R61" s="1047" t="str">
        <f t="shared" si="26"/>
        <v/>
      </c>
      <c r="S61" s="1047" t="str">
        <f t="shared" si="26"/>
        <v/>
      </c>
      <c r="T61" s="1048" t="str">
        <f t="shared" si="26"/>
        <v/>
      </c>
      <c r="U61" s="1046" t="str">
        <f t="shared" si="26"/>
        <v/>
      </c>
      <c r="V61" s="1047" t="str">
        <f t="shared" si="26"/>
        <v/>
      </c>
      <c r="W61" s="1047" t="str">
        <f t="shared" si="26"/>
        <v/>
      </c>
      <c r="X61" s="1047" t="str">
        <f t="shared" si="26"/>
        <v/>
      </c>
      <c r="Y61" s="1047" t="str">
        <f t="shared" si="26"/>
        <v/>
      </c>
      <c r="Z61" s="1047" t="str">
        <f t="shared" si="26"/>
        <v/>
      </c>
      <c r="AA61" s="1048" t="str">
        <f t="shared" si="26"/>
        <v/>
      </c>
      <c r="AB61" s="1046" t="str">
        <f t="shared" si="26"/>
        <v/>
      </c>
      <c r="AC61" s="1047" t="str">
        <f t="shared" si="26"/>
        <v/>
      </c>
      <c r="AD61" s="1047" t="str">
        <f t="shared" si="26"/>
        <v/>
      </c>
      <c r="AE61" s="1047" t="str">
        <f t="shared" si="26"/>
        <v/>
      </c>
      <c r="AF61" s="1047" t="str">
        <f t="shared" si="26"/>
        <v/>
      </c>
      <c r="AG61" s="1047" t="str">
        <f t="shared" si="26"/>
        <v/>
      </c>
      <c r="AH61" s="1048" t="str">
        <f t="shared" si="26"/>
        <v/>
      </c>
      <c r="AI61" s="1049" t="str">
        <f t="shared" si="26"/>
        <v/>
      </c>
      <c r="AJ61" s="1047" t="str">
        <f t="shared" si="26"/>
        <v/>
      </c>
      <c r="AK61" s="1047" t="str">
        <f t="shared" si="26"/>
        <v/>
      </c>
      <c r="AL61" s="1050">
        <f>SUM(G61:AH61)</f>
        <v>0</v>
      </c>
      <c r="AM61" s="1051">
        <f>AL61/4</f>
        <v>0</v>
      </c>
      <c r="AN61" s="1052" t="str">
        <f>IF(C60="","",C60)</f>
        <v/>
      </c>
      <c r="AO61" s="1053" t="str">
        <f>IF(D60="","",D60)</f>
        <v/>
      </c>
      <c r="AP61" s="1054" t="str">
        <f>IF(D60&lt;&gt;"",VLOOKUP(D60,$AU$2:$AV$6,2,FALSE),"")</f>
        <v/>
      </c>
      <c r="AQ61" s="1051" t="e">
        <f>ROUNDDOWN(AL61/$AL$6,2)</f>
        <v>#DIV/0!</v>
      </c>
      <c r="AR61" s="1051" t="e">
        <f>IF(AP61=1,"",AQ61)</f>
        <v>#DIV/0!</v>
      </c>
    </row>
    <row r="62" spans="1:44" ht="15.9" customHeight="1">
      <c r="A62" s="989"/>
      <c r="B62" s="2238" t="s">
        <v>1986</v>
      </c>
      <c r="C62" s="2239"/>
      <c r="D62" s="2241"/>
      <c r="E62" s="2243"/>
      <c r="F62" s="1034" t="s">
        <v>1959</v>
      </c>
      <c r="G62" s="1035"/>
      <c r="H62" s="1036"/>
      <c r="I62" s="1037"/>
      <c r="J62" s="1037"/>
      <c r="K62" s="1037"/>
      <c r="L62" s="1037"/>
      <c r="M62" s="1038"/>
      <c r="N62" s="1035"/>
      <c r="O62" s="1036"/>
      <c r="P62" s="1037"/>
      <c r="Q62" s="1037"/>
      <c r="R62" s="1037"/>
      <c r="S62" s="1037"/>
      <c r="T62" s="1038"/>
      <c r="U62" s="1035"/>
      <c r="V62" s="1036"/>
      <c r="W62" s="1037"/>
      <c r="X62" s="1037"/>
      <c r="Y62" s="1037"/>
      <c r="Z62" s="1037"/>
      <c r="AA62" s="1038"/>
      <c r="AB62" s="1035"/>
      <c r="AC62" s="1036"/>
      <c r="AD62" s="1037"/>
      <c r="AE62" s="1037"/>
      <c r="AF62" s="1037"/>
      <c r="AG62" s="1037"/>
      <c r="AH62" s="1038"/>
      <c r="AI62" s="1055"/>
      <c r="AJ62" s="1036"/>
      <c r="AK62" s="1036"/>
      <c r="AL62" s="1040">
        <f>SUM(G63:AK63)</f>
        <v>0</v>
      </c>
      <c r="AM62" s="1041"/>
      <c r="AN62" s="1042"/>
      <c r="AO62" s="1043"/>
      <c r="AP62" s="1041"/>
      <c r="AQ62" s="1044"/>
      <c r="AR62" s="1044"/>
    </row>
    <row r="63" spans="1:44" ht="15.9" customHeight="1">
      <c r="A63" s="989"/>
      <c r="B63" s="2238"/>
      <c r="C63" s="2240"/>
      <c r="D63" s="2242"/>
      <c r="E63" s="2244"/>
      <c r="F63" s="1045" t="s">
        <v>1960</v>
      </c>
      <c r="G63" s="1046" t="str">
        <f t="shared" ref="G63:AK63" si="27">IF(G62&lt;&gt;"",VLOOKUP(G62,$AC$197:$AL$221,9,FALSE),"")</f>
        <v/>
      </c>
      <c r="H63" s="1047" t="str">
        <f t="shared" si="27"/>
        <v/>
      </c>
      <c r="I63" s="1047" t="str">
        <f t="shared" si="27"/>
        <v/>
      </c>
      <c r="J63" s="1047" t="str">
        <f t="shared" si="27"/>
        <v/>
      </c>
      <c r="K63" s="1047" t="str">
        <f t="shared" si="27"/>
        <v/>
      </c>
      <c r="L63" s="1047" t="str">
        <f t="shared" si="27"/>
        <v/>
      </c>
      <c r="M63" s="1048" t="str">
        <f t="shared" si="27"/>
        <v/>
      </c>
      <c r="N63" s="1046" t="str">
        <f t="shared" si="27"/>
        <v/>
      </c>
      <c r="O63" s="1047" t="str">
        <f t="shared" si="27"/>
        <v/>
      </c>
      <c r="P63" s="1047" t="str">
        <f t="shared" si="27"/>
        <v/>
      </c>
      <c r="Q63" s="1047" t="str">
        <f t="shared" si="27"/>
        <v/>
      </c>
      <c r="R63" s="1047" t="str">
        <f t="shared" si="27"/>
        <v/>
      </c>
      <c r="S63" s="1047" t="str">
        <f t="shared" si="27"/>
        <v/>
      </c>
      <c r="T63" s="1048" t="str">
        <f t="shared" si="27"/>
        <v/>
      </c>
      <c r="U63" s="1046" t="str">
        <f t="shared" si="27"/>
        <v/>
      </c>
      <c r="V63" s="1047" t="str">
        <f t="shared" si="27"/>
        <v/>
      </c>
      <c r="W63" s="1047" t="str">
        <f t="shared" si="27"/>
        <v/>
      </c>
      <c r="X63" s="1047" t="str">
        <f t="shared" si="27"/>
        <v/>
      </c>
      <c r="Y63" s="1047" t="str">
        <f t="shared" si="27"/>
        <v/>
      </c>
      <c r="Z63" s="1047" t="str">
        <f t="shared" si="27"/>
        <v/>
      </c>
      <c r="AA63" s="1048" t="str">
        <f t="shared" si="27"/>
        <v/>
      </c>
      <c r="AB63" s="1046" t="str">
        <f t="shared" si="27"/>
        <v/>
      </c>
      <c r="AC63" s="1047" t="str">
        <f t="shared" si="27"/>
        <v/>
      </c>
      <c r="AD63" s="1047" t="str">
        <f t="shared" si="27"/>
        <v/>
      </c>
      <c r="AE63" s="1047" t="str">
        <f t="shared" si="27"/>
        <v/>
      </c>
      <c r="AF63" s="1047" t="str">
        <f t="shared" si="27"/>
        <v/>
      </c>
      <c r="AG63" s="1047" t="str">
        <f t="shared" si="27"/>
        <v/>
      </c>
      <c r="AH63" s="1048" t="str">
        <f t="shared" si="27"/>
        <v/>
      </c>
      <c r="AI63" s="1049" t="str">
        <f t="shared" si="27"/>
        <v/>
      </c>
      <c r="AJ63" s="1047" t="str">
        <f t="shared" si="27"/>
        <v/>
      </c>
      <c r="AK63" s="1047" t="str">
        <f t="shared" si="27"/>
        <v/>
      </c>
      <c r="AL63" s="1050">
        <f>SUM(G63:AH63)</f>
        <v>0</v>
      </c>
      <c r="AM63" s="1051">
        <f>AL63/4</f>
        <v>0</v>
      </c>
      <c r="AN63" s="1052" t="str">
        <f>IF(C62="","",C62)</f>
        <v/>
      </c>
      <c r="AO63" s="1053" t="str">
        <f>IF(D62="","",D62)</f>
        <v/>
      </c>
      <c r="AP63" s="1054" t="str">
        <f>IF(D62&lt;&gt;"",VLOOKUP(D62,$AU$2:$AV$6,2,FALSE),"")</f>
        <v/>
      </c>
      <c r="AQ63" s="1051" t="e">
        <f>ROUNDDOWN(AL63/$AL$6,2)</f>
        <v>#DIV/0!</v>
      </c>
      <c r="AR63" s="1051" t="e">
        <f>IF(AP63=1,"",AQ63)</f>
        <v>#DIV/0!</v>
      </c>
    </row>
    <row r="64" spans="1:44" ht="15.9" customHeight="1">
      <c r="A64" s="989"/>
      <c r="B64" s="2238" t="s">
        <v>1987</v>
      </c>
      <c r="C64" s="2239"/>
      <c r="D64" s="2241"/>
      <c r="E64" s="2243"/>
      <c r="F64" s="1034" t="s">
        <v>1959</v>
      </c>
      <c r="G64" s="1035"/>
      <c r="H64" s="1036"/>
      <c r="I64" s="1037"/>
      <c r="J64" s="1037"/>
      <c r="K64" s="1037"/>
      <c r="L64" s="1037"/>
      <c r="M64" s="1038"/>
      <c r="N64" s="1035"/>
      <c r="O64" s="1036"/>
      <c r="P64" s="1037"/>
      <c r="Q64" s="1037"/>
      <c r="R64" s="1037"/>
      <c r="S64" s="1037"/>
      <c r="T64" s="1038"/>
      <c r="U64" s="1035"/>
      <c r="V64" s="1036"/>
      <c r="W64" s="1037"/>
      <c r="X64" s="1037"/>
      <c r="Y64" s="1037"/>
      <c r="Z64" s="1037"/>
      <c r="AA64" s="1038"/>
      <c r="AB64" s="1035"/>
      <c r="AC64" s="1036"/>
      <c r="AD64" s="1037"/>
      <c r="AE64" s="1037"/>
      <c r="AF64" s="1037"/>
      <c r="AG64" s="1037"/>
      <c r="AH64" s="1038"/>
      <c r="AI64" s="1055"/>
      <c r="AJ64" s="1036"/>
      <c r="AK64" s="1036"/>
      <c r="AL64" s="1040">
        <f>SUM(G65:AK65)</f>
        <v>0</v>
      </c>
      <c r="AM64" s="1041"/>
      <c r="AN64" s="1042"/>
      <c r="AO64" s="1043"/>
      <c r="AP64" s="1041"/>
      <c r="AQ64" s="1044"/>
      <c r="AR64" s="1044"/>
    </row>
    <row r="65" spans="1:44" ht="15.9" customHeight="1">
      <c r="A65" s="989"/>
      <c r="B65" s="2238"/>
      <c r="C65" s="2240"/>
      <c r="D65" s="2242"/>
      <c r="E65" s="2244"/>
      <c r="F65" s="1045" t="s">
        <v>1960</v>
      </c>
      <c r="G65" s="1046" t="str">
        <f t="shared" ref="G65:AK65" si="28">IF(G64&lt;&gt;"",VLOOKUP(G64,$AC$197:$AL$221,9,FALSE),"")</f>
        <v/>
      </c>
      <c r="H65" s="1047" t="str">
        <f t="shared" si="28"/>
        <v/>
      </c>
      <c r="I65" s="1047" t="str">
        <f t="shared" si="28"/>
        <v/>
      </c>
      <c r="J65" s="1047" t="str">
        <f t="shared" si="28"/>
        <v/>
      </c>
      <c r="K65" s="1047" t="str">
        <f t="shared" si="28"/>
        <v/>
      </c>
      <c r="L65" s="1047" t="str">
        <f t="shared" si="28"/>
        <v/>
      </c>
      <c r="M65" s="1048" t="str">
        <f t="shared" si="28"/>
        <v/>
      </c>
      <c r="N65" s="1046" t="str">
        <f t="shared" si="28"/>
        <v/>
      </c>
      <c r="O65" s="1047" t="str">
        <f t="shared" si="28"/>
        <v/>
      </c>
      <c r="P65" s="1047" t="str">
        <f t="shared" si="28"/>
        <v/>
      </c>
      <c r="Q65" s="1047" t="str">
        <f t="shared" si="28"/>
        <v/>
      </c>
      <c r="R65" s="1047" t="str">
        <f t="shared" si="28"/>
        <v/>
      </c>
      <c r="S65" s="1047" t="str">
        <f t="shared" si="28"/>
        <v/>
      </c>
      <c r="T65" s="1048" t="str">
        <f t="shared" si="28"/>
        <v/>
      </c>
      <c r="U65" s="1046" t="str">
        <f t="shared" si="28"/>
        <v/>
      </c>
      <c r="V65" s="1047" t="str">
        <f t="shared" si="28"/>
        <v/>
      </c>
      <c r="W65" s="1047" t="str">
        <f t="shared" si="28"/>
        <v/>
      </c>
      <c r="X65" s="1047" t="str">
        <f t="shared" si="28"/>
        <v/>
      </c>
      <c r="Y65" s="1047" t="str">
        <f t="shared" si="28"/>
        <v/>
      </c>
      <c r="Z65" s="1047" t="str">
        <f t="shared" si="28"/>
        <v/>
      </c>
      <c r="AA65" s="1048" t="str">
        <f t="shared" si="28"/>
        <v/>
      </c>
      <c r="AB65" s="1046" t="str">
        <f t="shared" si="28"/>
        <v/>
      </c>
      <c r="AC65" s="1047" t="str">
        <f t="shared" si="28"/>
        <v/>
      </c>
      <c r="AD65" s="1047" t="str">
        <f t="shared" si="28"/>
        <v/>
      </c>
      <c r="AE65" s="1047" t="str">
        <f t="shared" si="28"/>
        <v/>
      </c>
      <c r="AF65" s="1047" t="str">
        <f t="shared" si="28"/>
        <v/>
      </c>
      <c r="AG65" s="1047" t="str">
        <f t="shared" si="28"/>
        <v/>
      </c>
      <c r="AH65" s="1048" t="str">
        <f t="shared" si="28"/>
        <v/>
      </c>
      <c r="AI65" s="1049" t="str">
        <f t="shared" si="28"/>
        <v/>
      </c>
      <c r="AJ65" s="1047" t="str">
        <f t="shared" si="28"/>
        <v/>
      </c>
      <c r="AK65" s="1047" t="str">
        <f t="shared" si="28"/>
        <v/>
      </c>
      <c r="AL65" s="1050">
        <f>SUM(G65:AH65)</f>
        <v>0</v>
      </c>
      <c r="AM65" s="1051">
        <f>AL65/4</f>
        <v>0</v>
      </c>
      <c r="AN65" s="1052" t="str">
        <f>IF(C64="","",C64)</f>
        <v/>
      </c>
      <c r="AO65" s="1053" t="str">
        <f>IF(D64="","",D64)</f>
        <v/>
      </c>
      <c r="AP65" s="1054" t="str">
        <f>IF(D64&lt;&gt;"",VLOOKUP(D64,$AU$2:$AV$6,2,FALSE),"")</f>
        <v/>
      </c>
      <c r="AQ65" s="1051" t="e">
        <f>ROUNDDOWN(AL65/$AL$6,2)</f>
        <v>#DIV/0!</v>
      </c>
      <c r="AR65" s="1051" t="e">
        <f>IF(AP65=1,"",AQ65)</f>
        <v>#DIV/0!</v>
      </c>
    </row>
    <row r="66" spans="1:44" ht="15.9" customHeight="1">
      <c r="A66" s="989"/>
      <c r="B66" s="2238" t="s">
        <v>1988</v>
      </c>
      <c r="C66" s="2239"/>
      <c r="D66" s="2241"/>
      <c r="E66" s="2243"/>
      <c r="F66" s="1034" t="s">
        <v>1959</v>
      </c>
      <c r="G66" s="1035"/>
      <c r="H66" s="1036"/>
      <c r="I66" s="1037"/>
      <c r="J66" s="1037"/>
      <c r="K66" s="1037"/>
      <c r="L66" s="1037"/>
      <c r="M66" s="1038"/>
      <c r="N66" s="1035"/>
      <c r="O66" s="1036"/>
      <c r="P66" s="1037"/>
      <c r="Q66" s="1037"/>
      <c r="R66" s="1037"/>
      <c r="S66" s="1037"/>
      <c r="T66" s="1038"/>
      <c r="U66" s="1035"/>
      <c r="V66" s="1036"/>
      <c r="W66" s="1037"/>
      <c r="X66" s="1037"/>
      <c r="Y66" s="1037"/>
      <c r="Z66" s="1037"/>
      <c r="AA66" s="1038"/>
      <c r="AB66" s="1035"/>
      <c r="AC66" s="1036"/>
      <c r="AD66" s="1037"/>
      <c r="AE66" s="1037"/>
      <c r="AF66" s="1037"/>
      <c r="AG66" s="1037"/>
      <c r="AH66" s="1038"/>
      <c r="AI66" s="1039"/>
      <c r="AJ66" s="1037"/>
      <c r="AK66" s="1037"/>
      <c r="AL66" s="1040">
        <f>SUM(G67:AK67)</f>
        <v>0</v>
      </c>
      <c r="AM66" s="1041"/>
      <c r="AN66" s="1042"/>
      <c r="AO66" s="1043"/>
      <c r="AP66" s="1041"/>
      <c r="AQ66" s="1044"/>
      <c r="AR66" s="1044"/>
    </row>
    <row r="67" spans="1:44" ht="15.9" customHeight="1">
      <c r="A67" s="989"/>
      <c r="B67" s="2238"/>
      <c r="C67" s="2240"/>
      <c r="D67" s="2242"/>
      <c r="E67" s="2244"/>
      <c r="F67" s="1045" t="s">
        <v>1960</v>
      </c>
      <c r="G67" s="1046" t="str">
        <f t="shared" ref="G67:AK67" si="29">IF(G66&lt;&gt;"",VLOOKUP(G66,$AC$197:$AL$221,9,FALSE),"")</f>
        <v/>
      </c>
      <c r="H67" s="1047" t="str">
        <f t="shared" si="29"/>
        <v/>
      </c>
      <c r="I67" s="1047" t="str">
        <f t="shared" si="29"/>
        <v/>
      </c>
      <c r="J67" s="1047" t="str">
        <f t="shared" si="29"/>
        <v/>
      </c>
      <c r="K67" s="1047" t="str">
        <f t="shared" si="29"/>
        <v/>
      </c>
      <c r="L67" s="1047" t="str">
        <f t="shared" si="29"/>
        <v/>
      </c>
      <c r="M67" s="1048" t="str">
        <f t="shared" si="29"/>
        <v/>
      </c>
      <c r="N67" s="1046" t="str">
        <f t="shared" si="29"/>
        <v/>
      </c>
      <c r="O67" s="1047" t="str">
        <f t="shared" si="29"/>
        <v/>
      </c>
      <c r="P67" s="1047" t="str">
        <f t="shared" si="29"/>
        <v/>
      </c>
      <c r="Q67" s="1047" t="str">
        <f t="shared" si="29"/>
        <v/>
      </c>
      <c r="R67" s="1047" t="str">
        <f t="shared" si="29"/>
        <v/>
      </c>
      <c r="S67" s="1047" t="str">
        <f t="shared" si="29"/>
        <v/>
      </c>
      <c r="T67" s="1048" t="str">
        <f t="shared" si="29"/>
        <v/>
      </c>
      <c r="U67" s="1046" t="str">
        <f t="shared" si="29"/>
        <v/>
      </c>
      <c r="V67" s="1047" t="str">
        <f t="shared" si="29"/>
        <v/>
      </c>
      <c r="W67" s="1047" t="str">
        <f t="shared" si="29"/>
        <v/>
      </c>
      <c r="X67" s="1047" t="str">
        <f t="shared" si="29"/>
        <v/>
      </c>
      <c r="Y67" s="1047" t="str">
        <f t="shared" si="29"/>
        <v/>
      </c>
      <c r="Z67" s="1047" t="str">
        <f t="shared" si="29"/>
        <v/>
      </c>
      <c r="AA67" s="1048" t="str">
        <f t="shared" si="29"/>
        <v/>
      </c>
      <c r="AB67" s="1046" t="str">
        <f t="shared" si="29"/>
        <v/>
      </c>
      <c r="AC67" s="1047" t="str">
        <f t="shared" si="29"/>
        <v/>
      </c>
      <c r="AD67" s="1047" t="str">
        <f t="shared" si="29"/>
        <v/>
      </c>
      <c r="AE67" s="1047" t="str">
        <f t="shared" si="29"/>
        <v/>
      </c>
      <c r="AF67" s="1047" t="str">
        <f t="shared" si="29"/>
        <v/>
      </c>
      <c r="AG67" s="1047" t="str">
        <f t="shared" si="29"/>
        <v/>
      </c>
      <c r="AH67" s="1048" t="str">
        <f t="shared" si="29"/>
        <v/>
      </c>
      <c r="AI67" s="1049" t="str">
        <f t="shared" si="29"/>
        <v/>
      </c>
      <c r="AJ67" s="1047" t="str">
        <f t="shared" si="29"/>
        <v/>
      </c>
      <c r="AK67" s="1047" t="str">
        <f t="shared" si="29"/>
        <v/>
      </c>
      <c r="AL67" s="1050">
        <f>SUM(G67:AH67)</f>
        <v>0</v>
      </c>
      <c r="AM67" s="1051">
        <f>AL67/4</f>
        <v>0</v>
      </c>
      <c r="AN67" s="1052" t="str">
        <f>IF(C66="","",C66)</f>
        <v/>
      </c>
      <c r="AO67" s="1053" t="str">
        <f>IF(D66="","",D66)</f>
        <v/>
      </c>
      <c r="AP67" s="1054" t="str">
        <f>IF(D66&lt;&gt;"",VLOOKUP(D66,$AU$2:$AV$6,2,FALSE),"")</f>
        <v/>
      </c>
      <c r="AQ67" s="1051" t="e">
        <f>ROUNDDOWN(AL67/$AL$6,2)</f>
        <v>#DIV/0!</v>
      </c>
      <c r="AR67" s="1051" t="e">
        <f>IF(AP67=1,"",AQ67)</f>
        <v>#DIV/0!</v>
      </c>
    </row>
    <row r="68" spans="1:44" ht="15.9" customHeight="1">
      <c r="A68" s="989"/>
      <c r="B68" s="2238" t="s">
        <v>1989</v>
      </c>
      <c r="C68" s="2239"/>
      <c r="D68" s="2241"/>
      <c r="E68" s="2243"/>
      <c r="F68" s="1034" t="s">
        <v>1959</v>
      </c>
      <c r="G68" s="1035"/>
      <c r="H68" s="1036"/>
      <c r="I68" s="1037"/>
      <c r="J68" s="1037"/>
      <c r="K68" s="1037"/>
      <c r="L68" s="1037"/>
      <c r="M68" s="1038"/>
      <c r="N68" s="1035"/>
      <c r="O68" s="1036"/>
      <c r="P68" s="1037"/>
      <c r="Q68" s="1037"/>
      <c r="R68" s="1037"/>
      <c r="S68" s="1037"/>
      <c r="T68" s="1038"/>
      <c r="U68" s="1035"/>
      <c r="V68" s="1036"/>
      <c r="W68" s="1037"/>
      <c r="X68" s="1037"/>
      <c r="Y68" s="1037"/>
      <c r="Z68" s="1037"/>
      <c r="AA68" s="1038"/>
      <c r="AB68" s="1035"/>
      <c r="AC68" s="1036"/>
      <c r="AD68" s="1037"/>
      <c r="AE68" s="1037"/>
      <c r="AF68" s="1037"/>
      <c r="AG68" s="1037"/>
      <c r="AH68" s="1038"/>
      <c r="AI68" s="1039"/>
      <c r="AJ68" s="1037"/>
      <c r="AK68" s="1037"/>
      <c r="AL68" s="1040">
        <f>SUM(G69:AK69)</f>
        <v>0</v>
      </c>
      <c r="AM68" s="1041"/>
      <c r="AN68" s="1042"/>
      <c r="AO68" s="1043"/>
      <c r="AP68" s="1041"/>
      <c r="AQ68" s="1044"/>
      <c r="AR68" s="1044"/>
    </row>
    <row r="69" spans="1:44" ht="15.9" customHeight="1">
      <c r="A69" s="989"/>
      <c r="B69" s="2238"/>
      <c r="C69" s="2240"/>
      <c r="D69" s="2242"/>
      <c r="E69" s="2244"/>
      <c r="F69" s="1045" t="s">
        <v>1960</v>
      </c>
      <c r="G69" s="1046" t="str">
        <f t="shared" ref="G69:AK69" si="30">IF(G68&lt;&gt;"",VLOOKUP(G68,$AC$197:$AL$221,9,FALSE),"")</f>
        <v/>
      </c>
      <c r="H69" s="1047" t="str">
        <f t="shared" si="30"/>
        <v/>
      </c>
      <c r="I69" s="1047" t="str">
        <f t="shared" si="30"/>
        <v/>
      </c>
      <c r="J69" s="1047" t="str">
        <f t="shared" si="30"/>
        <v/>
      </c>
      <c r="K69" s="1047" t="str">
        <f t="shared" si="30"/>
        <v/>
      </c>
      <c r="L69" s="1047" t="str">
        <f t="shared" si="30"/>
        <v/>
      </c>
      <c r="M69" s="1048" t="str">
        <f t="shared" si="30"/>
        <v/>
      </c>
      <c r="N69" s="1046" t="str">
        <f t="shared" si="30"/>
        <v/>
      </c>
      <c r="O69" s="1047" t="str">
        <f t="shared" si="30"/>
        <v/>
      </c>
      <c r="P69" s="1047" t="str">
        <f t="shared" si="30"/>
        <v/>
      </c>
      <c r="Q69" s="1047" t="str">
        <f t="shared" si="30"/>
        <v/>
      </c>
      <c r="R69" s="1047" t="str">
        <f t="shared" si="30"/>
        <v/>
      </c>
      <c r="S69" s="1047" t="str">
        <f t="shared" si="30"/>
        <v/>
      </c>
      <c r="T69" s="1048" t="str">
        <f t="shared" si="30"/>
        <v/>
      </c>
      <c r="U69" s="1046" t="str">
        <f t="shared" si="30"/>
        <v/>
      </c>
      <c r="V69" s="1047" t="str">
        <f t="shared" si="30"/>
        <v/>
      </c>
      <c r="W69" s="1047" t="str">
        <f t="shared" si="30"/>
        <v/>
      </c>
      <c r="X69" s="1047" t="str">
        <f t="shared" si="30"/>
        <v/>
      </c>
      <c r="Y69" s="1047" t="str">
        <f t="shared" si="30"/>
        <v/>
      </c>
      <c r="Z69" s="1047" t="str">
        <f t="shared" si="30"/>
        <v/>
      </c>
      <c r="AA69" s="1048" t="str">
        <f t="shared" si="30"/>
        <v/>
      </c>
      <c r="AB69" s="1046" t="str">
        <f t="shared" si="30"/>
        <v/>
      </c>
      <c r="AC69" s="1047" t="str">
        <f t="shared" si="30"/>
        <v/>
      </c>
      <c r="AD69" s="1047" t="str">
        <f t="shared" si="30"/>
        <v/>
      </c>
      <c r="AE69" s="1047" t="str">
        <f t="shared" si="30"/>
        <v/>
      </c>
      <c r="AF69" s="1047" t="str">
        <f t="shared" si="30"/>
        <v/>
      </c>
      <c r="AG69" s="1047" t="str">
        <f t="shared" si="30"/>
        <v/>
      </c>
      <c r="AH69" s="1048" t="str">
        <f t="shared" si="30"/>
        <v/>
      </c>
      <c r="AI69" s="1049" t="str">
        <f t="shared" si="30"/>
        <v/>
      </c>
      <c r="AJ69" s="1047" t="str">
        <f t="shared" si="30"/>
        <v/>
      </c>
      <c r="AK69" s="1047" t="str">
        <f t="shared" si="30"/>
        <v/>
      </c>
      <c r="AL69" s="1050">
        <f>SUM(G69:AH69)</f>
        <v>0</v>
      </c>
      <c r="AM69" s="1051">
        <f>AL69/4</f>
        <v>0</v>
      </c>
      <c r="AN69" s="1052" t="str">
        <f>IF(C68="","",C68)</f>
        <v/>
      </c>
      <c r="AO69" s="1053" t="str">
        <f>IF(D68="","",D68)</f>
        <v/>
      </c>
      <c r="AP69" s="1054" t="str">
        <f>IF(D68&lt;&gt;"",VLOOKUP(D68,$AU$2:$AV$6,2,FALSE),"")</f>
        <v/>
      </c>
      <c r="AQ69" s="1051" t="e">
        <f>ROUNDDOWN(AL69/$AL$6,2)</f>
        <v>#DIV/0!</v>
      </c>
      <c r="AR69" s="1051" t="e">
        <f>IF(AP69=1,"",AQ69)</f>
        <v>#DIV/0!</v>
      </c>
    </row>
    <row r="70" spans="1:44" ht="15.9" customHeight="1">
      <c r="A70" s="989"/>
      <c r="B70" s="2238" t="s">
        <v>1990</v>
      </c>
      <c r="C70" s="2239"/>
      <c r="D70" s="2241"/>
      <c r="E70" s="2243"/>
      <c r="F70" s="1034" t="s">
        <v>1959</v>
      </c>
      <c r="G70" s="1035"/>
      <c r="H70" s="1036"/>
      <c r="I70" s="1037"/>
      <c r="J70" s="1037"/>
      <c r="K70" s="1037"/>
      <c r="L70" s="1037"/>
      <c r="M70" s="1038"/>
      <c r="N70" s="1035"/>
      <c r="O70" s="1036"/>
      <c r="P70" s="1037"/>
      <c r="Q70" s="1037"/>
      <c r="R70" s="1037"/>
      <c r="S70" s="1037"/>
      <c r="T70" s="1038"/>
      <c r="U70" s="1035"/>
      <c r="V70" s="1036"/>
      <c r="W70" s="1037"/>
      <c r="X70" s="1037"/>
      <c r="Y70" s="1037"/>
      <c r="Z70" s="1037"/>
      <c r="AA70" s="1038"/>
      <c r="AB70" s="1035"/>
      <c r="AC70" s="1036"/>
      <c r="AD70" s="1037"/>
      <c r="AE70" s="1037"/>
      <c r="AF70" s="1037"/>
      <c r="AG70" s="1037"/>
      <c r="AH70" s="1038"/>
      <c r="AI70" s="1055"/>
      <c r="AJ70" s="1036"/>
      <c r="AK70" s="1036"/>
      <c r="AL70" s="1040">
        <f>SUM(G71:AK71)</f>
        <v>0</v>
      </c>
      <c r="AM70" s="1041"/>
      <c r="AN70" s="1042"/>
      <c r="AO70" s="1043"/>
      <c r="AP70" s="1041"/>
      <c r="AQ70" s="1044"/>
      <c r="AR70" s="1044"/>
    </row>
    <row r="71" spans="1:44" ht="15.9" customHeight="1">
      <c r="A71" s="989"/>
      <c r="B71" s="2238"/>
      <c r="C71" s="2240"/>
      <c r="D71" s="2242"/>
      <c r="E71" s="2244"/>
      <c r="F71" s="1045" t="s">
        <v>1960</v>
      </c>
      <c r="G71" s="1046" t="str">
        <f t="shared" ref="G71:AK71" si="31">IF(G70&lt;&gt;"",VLOOKUP(G70,$AC$197:$AL$221,9,FALSE),"")</f>
        <v/>
      </c>
      <c r="H71" s="1047" t="str">
        <f t="shared" si="31"/>
        <v/>
      </c>
      <c r="I71" s="1047" t="str">
        <f t="shared" si="31"/>
        <v/>
      </c>
      <c r="J71" s="1047" t="str">
        <f t="shared" si="31"/>
        <v/>
      </c>
      <c r="K71" s="1047" t="str">
        <f t="shared" si="31"/>
        <v/>
      </c>
      <c r="L71" s="1047" t="str">
        <f t="shared" si="31"/>
        <v/>
      </c>
      <c r="M71" s="1048" t="str">
        <f t="shared" si="31"/>
        <v/>
      </c>
      <c r="N71" s="1046" t="str">
        <f t="shared" si="31"/>
        <v/>
      </c>
      <c r="O71" s="1047" t="str">
        <f t="shared" si="31"/>
        <v/>
      </c>
      <c r="P71" s="1047" t="str">
        <f t="shared" si="31"/>
        <v/>
      </c>
      <c r="Q71" s="1047" t="str">
        <f t="shared" si="31"/>
        <v/>
      </c>
      <c r="R71" s="1047" t="str">
        <f t="shared" si="31"/>
        <v/>
      </c>
      <c r="S71" s="1047" t="str">
        <f t="shared" si="31"/>
        <v/>
      </c>
      <c r="T71" s="1048" t="str">
        <f t="shared" si="31"/>
        <v/>
      </c>
      <c r="U71" s="1046" t="str">
        <f t="shared" si="31"/>
        <v/>
      </c>
      <c r="V71" s="1047" t="str">
        <f t="shared" si="31"/>
        <v/>
      </c>
      <c r="W71" s="1047" t="str">
        <f t="shared" si="31"/>
        <v/>
      </c>
      <c r="X71" s="1047" t="str">
        <f t="shared" si="31"/>
        <v/>
      </c>
      <c r="Y71" s="1047" t="str">
        <f t="shared" si="31"/>
        <v/>
      </c>
      <c r="Z71" s="1047" t="str">
        <f t="shared" si="31"/>
        <v/>
      </c>
      <c r="AA71" s="1048" t="str">
        <f t="shared" si="31"/>
        <v/>
      </c>
      <c r="AB71" s="1046" t="str">
        <f t="shared" si="31"/>
        <v/>
      </c>
      <c r="AC71" s="1047" t="str">
        <f t="shared" si="31"/>
        <v/>
      </c>
      <c r="AD71" s="1047" t="str">
        <f t="shared" si="31"/>
        <v/>
      </c>
      <c r="AE71" s="1047" t="str">
        <f t="shared" si="31"/>
        <v/>
      </c>
      <c r="AF71" s="1047" t="str">
        <f t="shared" si="31"/>
        <v/>
      </c>
      <c r="AG71" s="1047" t="str">
        <f t="shared" si="31"/>
        <v/>
      </c>
      <c r="AH71" s="1048" t="str">
        <f t="shared" si="31"/>
        <v/>
      </c>
      <c r="AI71" s="1049" t="str">
        <f t="shared" si="31"/>
        <v/>
      </c>
      <c r="AJ71" s="1047" t="str">
        <f t="shared" si="31"/>
        <v/>
      </c>
      <c r="AK71" s="1047" t="str">
        <f t="shared" si="31"/>
        <v/>
      </c>
      <c r="AL71" s="1050">
        <f>SUM(G71:AH71)</f>
        <v>0</v>
      </c>
      <c r="AM71" s="1051">
        <f>AL71/4</f>
        <v>0</v>
      </c>
      <c r="AN71" s="1052" t="str">
        <f>IF(C70="","",C70)</f>
        <v/>
      </c>
      <c r="AO71" s="1053" t="str">
        <f>IF(D70="","",D70)</f>
        <v/>
      </c>
      <c r="AP71" s="1054" t="str">
        <f>IF(D70&lt;&gt;"",VLOOKUP(D70,$AU$2:$AV$6,2,FALSE),"")</f>
        <v/>
      </c>
      <c r="AQ71" s="1051" t="e">
        <f>ROUNDDOWN(AL71/$AL$6,2)</f>
        <v>#DIV/0!</v>
      </c>
      <c r="AR71" s="1051" t="e">
        <f>IF(AP71=1,"",AQ71)</f>
        <v>#DIV/0!</v>
      </c>
    </row>
    <row r="72" spans="1:44" ht="15.9" customHeight="1">
      <c r="A72" s="989"/>
      <c r="B72" s="2238" t="s">
        <v>1991</v>
      </c>
      <c r="C72" s="2239"/>
      <c r="D72" s="2241"/>
      <c r="E72" s="2243"/>
      <c r="F72" s="1034" t="s">
        <v>1959</v>
      </c>
      <c r="G72" s="1035"/>
      <c r="H72" s="1036"/>
      <c r="I72" s="1037"/>
      <c r="J72" s="1037"/>
      <c r="K72" s="1037"/>
      <c r="L72" s="1037"/>
      <c r="M72" s="1038"/>
      <c r="N72" s="1035"/>
      <c r="O72" s="1036"/>
      <c r="P72" s="1037"/>
      <c r="Q72" s="1037"/>
      <c r="R72" s="1037"/>
      <c r="S72" s="1037"/>
      <c r="T72" s="1038"/>
      <c r="U72" s="1035"/>
      <c r="V72" s="1036"/>
      <c r="W72" s="1037"/>
      <c r="X72" s="1037"/>
      <c r="Y72" s="1037"/>
      <c r="Z72" s="1037"/>
      <c r="AA72" s="1038"/>
      <c r="AB72" s="1035"/>
      <c r="AC72" s="1036"/>
      <c r="AD72" s="1037"/>
      <c r="AE72" s="1037"/>
      <c r="AF72" s="1037"/>
      <c r="AG72" s="1037"/>
      <c r="AH72" s="1038"/>
      <c r="AI72" s="1055"/>
      <c r="AJ72" s="1036"/>
      <c r="AK72" s="1036"/>
      <c r="AL72" s="1040">
        <f>SUM(G73:AK73)</f>
        <v>0</v>
      </c>
      <c r="AM72" s="1041"/>
      <c r="AN72" s="1042"/>
      <c r="AO72" s="1043"/>
      <c r="AP72" s="1041"/>
      <c r="AQ72" s="1044"/>
      <c r="AR72" s="1044"/>
    </row>
    <row r="73" spans="1:44" ht="15.9" customHeight="1">
      <c r="A73" s="989"/>
      <c r="B73" s="2238"/>
      <c r="C73" s="2240"/>
      <c r="D73" s="2242"/>
      <c r="E73" s="2244"/>
      <c r="F73" s="1045" t="s">
        <v>1960</v>
      </c>
      <c r="G73" s="1046" t="str">
        <f t="shared" ref="G73:AK73" si="32">IF(G72&lt;&gt;"",VLOOKUP(G72,$AC$197:$AL$221,9,FALSE),"")</f>
        <v/>
      </c>
      <c r="H73" s="1047" t="str">
        <f t="shared" si="32"/>
        <v/>
      </c>
      <c r="I73" s="1047" t="str">
        <f t="shared" si="32"/>
        <v/>
      </c>
      <c r="J73" s="1047" t="str">
        <f t="shared" si="32"/>
        <v/>
      </c>
      <c r="K73" s="1047" t="str">
        <f t="shared" si="32"/>
        <v/>
      </c>
      <c r="L73" s="1047" t="str">
        <f t="shared" si="32"/>
        <v/>
      </c>
      <c r="M73" s="1048" t="str">
        <f t="shared" si="32"/>
        <v/>
      </c>
      <c r="N73" s="1046" t="str">
        <f t="shared" si="32"/>
        <v/>
      </c>
      <c r="O73" s="1047" t="str">
        <f t="shared" si="32"/>
        <v/>
      </c>
      <c r="P73" s="1047" t="str">
        <f t="shared" si="32"/>
        <v/>
      </c>
      <c r="Q73" s="1047" t="str">
        <f t="shared" si="32"/>
        <v/>
      </c>
      <c r="R73" s="1047" t="str">
        <f t="shared" si="32"/>
        <v/>
      </c>
      <c r="S73" s="1047" t="str">
        <f t="shared" si="32"/>
        <v/>
      </c>
      <c r="T73" s="1048" t="str">
        <f t="shared" si="32"/>
        <v/>
      </c>
      <c r="U73" s="1046" t="str">
        <f t="shared" si="32"/>
        <v/>
      </c>
      <c r="V73" s="1047" t="str">
        <f t="shared" si="32"/>
        <v/>
      </c>
      <c r="W73" s="1047" t="str">
        <f t="shared" si="32"/>
        <v/>
      </c>
      <c r="X73" s="1047" t="str">
        <f t="shared" si="32"/>
        <v/>
      </c>
      <c r="Y73" s="1047" t="str">
        <f t="shared" si="32"/>
        <v/>
      </c>
      <c r="Z73" s="1047" t="str">
        <f t="shared" si="32"/>
        <v/>
      </c>
      <c r="AA73" s="1048" t="str">
        <f t="shared" si="32"/>
        <v/>
      </c>
      <c r="AB73" s="1046" t="str">
        <f t="shared" si="32"/>
        <v/>
      </c>
      <c r="AC73" s="1047" t="str">
        <f t="shared" si="32"/>
        <v/>
      </c>
      <c r="AD73" s="1047" t="str">
        <f t="shared" si="32"/>
        <v/>
      </c>
      <c r="AE73" s="1047" t="str">
        <f t="shared" si="32"/>
        <v/>
      </c>
      <c r="AF73" s="1047" t="str">
        <f t="shared" si="32"/>
        <v/>
      </c>
      <c r="AG73" s="1047" t="str">
        <f t="shared" si="32"/>
        <v/>
      </c>
      <c r="AH73" s="1048" t="str">
        <f t="shared" si="32"/>
        <v/>
      </c>
      <c r="AI73" s="1049" t="str">
        <f t="shared" si="32"/>
        <v/>
      </c>
      <c r="AJ73" s="1047" t="str">
        <f t="shared" si="32"/>
        <v/>
      </c>
      <c r="AK73" s="1047" t="str">
        <f t="shared" si="32"/>
        <v/>
      </c>
      <c r="AL73" s="1050">
        <f>SUM(G73:AH73)</f>
        <v>0</v>
      </c>
      <c r="AM73" s="1051">
        <f>AL73/4</f>
        <v>0</v>
      </c>
      <c r="AN73" s="1052" t="str">
        <f>IF(C72="","",C72)</f>
        <v/>
      </c>
      <c r="AO73" s="1053" t="str">
        <f>IF(D72="","",D72)</f>
        <v/>
      </c>
      <c r="AP73" s="1054" t="str">
        <f>IF(D72&lt;&gt;"",VLOOKUP(D72,$AU$2:$AV$6,2,FALSE),"")</f>
        <v/>
      </c>
      <c r="AQ73" s="1051" t="e">
        <f>ROUNDDOWN(AL73/$AL$6,2)</f>
        <v>#DIV/0!</v>
      </c>
      <c r="AR73" s="1051" t="e">
        <f>IF(AP73=1,"",AQ73)</f>
        <v>#DIV/0!</v>
      </c>
    </row>
    <row r="74" spans="1:44" ht="15.9" customHeight="1">
      <c r="A74" s="989"/>
      <c r="B74" s="2238" t="s">
        <v>1992</v>
      </c>
      <c r="C74" s="2239"/>
      <c r="D74" s="2241"/>
      <c r="E74" s="2243"/>
      <c r="F74" s="1034" t="s">
        <v>1959</v>
      </c>
      <c r="G74" s="1035"/>
      <c r="H74" s="1036"/>
      <c r="I74" s="1037"/>
      <c r="J74" s="1037"/>
      <c r="K74" s="1037"/>
      <c r="L74" s="1037"/>
      <c r="M74" s="1038"/>
      <c r="N74" s="1035"/>
      <c r="O74" s="1036"/>
      <c r="P74" s="1037"/>
      <c r="Q74" s="1037"/>
      <c r="R74" s="1037"/>
      <c r="S74" s="1037"/>
      <c r="T74" s="1038"/>
      <c r="U74" s="1035"/>
      <c r="V74" s="1036"/>
      <c r="W74" s="1037"/>
      <c r="X74" s="1037"/>
      <c r="Y74" s="1037"/>
      <c r="Z74" s="1037"/>
      <c r="AA74" s="1038"/>
      <c r="AB74" s="1035"/>
      <c r="AC74" s="1036"/>
      <c r="AD74" s="1037"/>
      <c r="AE74" s="1037"/>
      <c r="AF74" s="1037"/>
      <c r="AG74" s="1037"/>
      <c r="AH74" s="1038"/>
      <c r="AI74" s="1039"/>
      <c r="AJ74" s="1037"/>
      <c r="AK74" s="1037"/>
      <c r="AL74" s="1040">
        <f>SUM(G75:AK75)</f>
        <v>0</v>
      </c>
      <c r="AM74" s="1041"/>
      <c r="AN74" s="1042"/>
      <c r="AO74" s="1043"/>
      <c r="AP74" s="1041"/>
      <c r="AQ74" s="1044"/>
      <c r="AR74" s="1044"/>
    </row>
    <row r="75" spans="1:44" ht="15.9" customHeight="1">
      <c r="A75" s="989"/>
      <c r="B75" s="2238"/>
      <c r="C75" s="2240"/>
      <c r="D75" s="2242"/>
      <c r="E75" s="2244"/>
      <c r="F75" s="1045" t="s">
        <v>1960</v>
      </c>
      <c r="G75" s="1046" t="str">
        <f t="shared" ref="G75:AK75" si="33">IF(G74&lt;&gt;"",VLOOKUP(G74,$AC$197:$AL$221,9,FALSE),"")</f>
        <v/>
      </c>
      <c r="H75" s="1047" t="str">
        <f t="shared" si="33"/>
        <v/>
      </c>
      <c r="I75" s="1047" t="str">
        <f t="shared" si="33"/>
        <v/>
      </c>
      <c r="J75" s="1047" t="str">
        <f t="shared" si="33"/>
        <v/>
      </c>
      <c r="K75" s="1047" t="str">
        <f t="shared" si="33"/>
        <v/>
      </c>
      <c r="L75" s="1047" t="str">
        <f t="shared" si="33"/>
        <v/>
      </c>
      <c r="M75" s="1048" t="str">
        <f t="shared" si="33"/>
        <v/>
      </c>
      <c r="N75" s="1046" t="str">
        <f t="shared" si="33"/>
        <v/>
      </c>
      <c r="O75" s="1047" t="str">
        <f t="shared" si="33"/>
        <v/>
      </c>
      <c r="P75" s="1047" t="str">
        <f t="shared" si="33"/>
        <v/>
      </c>
      <c r="Q75" s="1047" t="str">
        <f t="shared" si="33"/>
        <v/>
      </c>
      <c r="R75" s="1047" t="str">
        <f t="shared" si="33"/>
        <v/>
      </c>
      <c r="S75" s="1047" t="str">
        <f t="shared" si="33"/>
        <v/>
      </c>
      <c r="T75" s="1048" t="str">
        <f t="shared" si="33"/>
        <v/>
      </c>
      <c r="U75" s="1046" t="str">
        <f t="shared" si="33"/>
        <v/>
      </c>
      <c r="V75" s="1047" t="str">
        <f t="shared" si="33"/>
        <v/>
      </c>
      <c r="W75" s="1047" t="str">
        <f t="shared" si="33"/>
        <v/>
      </c>
      <c r="X75" s="1047" t="str">
        <f t="shared" si="33"/>
        <v/>
      </c>
      <c r="Y75" s="1047" t="str">
        <f t="shared" si="33"/>
        <v/>
      </c>
      <c r="Z75" s="1047" t="str">
        <f t="shared" si="33"/>
        <v/>
      </c>
      <c r="AA75" s="1048" t="str">
        <f t="shared" si="33"/>
        <v/>
      </c>
      <c r="AB75" s="1046" t="str">
        <f t="shared" si="33"/>
        <v/>
      </c>
      <c r="AC75" s="1047" t="str">
        <f t="shared" si="33"/>
        <v/>
      </c>
      <c r="AD75" s="1047" t="str">
        <f t="shared" si="33"/>
        <v/>
      </c>
      <c r="AE75" s="1047" t="str">
        <f t="shared" si="33"/>
        <v/>
      </c>
      <c r="AF75" s="1047" t="str">
        <f t="shared" si="33"/>
        <v/>
      </c>
      <c r="AG75" s="1047" t="str">
        <f t="shared" si="33"/>
        <v/>
      </c>
      <c r="AH75" s="1048" t="str">
        <f t="shared" si="33"/>
        <v/>
      </c>
      <c r="AI75" s="1049" t="str">
        <f t="shared" si="33"/>
        <v/>
      </c>
      <c r="AJ75" s="1047" t="str">
        <f t="shared" si="33"/>
        <v/>
      </c>
      <c r="AK75" s="1047" t="str">
        <f t="shared" si="33"/>
        <v/>
      </c>
      <c r="AL75" s="1050">
        <f>SUM(G75:AH75)</f>
        <v>0</v>
      </c>
      <c r="AM75" s="1051">
        <f>AL75/4</f>
        <v>0</v>
      </c>
      <c r="AN75" s="1052" t="str">
        <f>IF(C74="","",C74)</f>
        <v/>
      </c>
      <c r="AO75" s="1053" t="str">
        <f>IF(D74="","",D74)</f>
        <v/>
      </c>
      <c r="AP75" s="1054" t="str">
        <f>IF(D74&lt;&gt;"",VLOOKUP(D74,$AU$2:$AV$6,2,FALSE),"")</f>
        <v/>
      </c>
      <c r="AQ75" s="1051" t="e">
        <f>ROUNDDOWN(AL75/$AL$6,2)</f>
        <v>#DIV/0!</v>
      </c>
      <c r="AR75" s="1051" t="e">
        <f>IF(AP75=1,"",AQ75)</f>
        <v>#DIV/0!</v>
      </c>
    </row>
    <row r="76" spans="1:44" ht="15.9" customHeight="1">
      <c r="A76" s="989"/>
      <c r="B76" s="2238" t="s">
        <v>1993</v>
      </c>
      <c r="C76" s="2239"/>
      <c r="D76" s="2241"/>
      <c r="E76" s="2243"/>
      <c r="F76" s="1034" t="s">
        <v>1959</v>
      </c>
      <c r="G76" s="1035"/>
      <c r="H76" s="1036"/>
      <c r="I76" s="1037"/>
      <c r="J76" s="1037"/>
      <c r="K76" s="1037"/>
      <c r="L76" s="1037"/>
      <c r="M76" s="1038"/>
      <c r="N76" s="1035"/>
      <c r="O76" s="1036"/>
      <c r="P76" s="1037"/>
      <c r="Q76" s="1037"/>
      <c r="R76" s="1037"/>
      <c r="S76" s="1037"/>
      <c r="T76" s="1038"/>
      <c r="U76" s="1035"/>
      <c r="V76" s="1036"/>
      <c r="W76" s="1037"/>
      <c r="X76" s="1037"/>
      <c r="Y76" s="1037"/>
      <c r="Z76" s="1037"/>
      <c r="AA76" s="1038"/>
      <c r="AB76" s="1035"/>
      <c r="AC76" s="1036"/>
      <c r="AD76" s="1037"/>
      <c r="AE76" s="1037"/>
      <c r="AF76" s="1037"/>
      <c r="AG76" s="1037"/>
      <c r="AH76" s="1038"/>
      <c r="AI76" s="1039"/>
      <c r="AJ76" s="1037"/>
      <c r="AK76" s="1037"/>
      <c r="AL76" s="1040">
        <f>SUM(G77:AK77)</f>
        <v>0</v>
      </c>
      <c r="AM76" s="1041"/>
      <c r="AN76" s="1042"/>
      <c r="AO76" s="1043"/>
      <c r="AP76" s="1041"/>
      <c r="AQ76" s="1044"/>
      <c r="AR76" s="1044"/>
    </row>
    <row r="77" spans="1:44" ht="15.9" customHeight="1">
      <c r="A77" s="989"/>
      <c r="B77" s="2238"/>
      <c r="C77" s="2240"/>
      <c r="D77" s="2242"/>
      <c r="E77" s="2244"/>
      <c r="F77" s="1045" t="s">
        <v>1960</v>
      </c>
      <c r="G77" s="1046" t="str">
        <f t="shared" ref="G77:AK77" si="34">IF(G76&lt;&gt;"",VLOOKUP(G76,$AC$197:$AL$221,9,FALSE),"")</f>
        <v/>
      </c>
      <c r="H77" s="1047" t="str">
        <f t="shared" si="34"/>
        <v/>
      </c>
      <c r="I77" s="1047" t="str">
        <f t="shared" si="34"/>
        <v/>
      </c>
      <c r="J77" s="1047" t="str">
        <f t="shared" si="34"/>
        <v/>
      </c>
      <c r="K77" s="1047" t="str">
        <f t="shared" si="34"/>
        <v/>
      </c>
      <c r="L77" s="1047" t="str">
        <f t="shared" si="34"/>
        <v/>
      </c>
      <c r="M77" s="1048" t="str">
        <f t="shared" si="34"/>
        <v/>
      </c>
      <c r="N77" s="1046" t="str">
        <f t="shared" si="34"/>
        <v/>
      </c>
      <c r="O77" s="1047" t="str">
        <f t="shared" si="34"/>
        <v/>
      </c>
      <c r="P77" s="1047" t="str">
        <f t="shared" si="34"/>
        <v/>
      </c>
      <c r="Q77" s="1047" t="str">
        <f t="shared" si="34"/>
        <v/>
      </c>
      <c r="R77" s="1047" t="str">
        <f t="shared" si="34"/>
        <v/>
      </c>
      <c r="S77" s="1047" t="str">
        <f t="shared" si="34"/>
        <v/>
      </c>
      <c r="T77" s="1048" t="str">
        <f t="shared" si="34"/>
        <v/>
      </c>
      <c r="U77" s="1046" t="str">
        <f t="shared" si="34"/>
        <v/>
      </c>
      <c r="V77" s="1047" t="str">
        <f t="shared" si="34"/>
        <v/>
      </c>
      <c r="W77" s="1047" t="str">
        <f t="shared" si="34"/>
        <v/>
      </c>
      <c r="X77" s="1047" t="str">
        <f t="shared" si="34"/>
        <v/>
      </c>
      <c r="Y77" s="1047" t="str">
        <f t="shared" si="34"/>
        <v/>
      </c>
      <c r="Z77" s="1047" t="str">
        <f t="shared" si="34"/>
        <v/>
      </c>
      <c r="AA77" s="1048" t="str">
        <f t="shared" si="34"/>
        <v/>
      </c>
      <c r="AB77" s="1046" t="str">
        <f t="shared" si="34"/>
        <v/>
      </c>
      <c r="AC77" s="1047" t="str">
        <f t="shared" si="34"/>
        <v/>
      </c>
      <c r="AD77" s="1047" t="str">
        <f t="shared" si="34"/>
        <v/>
      </c>
      <c r="AE77" s="1047" t="str">
        <f t="shared" si="34"/>
        <v/>
      </c>
      <c r="AF77" s="1047" t="str">
        <f t="shared" si="34"/>
        <v/>
      </c>
      <c r="AG77" s="1047" t="str">
        <f t="shared" si="34"/>
        <v/>
      </c>
      <c r="AH77" s="1048" t="str">
        <f t="shared" si="34"/>
        <v/>
      </c>
      <c r="AI77" s="1049" t="str">
        <f t="shared" si="34"/>
        <v/>
      </c>
      <c r="AJ77" s="1047" t="str">
        <f t="shared" si="34"/>
        <v/>
      </c>
      <c r="AK77" s="1047" t="str">
        <f t="shared" si="34"/>
        <v/>
      </c>
      <c r="AL77" s="1050">
        <f>SUM(G77:AH77)</f>
        <v>0</v>
      </c>
      <c r="AM77" s="1051">
        <f>AL77/4</f>
        <v>0</v>
      </c>
      <c r="AN77" s="1052" t="str">
        <f>IF(C76="","",C76)</f>
        <v/>
      </c>
      <c r="AO77" s="1053" t="str">
        <f>IF(D76="","",D76)</f>
        <v/>
      </c>
      <c r="AP77" s="1054" t="str">
        <f>IF(D76&lt;&gt;"",VLOOKUP(D76,$AU$2:$AV$6,2,FALSE),"")</f>
        <v/>
      </c>
      <c r="AQ77" s="1051" t="e">
        <f>ROUNDDOWN(AL77/$AL$6,2)</f>
        <v>#DIV/0!</v>
      </c>
      <c r="AR77" s="1051" t="e">
        <f>IF(AP77=1,"",AQ77)</f>
        <v>#DIV/0!</v>
      </c>
    </row>
    <row r="78" spans="1:44" ht="15.9" hidden="1" customHeight="1">
      <c r="A78" s="989"/>
      <c r="B78" s="2238" t="s">
        <v>1994</v>
      </c>
      <c r="C78" s="2239"/>
      <c r="D78" s="2241"/>
      <c r="E78" s="2243"/>
      <c r="F78" s="1034" t="s">
        <v>1959</v>
      </c>
      <c r="G78" s="1035"/>
      <c r="H78" s="1036"/>
      <c r="I78" s="1037"/>
      <c r="J78" s="1037"/>
      <c r="K78" s="1037"/>
      <c r="L78" s="1037"/>
      <c r="M78" s="1038"/>
      <c r="N78" s="1035"/>
      <c r="O78" s="1036"/>
      <c r="P78" s="1037"/>
      <c r="Q78" s="1037"/>
      <c r="R78" s="1037"/>
      <c r="S78" s="1037"/>
      <c r="T78" s="1038"/>
      <c r="U78" s="1035"/>
      <c r="V78" s="1036"/>
      <c r="W78" s="1037"/>
      <c r="X78" s="1037"/>
      <c r="Y78" s="1037"/>
      <c r="Z78" s="1037"/>
      <c r="AA78" s="1038"/>
      <c r="AB78" s="1035"/>
      <c r="AC78" s="1036"/>
      <c r="AD78" s="1037"/>
      <c r="AE78" s="1037"/>
      <c r="AF78" s="1037"/>
      <c r="AG78" s="1037"/>
      <c r="AH78" s="1038"/>
      <c r="AI78" s="1055"/>
      <c r="AJ78" s="1036"/>
      <c r="AK78" s="1036"/>
      <c r="AL78" s="1040">
        <f>SUM(G79:AK79)</f>
        <v>0</v>
      </c>
      <c r="AM78" s="1041"/>
      <c r="AN78" s="1042"/>
      <c r="AO78" s="1043"/>
      <c r="AP78" s="1041"/>
      <c r="AQ78" s="1044"/>
      <c r="AR78" s="1044"/>
    </row>
    <row r="79" spans="1:44" ht="15.9" hidden="1" customHeight="1">
      <c r="A79" s="989"/>
      <c r="B79" s="2238"/>
      <c r="C79" s="2240"/>
      <c r="D79" s="2242"/>
      <c r="E79" s="2244"/>
      <c r="F79" s="1045" t="s">
        <v>1960</v>
      </c>
      <c r="G79" s="1046" t="str">
        <f t="shared" ref="G79:AK79" si="35">IF(G78&lt;&gt;"",VLOOKUP(G78,$AC$197:$AL$221,9,FALSE),"")</f>
        <v/>
      </c>
      <c r="H79" s="1047" t="str">
        <f t="shared" si="35"/>
        <v/>
      </c>
      <c r="I79" s="1047" t="str">
        <f t="shared" si="35"/>
        <v/>
      </c>
      <c r="J79" s="1047" t="str">
        <f t="shared" si="35"/>
        <v/>
      </c>
      <c r="K79" s="1047" t="str">
        <f t="shared" si="35"/>
        <v/>
      </c>
      <c r="L79" s="1047" t="str">
        <f t="shared" si="35"/>
        <v/>
      </c>
      <c r="M79" s="1048" t="str">
        <f t="shared" si="35"/>
        <v/>
      </c>
      <c r="N79" s="1046" t="str">
        <f t="shared" si="35"/>
        <v/>
      </c>
      <c r="O79" s="1047" t="str">
        <f t="shared" si="35"/>
        <v/>
      </c>
      <c r="P79" s="1047" t="str">
        <f t="shared" si="35"/>
        <v/>
      </c>
      <c r="Q79" s="1047" t="str">
        <f t="shared" si="35"/>
        <v/>
      </c>
      <c r="R79" s="1047" t="str">
        <f t="shared" si="35"/>
        <v/>
      </c>
      <c r="S79" s="1047" t="str">
        <f t="shared" si="35"/>
        <v/>
      </c>
      <c r="T79" s="1048" t="str">
        <f t="shared" si="35"/>
        <v/>
      </c>
      <c r="U79" s="1046" t="str">
        <f t="shared" si="35"/>
        <v/>
      </c>
      <c r="V79" s="1047" t="str">
        <f t="shared" si="35"/>
        <v/>
      </c>
      <c r="W79" s="1047" t="str">
        <f t="shared" si="35"/>
        <v/>
      </c>
      <c r="X79" s="1047" t="str">
        <f t="shared" si="35"/>
        <v/>
      </c>
      <c r="Y79" s="1047" t="str">
        <f t="shared" si="35"/>
        <v/>
      </c>
      <c r="Z79" s="1047" t="str">
        <f t="shared" si="35"/>
        <v/>
      </c>
      <c r="AA79" s="1048" t="str">
        <f t="shared" si="35"/>
        <v/>
      </c>
      <c r="AB79" s="1046" t="str">
        <f t="shared" si="35"/>
        <v/>
      </c>
      <c r="AC79" s="1047" t="str">
        <f t="shared" si="35"/>
        <v/>
      </c>
      <c r="AD79" s="1047" t="str">
        <f t="shared" si="35"/>
        <v/>
      </c>
      <c r="AE79" s="1047" t="str">
        <f t="shared" si="35"/>
        <v/>
      </c>
      <c r="AF79" s="1047" t="str">
        <f t="shared" si="35"/>
        <v/>
      </c>
      <c r="AG79" s="1047" t="str">
        <f t="shared" si="35"/>
        <v/>
      </c>
      <c r="AH79" s="1048" t="str">
        <f t="shared" si="35"/>
        <v/>
      </c>
      <c r="AI79" s="1049" t="str">
        <f t="shared" si="35"/>
        <v/>
      </c>
      <c r="AJ79" s="1047" t="str">
        <f t="shared" si="35"/>
        <v/>
      </c>
      <c r="AK79" s="1047" t="str">
        <f t="shared" si="35"/>
        <v/>
      </c>
      <c r="AL79" s="1050">
        <f>SUM(G79:AH79)</f>
        <v>0</v>
      </c>
      <c r="AM79" s="1051">
        <f>AL79/4</f>
        <v>0</v>
      </c>
      <c r="AN79" s="1052" t="str">
        <f>IF(C78="","",C78)</f>
        <v/>
      </c>
      <c r="AO79" s="1053" t="str">
        <f>IF(D78="","",D78)</f>
        <v/>
      </c>
      <c r="AP79" s="1054" t="str">
        <f>IF(D78&lt;&gt;"",VLOOKUP(D78,$AU$2:$AV$6,2,FALSE),"")</f>
        <v/>
      </c>
      <c r="AQ79" s="1051" t="e">
        <f>ROUNDDOWN(AL79/$AL$6,2)</f>
        <v>#DIV/0!</v>
      </c>
      <c r="AR79" s="1051" t="e">
        <f>IF(AP79=1,"",AQ79)</f>
        <v>#DIV/0!</v>
      </c>
    </row>
    <row r="80" spans="1:44" ht="15.9" hidden="1" customHeight="1">
      <c r="A80" s="989"/>
      <c r="B80" s="2238" t="s">
        <v>1995</v>
      </c>
      <c r="C80" s="2239"/>
      <c r="D80" s="2241"/>
      <c r="E80" s="2243"/>
      <c r="F80" s="1034" t="s">
        <v>1959</v>
      </c>
      <c r="G80" s="1035"/>
      <c r="H80" s="1036"/>
      <c r="I80" s="1037"/>
      <c r="J80" s="1037"/>
      <c r="K80" s="1037"/>
      <c r="L80" s="1037"/>
      <c r="M80" s="1038"/>
      <c r="N80" s="1035"/>
      <c r="O80" s="1036"/>
      <c r="P80" s="1037"/>
      <c r="Q80" s="1037"/>
      <c r="R80" s="1037"/>
      <c r="S80" s="1037"/>
      <c r="T80" s="1038"/>
      <c r="U80" s="1035"/>
      <c r="V80" s="1036"/>
      <c r="W80" s="1037"/>
      <c r="X80" s="1037"/>
      <c r="Y80" s="1037"/>
      <c r="Z80" s="1037"/>
      <c r="AA80" s="1038"/>
      <c r="AB80" s="1035"/>
      <c r="AC80" s="1036"/>
      <c r="AD80" s="1037"/>
      <c r="AE80" s="1037"/>
      <c r="AF80" s="1037"/>
      <c r="AG80" s="1037"/>
      <c r="AH80" s="1038"/>
      <c r="AI80" s="1055"/>
      <c r="AJ80" s="1036"/>
      <c r="AK80" s="1036"/>
      <c r="AL80" s="1040">
        <f>SUM(G81:AK81)</f>
        <v>0</v>
      </c>
      <c r="AM80" s="1041"/>
      <c r="AN80" s="1042"/>
      <c r="AO80" s="1043"/>
      <c r="AP80" s="1041"/>
      <c r="AQ80" s="1044"/>
      <c r="AR80" s="1044"/>
    </row>
    <row r="81" spans="1:44" ht="15.9" hidden="1" customHeight="1">
      <c r="A81" s="989"/>
      <c r="B81" s="2238"/>
      <c r="C81" s="2240"/>
      <c r="D81" s="2242"/>
      <c r="E81" s="2244"/>
      <c r="F81" s="1045" t="s">
        <v>1960</v>
      </c>
      <c r="G81" s="1046" t="str">
        <f t="shared" ref="G81:AK81" si="36">IF(G80&lt;&gt;"",VLOOKUP(G80,$AC$197:$AL$221,9,FALSE),"")</f>
        <v/>
      </c>
      <c r="H81" s="1047" t="str">
        <f t="shared" si="36"/>
        <v/>
      </c>
      <c r="I81" s="1047" t="str">
        <f t="shared" si="36"/>
        <v/>
      </c>
      <c r="J81" s="1047" t="str">
        <f t="shared" si="36"/>
        <v/>
      </c>
      <c r="K81" s="1047" t="str">
        <f t="shared" si="36"/>
        <v/>
      </c>
      <c r="L81" s="1047" t="str">
        <f t="shared" si="36"/>
        <v/>
      </c>
      <c r="M81" s="1048" t="str">
        <f t="shared" si="36"/>
        <v/>
      </c>
      <c r="N81" s="1046" t="str">
        <f t="shared" si="36"/>
        <v/>
      </c>
      <c r="O81" s="1047" t="str">
        <f t="shared" si="36"/>
        <v/>
      </c>
      <c r="P81" s="1047" t="str">
        <f t="shared" si="36"/>
        <v/>
      </c>
      <c r="Q81" s="1047" t="str">
        <f t="shared" si="36"/>
        <v/>
      </c>
      <c r="R81" s="1047" t="str">
        <f t="shared" si="36"/>
        <v/>
      </c>
      <c r="S81" s="1047" t="str">
        <f t="shared" si="36"/>
        <v/>
      </c>
      <c r="T81" s="1048" t="str">
        <f t="shared" si="36"/>
        <v/>
      </c>
      <c r="U81" s="1046" t="str">
        <f t="shared" si="36"/>
        <v/>
      </c>
      <c r="V81" s="1047" t="str">
        <f t="shared" si="36"/>
        <v/>
      </c>
      <c r="W81" s="1047" t="str">
        <f t="shared" si="36"/>
        <v/>
      </c>
      <c r="X81" s="1047" t="str">
        <f t="shared" si="36"/>
        <v/>
      </c>
      <c r="Y81" s="1047" t="str">
        <f t="shared" si="36"/>
        <v/>
      </c>
      <c r="Z81" s="1047" t="str">
        <f t="shared" si="36"/>
        <v/>
      </c>
      <c r="AA81" s="1048" t="str">
        <f t="shared" si="36"/>
        <v/>
      </c>
      <c r="AB81" s="1046" t="str">
        <f t="shared" si="36"/>
        <v/>
      </c>
      <c r="AC81" s="1047" t="str">
        <f t="shared" si="36"/>
        <v/>
      </c>
      <c r="AD81" s="1047" t="str">
        <f t="shared" si="36"/>
        <v/>
      </c>
      <c r="AE81" s="1047" t="str">
        <f t="shared" si="36"/>
        <v/>
      </c>
      <c r="AF81" s="1047" t="str">
        <f t="shared" si="36"/>
        <v/>
      </c>
      <c r="AG81" s="1047" t="str">
        <f t="shared" si="36"/>
        <v/>
      </c>
      <c r="AH81" s="1048" t="str">
        <f t="shared" si="36"/>
        <v/>
      </c>
      <c r="AI81" s="1049" t="str">
        <f t="shared" si="36"/>
        <v/>
      </c>
      <c r="AJ81" s="1047" t="str">
        <f t="shared" si="36"/>
        <v/>
      </c>
      <c r="AK81" s="1047" t="str">
        <f t="shared" si="36"/>
        <v/>
      </c>
      <c r="AL81" s="1050">
        <f>SUM(G81:AH81)</f>
        <v>0</v>
      </c>
      <c r="AM81" s="1051">
        <f>AL81/4</f>
        <v>0</v>
      </c>
      <c r="AN81" s="1052" t="str">
        <f>IF(C80="","",C80)</f>
        <v/>
      </c>
      <c r="AO81" s="1053" t="str">
        <f>IF(D80="","",D80)</f>
        <v/>
      </c>
      <c r="AP81" s="1054" t="str">
        <f>IF(D80&lt;&gt;"",VLOOKUP(D80,$AU$2:$AV$6,2,FALSE),"")</f>
        <v/>
      </c>
      <c r="AQ81" s="1051" t="e">
        <f>ROUNDDOWN(AL81/$AL$6,2)</f>
        <v>#DIV/0!</v>
      </c>
      <c r="AR81" s="1051" t="e">
        <f>IF(AP81=1,"",AQ81)</f>
        <v>#DIV/0!</v>
      </c>
    </row>
    <row r="82" spans="1:44" ht="15.9" hidden="1" customHeight="1">
      <c r="A82" s="989"/>
      <c r="B82" s="2238" t="s">
        <v>1996</v>
      </c>
      <c r="C82" s="2239"/>
      <c r="D82" s="2241"/>
      <c r="E82" s="2243"/>
      <c r="F82" s="1034" t="s">
        <v>1959</v>
      </c>
      <c r="G82" s="1035"/>
      <c r="H82" s="1036"/>
      <c r="I82" s="1037"/>
      <c r="J82" s="1037"/>
      <c r="K82" s="1037"/>
      <c r="L82" s="1037"/>
      <c r="M82" s="1038"/>
      <c r="N82" s="1035"/>
      <c r="O82" s="1036"/>
      <c r="P82" s="1037"/>
      <c r="Q82" s="1037"/>
      <c r="R82" s="1037"/>
      <c r="S82" s="1037"/>
      <c r="T82" s="1038"/>
      <c r="U82" s="1035"/>
      <c r="V82" s="1036"/>
      <c r="W82" s="1037"/>
      <c r="X82" s="1037"/>
      <c r="Y82" s="1037"/>
      <c r="Z82" s="1037"/>
      <c r="AA82" s="1038"/>
      <c r="AB82" s="1035"/>
      <c r="AC82" s="1036"/>
      <c r="AD82" s="1037"/>
      <c r="AE82" s="1037"/>
      <c r="AF82" s="1037"/>
      <c r="AG82" s="1037"/>
      <c r="AH82" s="1038"/>
      <c r="AI82" s="1039"/>
      <c r="AJ82" s="1037"/>
      <c r="AK82" s="1037"/>
      <c r="AL82" s="1040">
        <f>SUM(G83:AK83)</f>
        <v>0</v>
      </c>
      <c r="AM82" s="1041"/>
      <c r="AN82" s="1042"/>
      <c r="AO82" s="1043"/>
      <c r="AP82" s="1041"/>
      <c r="AQ82" s="1044"/>
      <c r="AR82" s="1044"/>
    </row>
    <row r="83" spans="1:44" ht="15.9" hidden="1" customHeight="1">
      <c r="A83" s="989"/>
      <c r="B83" s="2238"/>
      <c r="C83" s="2240"/>
      <c r="D83" s="2242"/>
      <c r="E83" s="2244"/>
      <c r="F83" s="1045" t="s">
        <v>1960</v>
      </c>
      <c r="G83" s="1046" t="str">
        <f t="shared" ref="G83:AK83" si="37">IF(G82&lt;&gt;"",VLOOKUP(G82,$AC$197:$AL$221,9,FALSE),"")</f>
        <v/>
      </c>
      <c r="H83" s="1047" t="str">
        <f t="shared" si="37"/>
        <v/>
      </c>
      <c r="I83" s="1047" t="str">
        <f t="shared" si="37"/>
        <v/>
      </c>
      <c r="J83" s="1047" t="str">
        <f t="shared" si="37"/>
        <v/>
      </c>
      <c r="K83" s="1047" t="str">
        <f t="shared" si="37"/>
        <v/>
      </c>
      <c r="L83" s="1047" t="str">
        <f t="shared" si="37"/>
        <v/>
      </c>
      <c r="M83" s="1048" t="str">
        <f t="shared" si="37"/>
        <v/>
      </c>
      <c r="N83" s="1046" t="str">
        <f t="shared" si="37"/>
        <v/>
      </c>
      <c r="O83" s="1047" t="str">
        <f t="shared" si="37"/>
        <v/>
      </c>
      <c r="P83" s="1047" t="str">
        <f t="shared" si="37"/>
        <v/>
      </c>
      <c r="Q83" s="1047" t="str">
        <f t="shared" si="37"/>
        <v/>
      </c>
      <c r="R83" s="1047" t="str">
        <f t="shared" si="37"/>
        <v/>
      </c>
      <c r="S83" s="1047" t="str">
        <f t="shared" si="37"/>
        <v/>
      </c>
      <c r="T83" s="1048" t="str">
        <f t="shared" si="37"/>
        <v/>
      </c>
      <c r="U83" s="1046" t="str">
        <f t="shared" si="37"/>
        <v/>
      </c>
      <c r="V83" s="1047" t="str">
        <f t="shared" si="37"/>
        <v/>
      </c>
      <c r="W83" s="1047" t="str">
        <f t="shared" si="37"/>
        <v/>
      </c>
      <c r="X83" s="1047" t="str">
        <f t="shared" si="37"/>
        <v/>
      </c>
      <c r="Y83" s="1047" t="str">
        <f t="shared" si="37"/>
        <v/>
      </c>
      <c r="Z83" s="1047" t="str">
        <f t="shared" si="37"/>
        <v/>
      </c>
      <c r="AA83" s="1048" t="str">
        <f t="shared" si="37"/>
        <v/>
      </c>
      <c r="AB83" s="1046" t="str">
        <f t="shared" si="37"/>
        <v/>
      </c>
      <c r="AC83" s="1047" t="str">
        <f t="shared" si="37"/>
        <v/>
      </c>
      <c r="AD83" s="1047" t="str">
        <f t="shared" si="37"/>
        <v/>
      </c>
      <c r="AE83" s="1047" t="str">
        <f t="shared" si="37"/>
        <v/>
      </c>
      <c r="AF83" s="1047" t="str">
        <f t="shared" si="37"/>
        <v/>
      </c>
      <c r="AG83" s="1047" t="str">
        <f t="shared" si="37"/>
        <v/>
      </c>
      <c r="AH83" s="1048" t="str">
        <f t="shared" si="37"/>
        <v/>
      </c>
      <c r="AI83" s="1049" t="str">
        <f t="shared" si="37"/>
        <v/>
      </c>
      <c r="AJ83" s="1047" t="str">
        <f t="shared" si="37"/>
        <v/>
      </c>
      <c r="AK83" s="1047" t="str">
        <f t="shared" si="37"/>
        <v/>
      </c>
      <c r="AL83" s="1050">
        <f>SUM(G83:AH83)</f>
        <v>0</v>
      </c>
      <c r="AM83" s="1051">
        <f>AL83/4</f>
        <v>0</v>
      </c>
      <c r="AN83" s="1052" t="str">
        <f>IF(C82="","",C82)</f>
        <v/>
      </c>
      <c r="AO83" s="1053" t="str">
        <f>IF(D82="","",D82)</f>
        <v/>
      </c>
      <c r="AP83" s="1054" t="str">
        <f>IF(D82&lt;&gt;"",VLOOKUP(D82,$AU$2:$AV$6,2,FALSE),"")</f>
        <v/>
      </c>
      <c r="AQ83" s="1051" t="e">
        <f>ROUNDDOWN(AL83/$AL$6,2)</f>
        <v>#DIV/0!</v>
      </c>
      <c r="AR83" s="1051" t="e">
        <f>IF(AP83=1,"",AQ83)</f>
        <v>#DIV/0!</v>
      </c>
    </row>
    <row r="84" spans="1:44" ht="15.9" hidden="1" customHeight="1">
      <c r="A84" s="989"/>
      <c r="B84" s="2238" t="s">
        <v>1997</v>
      </c>
      <c r="C84" s="2239"/>
      <c r="D84" s="2241"/>
      <c r="E84" s="2243"/>
      <c r="F84" s="1034" t="s">
        <v>1959</v>
      </c>
      <c r="G84" s="1035"/>
      <c r="H84" s="1036"/>
      <c r="I84" s="1037"/>
      <c r="J84" s="1037"/>
      <c r="K84" s="1037"/>
      <c r="L84" s="1037"/>
      <c r="M84" s="1038"/>
      <c r="N84" s="1035"/>
      <c r="O84" s="1036"/>
      <c r="P84" s="1037"/>
      <c r="Q84" s="1037"/>
      <c r="R84" s="1037"/>
      <c r="S84" s="1037"/>
      <c r="T84" s="1038"/>
      <c r="U84" s="1035"/>
      <c r="V84" s="1036"/>
      <c r="W84" s="1037"/>
      <c r="X84" s="1037"/>
      <c r="Y84" s="1037"/>
      <c r="Z84" s="1037"/>
      <c r="AA84" s="1038"/>
      <c r="AB84" s="1035"/>
      <c r="AC84" s="1036"/>
      <c r="AD84" s="1037"/>
      <c r="AE84" s="1037"/>
      <c r="AF84" s="1037"/>
      <c r="AG84" s="1037"/>
      <c r="AH84" s="1038"/>
      <c r="AI84" s="1039"/>
      <c r="AJ84" s="1037"/>
      <c r="AK84" s="1037"/>
      <c r="AL84" s="1040">
        <f>SUM(G85:AK85)</f>
        <v>0</v>
      </c>
      <c r="AM84" s="1041"/>
      <c r="AN84" s="1042"/>
      <c r="AO84" s="1043"/>
      <c r="AP84" s="1041"/>
      <c r="AQ84" s="1044"/>
      <c r="AR84" s="1044"/>
    </row>
    <row r="85" spans="1:44" ht="15.9" hidden="1" customHeight="1">
      <c r="A85" s="989"/>
      <c r="B85" s="2238"/>
      <c r="C85" s="2240"/>
      <c r="D85" s="2242"/>
      <c r="E85" s="2244"/>
      <c r="F85" s="1045" t="s">
        <v>1960</v>
      </c>
      <c r="G85" s="1046" t="str">
        <f t="shared" ref="G85:AK85" si="38">IF(G84&lt;&gt;"",VLOOKUP(G84,$AC$197:$AL$221,9,FALSE),"")</f>
        <v/>
      </c>
      <c r="H85" s="1047" t="str">
        <f t="shared" si="38"/>
        <v/>
      </c>
      <c r="I85" s="1047" t="str">
        <f t="shared" si="38"/>
        <v/>
      </c>
      <c r="J85" s="1047" t="str">
        <f t="shared" si="38"/>
        <v/>
      </c>
      <c r="K85" s="1047" t="str">
        <f t="shared" si="38"/>
        <v/>
      </c>
      <c r="L85" s="1047" t="str">
        <f t="shared" si="38"/>
        <v/>
      </c>
      <c r="M85" s="1048" t="str">
        <f t="shared" si="38"/>
        <v/>
      </c>
      <c r="N85" s="1046" t="str">
        <f t="shared" si="38"/>
        <v/>
      </c>
      <c r="O85" s="1047" t="str">
        <f t="shared" si="38"/>
        <v/>
      </c>
      <c r="P85" s="1047" t="str">
        <f t="shared" si="38"/>
        <v/>
      </c>
      <c r="Q85" s="1047" t="str">
        <f t="shared" si="38"/>
        <v/>
      </c>
      <c r="R85" s="1047" t="str">
        <f t="shared" si="38"/>
        <v/>
      </c>
      <c r="S85" s="1047" t="str">
        <f t="shared" si="38"/>
        <v/>
      </c>
      <c r="T85" s="1048" t="str">
        <f t="shared" si="38"/>
        <v/>
      </c>
      <c r="U85" s="1046" t="str">
        <f t="shared" si="38"/>
        <v/>
      </c>
      <c r="V85" s="1047" t="str">
        <f t="shared" si="38"/>
        <v/>
      </c>
      <c r="W85" s="1047" t="str">
        <f t="shared" si="38"/>
        <v/>
      </c>
      <c r="X85" s="1047" t="str">
        <f t="shared" si="38"/>
        <v/>
      </c>
      <c r="Y85" s="1047" t="str">
        <f t="shared" si="38"/>
        <v/>
      </c>
      <c r="Z85" s="1047" t="str">
        <f t="shared" si="38"/>
        <v/>
      </c>
      <c r="AA85" s="1048" t="str">
        <f t="shared" si="38"/>
        <v/>
      </c>
      <c r="AB85" s="1046" t="str">
        <f t="shared" si="38"/>
        <v/>
      </c>
      <c r="AC85" s="1047" t="str">
        <f t="shared" si="38"/>
        <v/>
      </c>
      <c r="AD85" s="1047" t="str">
        <f t="shared" si="38"/>
        <v/>
      </c>
      <c r="AE85" s="1047" t="str">
        <f t="shared" si="38"/>
        <v/>
      </c>
      <c r="AF85" s="1047" t="str">
        <f t="shared" si="38"/>
        <v/>
      </c>
      <c r="AG85" s="1047" t="str">
        <f t="shared" si="38"/>
        <v/>
      </c>
      <c r="AH85" s="1048" t="str">
        <f t="shared" si="38"/>
        <v/>
      </c>
      <c r="AI85" s="1049" t="str">
        <f t="shared" si="38"/>
        <v/>
      </c>
      <c r="AJ85" s="1047" t="str">
        <f t="shared" si="38"/>
        <v/>
      </c>
      <c r="AK85" s="1047" t="str">
        <f t="shared" si="38"/>
        <v/>
      </c>
      <c r="AL85" s="1050">
        <f>SUM(G85:AH85)</f>
        <v>0</v>
      </c>
      <c r="AM85" s="1051">
        <f>AL85/4</f>
        <v>0</v>
      </c>
      <c r="AN85" s="1052" t="str">
        <f>IF(C84="","",C84)</f>
        <v/>
      </c>
      <c r="AO85" s="1053" t="str">
        <f>IF(D84="","",D84)</f>
        <v/>
      </c>
      <c r="AP85" s="1054" t="str">
        <f>IF(D84&lt;&gt;"",VLOOKUP(D84,$AU$2:$AV$6,2,FALSE),"")</f>
        <v/>
      </c>
      <c r="AQ85" s="1051" t="e">
        <f>ROUNDDOWN(AL85/$AL$6,2)</f>
        <v>#DIV/0!</v>
      </c>
      <c r="AR85" s="1051" t="e">
        <f>IF(AP85=1,"",AQ85)</f>
        <v>#DIV/0!</v>
      </c>
    </row>
    <row r="86" spans="1:44" ht="15.9" hidden="1" customHeight="1">
      <c r="A86" s="989"/>
      <c r="B86" s="2238" t="s">
        <v>1998</v>
      </c>
      <c r="C86" s="2239"/>
      <c r="D86" s="2241"/>
      <c r="E86" s="2243"/>
      <c r="F86" s="1034" t="s">
        <v>1959</v>
      </c>
      <c r="G86" s="1035"/>
      <c r="H86" s="1036"/>
      <c r="I86" s="1037"/>
      <c r="J86" s="1037"/>
      <c r="K86" s="1037"/>
      <c r="L86" s="1037"/>
      <c r="M86" s="1038"/>
      <c r="N86" s="1035"/>
      <c r="O86" s="1036"/>
      <c r="P86" s="1037"/>
      <c r="Q86" s="1037"/>
      <c r="R86" s="1037"/>
      <c r="S86" s="1037"/>
      <c r="T86" s="1038"/>
      <c r="U86" s="1035"/>
      <c r="V86" s="1036"/>
      <c r="W86" s="1037"/>
      <c r="X86" s="1037"/>
      <c r="Y86" s="1037"/>
      <c r="Z86" s="1037"/>
      <c r="AA86" s="1038"/>
      <c r="AB86" s="1035"/>
      <c r="AC86" s="1036"/>
      <c r="AD86" s="1037"/>
      <c r="AE86" s="1037"/>
      <c r="AF86" s="1037"/>
      <c r="AG86" s="1037"/>
      <c r="AH86" s="1038"/>
      <c r="AI86" s="1055"/>
      <c r="AJ86" s="1036"/>
      <c r="AK86" s="1036"/>
      <c r="AL86" s="1040">
        <f>SUM(G87:AK87)</f>
        <v>0</v>
      </c>
      <c r="AM86" s="1041"/>
      <c r="AN86" s="1042"/>
      <c r="AO86" s="1043"/>
      <c r="AP86" s="1041"/>
      <c r="AQ86" s="1044"/>
      <c r="AR86" s="1044"/>
    </row>
    <row r="87" spans="1:44" ht="15.9" hidden="1" customHeight="1">
      <c r="A87" s="989"/>
      <c r="B87" s="2238"/>
      <c r="C87" s="2240"/>
      <c r="D87" s="2242"/>
      <c r="E87" s="2244"/>
      <c r="F87" s="1045" t="s">
        <v>1960</v>
      </c>
      <c r="G87" s="1046" t="str">
        <f t="shared" ref="G87:AK87" si="39">IF(G86&lt;&gt;"",VLOOKUP(G86,$AC$197:$AL$221,9,FALSE),"")</f>
        <v/>
      </c>
      <c r="H87" s="1047" t="str">
        <f t="shared" si="39"/>
        <v/>
      </c>
      <c r="I87" s="1047" t="str">
        <f t="shared" si="39"/>
        <v/>
      </c>
      <c r="J87" s="1047" t="str">
        <f t="shared" si="39"/>
        <v/>
      </c>
      <c r="K87" s="1047" t="str">
        <f t="shared" si="39"/>
        <v/>
      </c>
      <c r="L87" s="1047" t="str">
        <f t="shared" si="39"/>
        <v/>
      </c>
      <c r="M87" s="1048" t="str">
        <f t="shared" si="39"/>
        <v/>
      </c>
      <c r="N87" s="1046" t="str">
        <f t="shared" si="39"/>
        <v/>
      </c>
      <c r="O87" s="1047" t="str">
        <f t="shared" si="39"/>
        <v/>
      </c>
      <c r="P87" s="1047" t="str">
        <f t="shared" si="39"/>
        <v/>
      </c>
      <c r="Q87" s="1047" t="str">
        <f t="shared" si="39"/>
        <v/>
      </c>
      <c r="R87" s="1047" t="str">
        <f t="shared" si="39"/>
        <v/>
      </c>
      <c r="S87" s="1047" t="str">
        <f t="shared" si="39"/>
        <v/>
      </c>
      <c r="T87" s="1048" t="str">
        <f t="shared" si="39"/>
        <v/>
      </c>
      <c r="U87" s="1046" t="str">
        <f t="shared" si="39"/>
        <v/>
      </c>
      <c r="V87" s="1047" t="str">
        <f t="shared" si="39"/>
        <v/>
      </c>
      <c r="W87" s="1047" t="str">
        <f t="shared" si="39"/>
        <v/>
      </c>
      <c r="X87" s="1047" t="str">
        <f t="shared" si="39"/>
        <v/>
      </c>
      <c r="Y87" s="1047" t="str">
        <f t="shared" si="39"/>
        <v/>
      </c>
      <c r="Z87" s="1047" t="str">
        <f t="shared" si="39"/>
        <v/>
      </c>
      <c r="AA87" s="1048" t="str">
        <f t="shared" si="39"/>
        <v/>
      </c>
      <c r="AB87" s="1046" t="str">
        <f t="shared" si="39"/>
        <v/>
      </c>
      <c r="AC87" s="1047" t="str">
        <f t="shared" si="39"/>
        <v/>
      </c>
      <c r="AD87" s="1047" t="str">
        <f t="shared" si="39"/>
        <v/>
      </c>
      <c r="AE87" s="1047" t="str">
        <f t="shared" si="39"/>
        <v/>
      </c>
      <c r="AF87" s="1047" t="str">
        <f t="shared" si="39"/>
        <v/>
      </c>
      <c r="AG87" s="1047" t="str">
        <f t="shared" si="39"/>
        <v/>
      </c>
      <c r="AH87" s="1048" t="str">
        <f t="shared" si="39"/>
        <v/>
      </c>
      <c r="AI87" s="1049" t="str">
        <f t="shared" si="39"/>
        <v/>
      </c>
      <c r="AJ87" s="1047" t="str">
        <f t="shared" si="39"/>
        <v/>
      </c>
      <c r="AK87" s="1047" t="str">
        <f t="shared" si="39"/>
        <v/>
      </c>
      <c r="AL87" s="1050">
        <f>SUM(G87:AH87)</f>
        <v>0</v>
      </c>
      <c r="AM87" s="1051">
        <f>AL87/4</f>
        <v>0</v>
      </c>
      <c r="AN87" s="1052" t="str">
        <f>IF(C86="","",C86)</f>
        <v/>
      </c>
      <c r="AO87" s="1053" t="str">
        <f>IF(D86="","",D86)</f>
        <v/>
      </c>
      <c r="AP87" s="1054" t="str">
        <f>IF(D86&lt;&gt;"",VLOOKUP(D86,$AU$2:$AV$6,2,FALSE),"")</f>
        <v/>
      </c>
      <c r="AQ87" s="1051" t="e">
        <f>ROUNDDOWN(AL87/$AL$6,2)</f>
        <v>#DIV/0!</v>
      </c>
      <c r="AR87" s="1051" t="e">
        <f>IF(AP87=1,"",AQ87)</f>
        <v>#DIV/0!</v>
      </c>
    </row>
    <row r="88" spans="1:44" ht="15.9" hidden="1" customHeight="1">
      <c r="A88" s="989"/>
      <c r="B88" s="2238" t="s">
        <v>1999</v>
      </c>
      <c r="C88" s="2239"/>
      <c r="D88" s="2241"/>
      <c r="E88" s="2243"/>
      <c r="F88" s="1034" t="s">
        <v>1959</v>
      </c>
      <c r="G88" s="1035"/>
      <c r="H88" s="1036"/>
      <c r="I88" s="1037"/>
      <c r="J88" s="1037"/>
      <c r="K88" s="1037"/>
      <c r="L88" s="1037"/>
      <c r="M88" s="1038"/>
      <c r="N88" s="1035"/>
      <c r="O88" s="1036"/>
      <c r="P88" s="1037"/>
      <c r="Q88" s="1037"/>
      <c r="R88" s="1037"/>
      <c r="S88" s="1037"/>
      <c r="T88" s="1038"/>
      <c r="U88" s="1035"/>
      <c r="V88" s="1036"/>
      <c r="W88" s="1037"/>
      <c r="X88" s="1037"/>
      <c r="Y88" s="1037"/>
      <c r="Z88" s="1037"/>
      <c r="AA88" s="1038"/>
      <c r="AB88" s="1035"/>
      <c r="AC88" s="1036"/>
      <c r="AD88" s="1037"/>
      <c r="AE88" s="1037"/>
      <c r="AF88" s="1037"/>
      <c r="AG88" s="1037"/>
      <c r="AH88" s="1038"/>
      <c r="AI88" s="1055"/>
      <c r="AJ88" s="1036"/>
      <c r="AK88" s="1036"/>
      <c r="AL88" s="1040">
        <f>SUM(G89:AK89)</f>
        <v>0</v>
      </c>
      <c r="AM88" s="1041"/>
      <c r="AN88" s="1042"/>
      <c r="AO88" s="1043"/>
      <c r="AP88" s="1041"/>
      <c r="AQ88" s="1044"/>
      <c r="AR88" s="1044"/>
    </row>
    <row r="89" spans="1:44" ht="15.9" hidden="1" customHeight="1">
      <c r="A89" s="989"/>
      <c r="B89" s="2238"/>
      <c r="C89" s="2240"/>
      <c r="D89" s="2242"/>
      <c r="E89" s="2244"/>
      <c r="F89" s="1045" t="s">
        <v>1960</v>
      </c>
      <c r="G89" s="1046" t="str">
        <f t="shared" ref="G89:AK89" si="40">IF(G88&lt;&gt;"",VLOOKUP(G88,$AC$197:$AL$221,9,FALSE),"")</f>
        <v/>
      </c>
      <c r="H89" s="1047" t="str">
        <f t="shared" si="40"/>
        <v/>
      </c>
      <c r="I89" s="1047" t="str">
        <f t="shared" si="40"/>
        <v/>
      </c>
      <c r="J89" s="1047" t="str">
        <f t="shared" si="40"/>
        <v/>
      </c>
      <c r="K89" s="1047" t="str">
        <f t="shared" si="40"/>
        <v/>
      </c>
      <c r="L89" s="1047" t="str">
        <f t="shared" si="40"/>
        <v/>
      </c>
      <c r="M89" s="1048" t="str">
        <f t="shared" si="40"/>
        <v/>
      </c>
      <c r="N89" s="1046" t="str">
        <f t="shared" si="40"/>
        <v/>
      </c>
      <c r="O89" s="1047" t="str">
        <f t="shared" si="40"/>
        <v/>
      </c>
      <c r="P89" s="1047" t="str">
        <f t="shared" si="40"/>
        <v/>
      </c>
      <c r="Q89" s="1047" t="str">
        <f t="shared" si="40"/>
        <v/>
      </c>
      <c r="R89" s="1047" t="str">
        <f t="shared" si="40"/>
        <v/>
      </c>
      <c r="S89" s="1047" t="str">
        <f t="shared" si="40"/>
        <v/>
      </c>
      <c r="T89" s="1048" t="str">
        <f t="shared" si="40"/>
        <v/>
      </c>
      <c r="U89" s="1046" t="str">
        <f t="shared" si="40"/>
        <v/>
      </c>
      <c r="V89" s="1047" t="str">
        <f t="shared" si="40"/>
        <v/>
      </c>
      <c r="W89" s="1047" t="str">
        <f t="shared" si="40"/>
        <v/>
      </c>
      <c r="X89" s="1047" t="str">
        <f t="shared" si="40"/>
        <v/>
      </c>
      <c r="Y89" s="1047" t="str">
        <f t="shared" si="40"/>
        <v/>
      </c>
      <c r="Z89" s="1047" t="str">
        <f t="shared" si="40"/>
        <v/>
      </c>
      <c r="AA89" s="1048" t="str">
        <f t="shared" si="40"/>
        <v/>
      </c>
      <c r="AB89" s="1046" t="str">
        <f t="shared" si="40"/>
        <v/>
      </c>
      <c r="AC89" s="1047" t="str">
        <f t="shared" si="40"/>
        <v/>
      </c>
      <c r="AD89" s="1047" t="str">
        <f t="shared" si="40"/>
        <v/>
      </c>
      <c r="AE89" s="1047" t="str">
        <f t="shared" si="40"/>
        <v/>
      </c>
      <c r="AF89" s="1047" t="str">
        <f t="shared" si="40"/>
        <v/>
      </c>
      <c r="AG89" s="1047" t="str">
        <f t="shared" si="40"/>
        <v/>
      </c>
      <c r="AH89" s="1048" t="str">
        <f t="shared" si="40"/>
        <v/>
      </c>
      <c r="AI89" s="1049" t="str">
        <f t="shared" si="40"/>
        <v/>
      </c>
      <c r="AJ89" s="1047" t="str">
        <f t="shared" si="40"/>
        <v/>
      </c>
      <c r="AK89" s="1047" t="str">
        <f t="shared" si="40"/>
        <v/>
      </c>
      <c r="AL89" s="1050">
        <f>SUM(G89:AH89)</f>
        <v>0</v>
      </c>
      <c r="AM89" s="1051">
        <f>AL89/4</f>
        <v>0</v>
      </c>
      <c r="AN89" s="1052" t="str">
        <f>IF(C88="","",C88)</f>
        <v/>
      </c>
      <c r="AO89" s="1053" t="str">
        <f>IF(D88="","",D88)</f>
        <v/>
      </c>
      <c r="AP89" s="1054" t="str">
        <f>IF(D88&lt;&gt;"",VLOOKUP(D88,$AU$2:$AV$6,2,FALSE),"")</f>
        <v/>
      </c>
      <c r="AQ89" s="1051" t="e">
        <f>ROUNDDOWN(AL89/$AL$6,2)</f>
        <v>#DIV/0!</v>
      </c>
      <c r="AR89" s="1051" t="e">
        <f>IF(AP89=1,"",AQ89)</f>
        <v>#DIV/0!</v>
      </c>
    </row>
    <row r="90" spans="1:44" ht="15.9" hidden="1" customHeight="1">
      <c r="A90" s="989"/>
      <c r="B90" s="2238" t="s">
        <v>2000</v>
      </c>
      <c r="C90" s="2239"/>
      <c r="D90" s="2241"/>
      <c r="E90" s="2243"/>
      <c r="F90" s="1034" t="s">
        <v>1959</v>
      </c>
      <c r="G90" s="1035"/>
      <c r="H90" s="1036"/>
      <c r="I90" s="1037"/>
      <c r="J90" s="1037"/>
      <c r="K90" s="1037"/>
      <c r="L90" s="1037"/>
      <c r="M90" s="1038"/>
      <c r="N90" s="1035"/>
      <c r="O90" s="1036"/>
      <c r="P90" s="1037"/>
      <c r="Q90" s="1037"/>
      <c r="R90" s="1037"/>
      <c r="S90" s="1037"/>
      <c r="T90" s="1038"/>
      <c r="U90" s="1035"/>
      <c r="V90" s="1036"/>
      <c r="W90" s="1037"/>
      <c r="X90" s="1037"/>
      <c r="Y90" s="1037"/>
      <c r="Z90" s="1037"/>
      <c r="AA90" s="1038"/>
      <c r="AB90" s="1035"/>
      <c r="AC90" s="1036"/>
      <c r="AD90" s="1037"/>
      <c r="AE90" s="1037"/>
      <c r="AF90" s="1037"/>
      <c r="AG90" s="1037"/>
      <c r="AH90" s="1038"/>
      <c r="AI90" s="1039"/>
      <c r="AJ90" s="1037"/>
      <c r="AK90" s="1037"/>
      <c r="AL90" s="1040">
        <f>SUM(G91:AK91)</f>
        <v>0</v>
      </c>
      <c r="AM90" s="1041"/>
      <c r="AN90" s="1042"/>
      <c r="AO90" s="1043"/>
      <c r="AP90" s="1041"/>
      <c r="AQ90" s="1044"/>
      <c r="AR90" s="1044"/>
    </row>
    <row r="91" spans="1:44" ht="15.9" hidden="1" customHeight="1">
      <c r="A91" s="989"/>
      <c r="B91" s="2238"/>
      <c r="C91" s="2240"/>
      <c r="D91" s="2242"/>
      <c r="E91" s="2244"/>
      <c r="F91" s="1045" t="s">
        <v>1960</v>
      </c>
      <c r="G91" s="1046" t="str">
        <f t="shared" ref="G91:AK91" si="41">IF(G90&lt;&gt;"",VLOOKUP(G90,$AC$197:$AL$221,9,FALSE),"")</f>
        <v/>
      </c>
      <c r="H91" s="1047" t="str">
        <f t="shared" si="41"/>
        <v/>
      </c>
      <c r="I91" s="1047" t="str">
        <f t="shared" si="41"/>
        <v/>
      </c>
      <c r="J91" s="1047" t="str">
        <f t="shared" si="41"/>
        <v/>
      </c>
      <c r="K91" s="1047" t="str">
        <f t="shared" si="41"/>
        <v/>
      </c>
      <c r="L91" s="1047" t="str">
        <f t="shared" si="41"/>
        <v/>
      </c>
      <c r="M91" s="1048" t="str">
        <f t="shared" si="41"/>
        <v/>
      </c>
      <c r="N91" s="1046" t="str">
        <f t="shared" si="41"/>
        <v/>
      </c>
      <c r="O91" s="1047" t="str">
        <f t="shared" si="41"/>
        <v/>
      </c>
      <c r="P91" s="1047" t="str">
        <f t="shared" si="41"/>
        <v/>
      </c>
      <c r="Q91" s="1047" t="str">
        <f t="shared" si="41"/>
        <v/>
      </c>
      <c r="R91" s="1047" t="str">
        <f t="shared" si="41"/>
        <v/>
      </c>
      <c r="S91" s="1047" t="str">
        <f t="shared" si="41"/>
        <v/>
      </c>
      <c r="T91" s="1048" t="str">
        <f t="shared" si="41"/>
        <v/>
      </c>
      <c r="U91" s="1046" t="str">
        <f t="shared" si="41"/>
        <v/>
      </c>
      <c r="V91" s="1047" t="str">
        <f t="shared" si="41"/>
        <v/>
      </c>
      <c r="W91" s="1047" t="str">
        <f t="shared" si="41"/>
        <v/>
      </c>
      <c r="X91" s="1047" t="str">
        <f t="shared" si="41"/>
        <v/>
      </c>
      <c r="Y91" s="1047" t="str">
        <f t="shared" si="41"/>
        <v/>
      </c>
      <c r="Z91" s="1047" t="str">
        <f t="shared" si="41"/>
        <v/>
      </c>
      <c r="AA91" s="1048" t="str">
        <f t="shared" si="41"/>
        <v/>
      </c>
      <c r="AB91" s="1046" t="str">
        <f t="shared" si="41"/>
        <v/>
      </c>
      <c r="AC91" s="1047" t="str">
        <f t="shared" si="41"/>
        <v/>
      </c>
      <c r="AD91" s="1047" t="str">
        <f t="shared" si="41"/>
        <v/>
      </c>
      <c r="AE91" s="1047" t="str">
        <f t="shared" si="41"/>
        <v/>
      </c>
      <c r="AF91" s="1047" t="str">
        <f t="shared" si="41"/>
        <v/>
      </c>
      <c r="AG91" s="1047" t="str">
        <f t="shared" si="41"/>
        <v/>
      </c>
      <c r="AH91" s="1048" t="str">
        <f t="shared" si="41"/>
        <v/>
      </c>
      <c r="AI91" s="1049" t="str">
        <f t="shared" si="41"/>
        <v/>
      </c>
      <c r="AJ91" s="1047" t="str">
        <f t="shared" si="41"/>
        <v/>
      </c>
      <c r="AK91" s="1047" t="str">
        <f t="shared" si="41"/>
        <v/>
      </c>
      <c r="AL91" s="1050">
        <f>SUM(G91:AH91)</f>
        <v>0</v>
      </c>
      <c r="AM91" s="1051">
        <f>AL91/4</f>
        <v>0</v>
      </c>
      <c r="AN91" s="1052" t="str">
        <f>IF(C90="","",C90)</f>
        <v/>
      </c>
      <c r="AO91" s="1053" t="str">
        <f>IF(D90="","",D90)</f>
        <v/>
      </c>
      <c r="AP91" s="1054" t="str">
        <f>IF(D90&lt;&gt;"",VLOOKUP(D90,$AU$2:$AV$6,2,FALSE),"")</f>
        <v/>
      </c>
      <c r="AQ91" s="1051" t="e">
        <f>ROUNDDOWN(AL91/$AL$6,2)</f>
        <v>#DIV/0!</v>
      </c>
      <c r="AR91" s="1051" t="e">
        <f>IF(AP91=1,"",AQ91)</f>
        <v>#DIV/0!</v>
      </c>
    </row>
    <row r="92" spans="1:44" ht="15.9" hidden="1" customHeight="1">
      <c r="A92" s="989"/>
      <c r="B92" s="2238" t="s">
        <v>2001</v>
      </c>
      <c r="C92" s="2239"/>
      <c r="D92" s="2241"/>
      <c r="E92" s="2243"/>
      <c r="F92" s="1034" t="s">
        <v>1959</v>
      </c>
      <c r="G92" s="1035"/>
      <c r="H92" s="1036"/>
      <c r="I92" s="1037"/>
      <c r="J92" s="1037"/>
      <c r="K92" s="1037"/>
      <c r="L92" s="1037"/>
      <c r="M92" s="1038"/>
      <c r="N92" s="1035"/>
      <c r="O92" s="1036"/>
      <c r="P92" s="1037"/>
      <c r="Q92" s="1037"/>
      <c r="R92" s="1037"/>
      <c r="S92" s="1037"/>
      <c r="T92" s="1038"/>
      <c r="U92" s="1035"/>
      <c r="V92" s="1036"/>
      <c r="W92" s="1037"/>
      <c r="X92" s="1037"/>
      <c r="Y92" s="1037"/>
      <c r="Z92" s="1037"/>
      <c r="AA92" s="1038"/>
      <c r="AB92" s="1035"/>
      <c r="AC92" s="1036"/>
      <c r="AD92" s="1037"/>
      <c r="AE92" s="1037"/>
      <c r="AF92" s="1037"/>
      <c r="AG92" s="1037"/>
      <c r="AH92" s="1038"/>
      <c r="AI92" s="1039"/>
      <c r="AJ92" s="1037"/>
      <c r="AK92" s="1037"/>
      <c r="AL92" s="1040">
        <f>SUM(G93:AK93)</f>
        <v>0</v>
      </c>
      <c r="AM92" s="1041"/>
      <c r="AN92" s="1042"/>
      <c r="AO92" s="1043"/>
      <c r="AP92" s="1041"/>
      <c r="AQ92" s="1044"/>
      <c r="AR92" s="1044"/>
    </row>
    <row r="93" spans="1:44" ht="15.9" hidden="1" customHeight="1">
      <c r="A93" s="989"/>
      <c r="B93" s="2238"/>
      <c r="C93" s="2240"/>
      <c r="D93" s="2242"/>
      <c r="E93" s="2244"/>
      <c r="F93" s="1045" t="s">
        <v>1960</v>
      </c>
      <c r="G93" s="1046" t="str">
        <f t="shared" ref="G93:AK93" si="42">IF(G92&lt;&gt;"",VLOOKUP(G92,$AC$197:$AL$221,9,FALSE),"")</f>
        <v/>
      </c>
      <c r="H93" s="1047" t="str">
        <f t="shared" si="42"/>
        <v/>
      </c>
      <c r="I93" s="1047" t="str">
        <f t="shared" si="42"/>
        <v/>
      </c>
      <c r="J93" s="1047" t="str">
        <f t="shared" si="42"/>
        <v/>
      </c>
      <c r="K93" s="1047" t="str">
        <f t="shared" si="42"/>
        <v/>
      </c>
      <c r="L93" s="1047" t="str">
        <f t="shared" si="42"/>
        <v/>
      </c>
      <c r="M93" s="1048" t="str">
        <f t="shared" si="42"/>
        <v/>
      </c>
      <c r="N93" s="1046" t="str">
        <f t="shared" si="42"/>
        <v/>
      </c>
      <c r="O93" s="1047" t="str">
        <f t="shared" si="42"/>
        <v/>
      </c>
      <c r="P93" s="1047" t="str">
        <f t="shared" si="42"/>
        <v/>
      </c>
      <c r="Q93" s="1047" t="str">
        <f t="shared" si="42"/>
        <v/>
      </c>
      <c r="R93" s="1047" t="str">
        <f t="shared" si="42"/>
        <v/>
      </c>
      <c r="S93" s="1047" t="str">
        <f t="shared" si="42"/>
        <v/>
      </c>
      <c r="T93" s="1048" t="str">
        <f t="shared" si="42"/>
        <v/>
      </c>
      <c r="U93" s="1046" t="str">
        <f t="shared" si="42"/>
        <v/>
      </c>
      <c r="V93" s="1047" t="str">
        <f t="shared" si="42"/>
        <v/>
      </c>
      <c r="W93" s="1047" t="str">
        <f t="shared" si="42"/>
        <v/>
      </c>
      <c r="X93" s="1047" t="str">
        <f t="shared" si="42"/>
        <v/>
      </c>
      <c r="Y93" s="1047" t="str">
        <f t="shared" si="42"/>
        <v/>
      </c>
      <c r="Z93" s="1047" t="str">
        <f t="shared" si="42"/>
        <v/>
      </c>
      <c r="AA93" s="1048" t="str">
        <f t="shared" si="42"/>
        <v/>
      </c>
      <c r="AB93" s="1046" t="str">
        <f t="shared" si="42"/>
        <v/>
      </c>
      <c r="AC93" s="1047" t="str">
        <f t="shared" si="42"/>
        <v/>
      </c>
      <c r="AD93" s="1047" t="str">
        <f t="shared" si="42"/>
        <v/>
      </c>
      <c r="AE93" s="1047" t="str">
        <f t="shared" si="42"/>
        <v/>
      </c>
      <c r="AF93" s="1047" t="str">
        <f t="shared" si="42"/>
        <v/>
      </c>
      <c r="AG93" s="1047" t="str">
        <f t="shared" si="42"/>
        <v/>
      </c>
      <c r="AH93" s="1048" t="str">
        <f t="shared" si="42"/>
        <v/>
      </c>
      <c r="AI93" s="1049" t="str">
        <f t="shared" si="42"/>
        <v/>
      </c>
      <c r="AJ93" s="1047" t="str">
        <f t="shared" si="42"/>
        <v/>
      </c>
      <c r="AK93" s="1047" t="str">
        <f t="shared" si="42"/>
        <v/>
      </c>
      <c r="AL93" s="1050">
        <f>SUM(G93:AH93)</f>
        <v>0</v>
      </c>
      <c r="AM93" s="1051">
        <f>AL93/4</f>
        <v>0</v>
      </c>
      <c r="AN93" s="1052" t="str">
        <f>IF(C92="","",C92)</f>
        <v/>
      </c>
      <c r="AO93" s="1053" t="str">
        <f>IF(D92="","",D92)</f>
        <v/>
      </c>
      <c r="AP93" s="1054" t="str">
        <f>IF(D92&lt;&gt;"",VLOOKUP(D92,$AU$2:$AV$6,2,FALSE),"")</f>
        <v/>
      </c>
      <c r="AQ93" s="1051" t="e">
        <f>ROUNDDOWN(AL93/$AL$6,2)</f>
        <v>#DIV/0!</v>
      </c>
      <c r="AR93" s="1051" t="e">
        <f>IF(AP93=1,"",AQ93)</f>
        <v>#DIV/0!</v>
      </c>
    </row>
    <row r="94" spans="1:44" ht="15.9" hidden="1" customHeight="1">
      <c r="A94" s="989"/>
      <c r="B94" s="2238" t="s">
        <v>2002</v>
      </c>
      <c r="C94" s="2239"/>
      <c r="D94" s="2241"/>
      <c r="E94" s="2243"/>
      <c r="F94" s="1034" t="s">
        <v>1959</v>
      </c>
      <c r="G94" s="1035"/>
      <c r="H94" s="1036"/>
      <c r="I94" s="1037"/>
      <c r="J94" s="1037"/>
      <c r="K94" s="1037"/>
      <c r="L94" s="1037"/>
      <c r="M94" s="1038"/>
      <c r="N94" s="1035"/>
      <c r="O94" s="1036"/>
      <c r="P94" s="1037"/>
      <c r="Q94" s="1037"/>
      <c r="R94" s="1037"/>
      <c r="S94" s="1037"/>
      <c r="T94" s="1038"/>
      <c r="U94" s="1035"/>
      <c r="V94" s="1036"/>
      <c r="W94" s="1037"/>
      <c r="X94" s="1037"/>
      <c r="Y94" s="1037"/>
      <c r="Z94" s="1037"/>
      <c r="AA94" s="1038"/>
      <c r="AB94" s="1035"/>
      <c r="AC94" s="1036"/>
      <c r="AD94" s="1037"/>
      <c r="AE94" s="1037"/>
      <c r="AF94" s="1037"/>
      <c r="AG94" s="1037"/>
      <c r="AH94" s="1038"/>
      <c r="AI94" s="1055"/>
      <c r="AJ94" s="1036"/>
      <c r="AK94" s="1036"/>
      <c r="AL94" s="1040">
        <f>SUM(G95:AK95)</f>
        <v>0</v>
      </c>
      <c r="AM94" s="1041"/>
      <c r="AN94" s="1042"/>
      <c r="AO94" s="1043"/>
      <c r="AP94" s="1041"/>
      <c r="AQ94" s="1044"/>
      <c r="AR94" s="1044"/>
    </row>
    <row r="95" spans="1:44" ht="15.9" hidden="1" customHeight="1">
      <c r="A95" s="989"/>
      <c r="B95" s="2238"/>
      <c r="C95" s="2240"/>
      <c r="D95" s="2242"/>
      <c r="E95" s="2244"/>
      <c r="F95" s="1045" t="s">
        <v>1960</v>
      </c>
      <c r="G95" s="1046" t="str">
        <f t="shared" ref="G95:AK95" si="43">IF(G94&lt;&gt;"",VLOOKUP(G94,$AC$197:$AL$221,9,FALSE),"")</f>
        <v/>
      </c>
      <c r="H95" s="1047" t="str">
        <f t="shared" si="43"/>
        <v/>
      </c>
      <c r="I95" s="1047" t="str">
        <f t="shared" si="43"/>
        <v/>
      </c>
      <c r="J95" s="1047" t="str">
        <f t="shared" si="43"/>
        <v/>
      </c>
      <c r="K95" s="1047" t="str">
        <f t="shared" si="43"/>
        <v/>
      </c>
      <c r="L95" s="1047" t="str">
        <f t="shared" si="43"/>
        <v/>
      </c>
      <c r="M95" s="1048" t="str">
        <f t="shared" si="43"/>
        <v/>
      </c>
      <c r="N95" s="1046" t="str">
        <f t="shared" si="43"/>
        <v/>
      </c>
      <c r="O95" s="1047" t="str">
        <f t="shared" si="43"/>
        <v/>
      </c>
      <c r="P95" s="1047" t="str">
        <f t="shared" si="43"/>
        <v/>
      </c>
      <c r="Q95" s="1047" t="str">
        <f t="shared" si="43"/>
        <v/>
      </c>
      <c r="R95" s="1047" t="str">
        <f t="shared" si="43"/>
        <v/>
      </c>
      <c r="S95" s="1047" t="str">
        <f t="shared" si="43"/>
        <v/>
      </c>
      <c r="T95" s="1048" t="str">
        <f t="shared" si="43"/>
        <v/>
      </c>
      <c r="U95" s="1046" t="str">
        <f t="shared" si="43"/>
        <v/>
      </c>
      <c r="V95" s="1047" t="str">
        <f t="shared" si="43"/>
        <v/>
      </c>
      <c r="W95" s="1047" t="str">
        <f t="shared" si="43"/>
        <v/>
      </c>
      <c r="X95" s="1047" t="str">
        <f t="shared" si="43"/>
        <v/>
      </c>
      <c r="Y95" s="1047" t="str">
        <f t="shared" si="43"/>
        <v/>
      </c>
      <c r="Z95" s="1047" t="str">
        <f t="shared" si="43"/>
        <v/>
      </c>
      <c r="AA95" s="1048" t="str">
        <f t="shared" si="43"/>
        <v/>
      </c>
      <c r="AB95" s="1046" t="str">
        <f t="shared" si="43"/>
        <v/>
      </c>
      <c r="AC95" s="1047" t="str">
        <f t="shared" si="43"/>
        <v/>
      </c>
      <c r="AD95" s="1047" t="str">
        <f t="shared" si="43"/>
        <v/>
      </c>
      <c r="AE95" s="1047" t="str">
        <f t="shared" si="43"/>
        <v/>
      </c>
      <c r="AF95" s="1047" t="str">
        <f t="shared" si="43"/>
        <v/>
      </c>
      <c r="AG95" s="1047" t="str">
        <f t="shared" si="43"/>
        <v/>
      </c>
      <c r="AH95" s="1048" t="str">
        <f t="shared" si="43"/>
        <v/>
      </c>
      <c r="AI95" s="1049" t="str">
        <f t="shared" si="43"/>
        <v/>
      </c>
      <c r="AJ95" s="1047" t="str">
        <f t="shared" si="43"/>
        <v/>
      </c>
      <c r="AK95" s="1047" t="str">
        <f t="shared" si="43"/>
        <v/>
      </c>
      <c r="AL95" s="1050">
        <f>SUM(G95:AH95)</f>
        <v>0</v>
      </c>
      <c r="AM95" s="1051">
        <f>AL95/4</f>
        <v>0</v>
      </c>
      <c r="AN95" s="1052" t="str">
        <f>IF(C94="","",C94)</f>
        <v/>
      </c>
      <c r="AO95" s="1053" t="str">
        <f>IF(D94="","",D94)</f>
        <v/>
      </c>
      <c r="AP95" s="1054" t="str">
        <f>IF(D94&lt;&gt;"",VLOOKUP(D94,$AU$2:$AV$6,2,FALSE),"")</f>
        <v/>
      </c>
      <c r="AQ95" s="1051" t="e">
        <f>ROUNDDOWN(AL95/$AL$6,2)</f>
        <v>#DIV/0!</v>
      </c>
      <c r="AR95" s="1051" t="e">
        <f>IF(AP95=1,"",AQ95)</f>
        <v>#DIV/0!</v>
      </c>
    </row>
    <row r="96" spans="1:44" ht="15.9" hidden="1" customHeight="1">
      <c r="A96" s="989"/>
      <c r="B96" s="2238" t="s">
        <v>2003</v>
      </c>
      <c r="C96" s="2239"/>
      <c r="D96" s="2241"/>
      <c r="E96" s="2243"/>
      <c r="F96" s="1034" t="s">
        <v>1959</v>
      </c>
      <c r="G96" s="1035"/>
      <c r="H96" s="1036"/>
      <c r="I96" s="1037"/>
      <c r="J96" s="1037"/>
      <c r="K96" s="1037"/>
      <c r="L96" s="1037"/>
      <c r="M96" s="1038"/>
      <c r="N96" s="1035"/>
      <c r="O96" s="1036"/>
      <c r="P96" s="1037"/>
      <c r="Q96" s="1037"/>
      <c r="R96" s="1037"/>
      <c r="S96" s="1037"/>
      <c r="T96" s="1038"/>
      <c r="U96" s="1035"/>
      <c r="V96" s="1036"/>
      <c r="W96" s="1037"/>
      <c r="X96" s="1037"/>
      <c r="Y96" s="1037"/>
      <c r="Z96" s="1037"/>
      <c r="AA96" s="1038"/>
      <c r="AB96" s="1035"/>
      <c r="AC96" s="1036"/>
      <c r="AD96" s="1037"/>
      <c r="AE96" s="1037"/>
      <c r="AF96" s="1037"/>
      <c r="AG96" s="1037"/>
      <c r="AH96" s="1038"/>
      <c r="AI96" s="1055"/>
      <c r="AJ96" s="1036"/>
      <c r="AK96" s="1036"/>
      <c r="AL96" s="1040">
        <f>SUM(G97:AK97)</f>
        <v>0</v>
      </c>
      <c r="AM96" s="1041"/>
      <c r="AN96" s="1042"/>
      <c r="AO96" s="1043"/>
      <c r="AP96" s="1041"/>
      <c r="AQ96" s="1044"/>
      <c r="AR96" s="1044"/>
    </row>
    <row r="97" spans="1:44" ht="15.9" hidden="1" customHeight="1">
      <c r="A97" s="989"/>
      <c r="B97" s="2238"/>
      <c r="C97" s="2240"/>
      <c r="D97" s="2242"/>
      <c r="E97" s="2244"/>
      <c r="F97" s="1045" t="s">
        <v>1960</v>
      </c>
      <c r="G97" s="1046" t="str">
        <f t="shared" ref="G97:AK97" si="44">IF(G96&lt;&gt;"",VLOOKUP(G96,$AC$197:$AL$221,9,FALSE),"")</f>
        <v/>
      </c>
      <c r="H97" s="1047" t="str">
        <f t="shared" si="44"/>
        <v/>
      </c>
      <c r="I97" s="1047" t="str">
        <f t="shared" si="44"/>
        <v/>
      </c>
      <c r="J97" s="1047" t="str">
        <f t="shared" si="44"/>
        <v/>
      </c>
      <c r="K97" s="1047" t="str">
        <f t="shared" si="44"/>
        <v/>
      </c>
      <c r="L97" s="1047" t="str">
        <f t="shared" si="44"/>
        <v/>
      </c>
      <c r="M97" s="1048" t="str">
        <f t="shared" si="44"/>
        <v/>
      </c>
      <c r="N97" s="1046" t="str">
        <f t="shared" si="44"/>
        <v/>
      </c>
      <c r="O97" s="1047" t="str">
        <f t="shared" si="44"/>
        <v/>
      </c>
      <c r="P97" s="1047" t="str">
        <f t="shared" si="44"/>
        <v/>
      </c>
      <c r="Q97" s="1047" t="str">
        <f t="shared" si="44"/>
        <v/>
      </c>
      <c r="R97" s="1047" t="str">
        <f t="shared" si="44"/>
        <v/>
      </c>
      <c r="S97" s="1047" t="str">
        <f t="shared" si="44"/>
        <v/>
      </c>
      <c r="T97" s="1048" t="str">
        <f t="shared" si="44"/>
        <v/>
      </c>
      <c r="U97" s="1046" t="str">
        <f t="shared" si="44"/>
        <v/>
      </c>
      <c r="V97" s="1047" t="str">
        <f t="shared" si="44"/>
        <v/>
      </c>
      <c r="W97" s="1047" t="str">
        <f t="shared" si="44"/>
        <v/>
      </c>
      <c r="X97" s="1047" t="str">
        <f t="shared" si="44"/>
        <v/>
      </c>
      <c r="Y97" s="1047" t="str">
        <f t="shared" si="44"/>
        <v/>
      </c>
      <c r="Z97" s="1047" t="str">
        <f t="shared" si="44"/>
        <v/>
      </c>
      <c r="AA97" s="1048" t="str">
        <f t="shared" si="44"/>
        <v/>
      </c>
      <c r="AB97" s="1046" t="str">
        <f t="shared" si="44"/>
        <v/>
      </c>
      <c r="AC97" s="1047" t="str">
        <f t="shared" si="44"/>
        <v/>
      </c>
      <c r="AD97" s="1047" t="str">
        <f t="shared" si="44"/>
        <v/>
      </c>
      <c r="AE97" s="1047" t="str">
        <f t="shared" si="44"/>
        <v/>
      </c>
      <c r="AF97" s="1047" t="str">
        <f t="shared" si="44"/>
        <v/>
      </c>
      <c r="AG97" s="1047" t="str">
        <f t="shared" si="44"/>
        <v/>
      </c>
      <c r="AH97" s="1048" t="str">
        <f t="shared" si="44"/>
        <v/>
      </c>
      <c r="AI97" s="1049" t="str">
        <f t="shared" si="44"/>
        <v/>
      </c>
      <c r="AJ97" s="1047" t="str">
        <f t="shared" si="44"/>
        <v/>
      </c>
      <c r="AK97" s="1047" t="str">
        <f t="shared" si="44"/>
        <v/>
      </c>
      <c r="AL97" s="1050">
        <f>SUM(G97:AH97)</f>
        <v>0</v>
      </c>
      <c r="AM97" s="1051">
        <f>AL97/4</f>
        <v>0</v>
      </c>
      <c r="AN97" s="1052" t="str">
        <f>IF(C96="","",C96)</f>
        <v/>
      </c>
      <c r="AO97" s="1053" t="str">
        <f>IF(D96="","",D96)</f>
        <v/>
      </c>
      <c r="AP97" s="1054" t="str">
        <f>IF(D96&lt;&gt;"",VLOOKUP(D96,$AU$2:$AV$6,2,FALSE),"")</f>
        <v/>
      </c>
      <c r="AQ97" s="1051" t="e">
        <f>ROUNDDOWN(AL97/$AL$6,2)</f>
        <v>#DIV/0!</v>
      </c>
      <c r="AR97" s="1051" t="e">
        <f>IF(AP97=1,"",AQ97)</f>
        <v>#DIV/0!</v>
      </c>
    </row>
    <row r="98" spans="1:44" ht="15.9" hidden="1" customHeight="1">
      <c r="A98" s="989"/>
      <c r="B98" s="2238" t="s">
        <v>2004</v>
      </c>
      <c r="C98" s="2239"/>
      <c r="D98" s="2241"/>
      <c r="E98" s="2243"/>
      <c r="F98" s="1034" t="s">
        <v>1959</v>
      </c>
      <c r="G98" s="1035"/>
      <c r="H98" s="1036"/>
      <c r="I98" s="1037"/>
      <c r="J98" s="1037"/>
      <c r="K98" s="1037"/>
      <c r="L98" s="1037"/>
      <c r="M98" s="1038"/>
      <c r="N98" s="1035"/>
      <c r="O98" s="1036"/>
      <c r="P98" s="1037"/>
      <c r="Q98" s="1037"/>
      <c r="R98" s="1037"/>
      <c r="S98" s="1037"/>
      <c r="T98" s="1038"/>
      <c r="U98" s="1035"/>
      <c r="V98" s="1036"/>
      <c r="W98" s="1037"/>
      <c r="X98" s="1037"/>
      <c r="Y98" s="1037"/>
      <c r="Z98" s="1037"/>
      <c r="AA98" s="1038"/>
      <c r="AB98" s="1035"/>
      <c r="AC98" s="1036"/>
      <c r="AD98" s="1037"/>
      <c r="AE98" s="1037"/>
      <c r="AF98" s="1037"/>
      <c r="AG98" s="1037"/>
      <c r="AH98" s="1038"/>
      <c r="AI98" s="1039"/>
      <c r="AJ98" s="1037"/>
      <c r="AK98" s="1037"/>
      <c r="AL98" s="1040">
        <f>SUM(G99:AK99)</f>
        <v>0</v>
      </c>
      <c r="AM98" s="1041"/>
      <c r="AN98" s="1042"/>
      <c r="AO98" s="1043"/>
      <c r="AP98" s="1041"/>
      <c r="AQ98" s="1044"/>
      <c r="AR98" s="1044"/>
    </row>
    <row r="99" spans="1:44" ht="15.9" hidden="1" customHeight="1">
      <c r="A99" s="989"/>
      <c r="B99" s="2238"/>
      <c r="C99" s="2240"/>
      <c r="D99" s="2242"/>
      <c r="E99" s="2244"/>
      <c r="F99" s="1045" t="s">
        <v>1960</v>
      </c>
      <c r="G99" s="1046" t="str">
        <f t="shared" ref="G99:AK99" si="45">IF(G98&lt;&gt;"",VLOOKUP(G98,$AC$197:$AL$221,9,FALSE),"")</f>
        <v/>
      </c>
      <c r="H99" s="1047" t="str">
        <f t="shared" si="45"/>
        <v/>
      </c>
      <c r="I99" s="1047" t="str">
        <f t="shared" si="45"/>
        <v/>
      </c>
      <c r="J99" s="1047" t="str">
        <f t="shared" si="45"/>
        <v/>
      </c>
      <c r="K99" s="1047" t="str">
        <f t="shared" si="45"/>
        <v/>
      </c>
      <c r="L99" s="1047" t="str">
        <f t="shared" si="45"/>
        <v/>
      </c>
      <c r="M99" s="1048" t="str">
        <f t="shared" si="45"/>
        <v/>
      </c>
      <c r="N99" s="1046" t="str">
        <f t="shared" si="45"/>
        <v/>
      </c>
      <c r="O99" s="1047" t="str">
        <f t="shared" si="45"/>
        <v/>
      </c>
      <c r="P99" s="1047" t="str">
        <f t="shared" si="45"/>
        <v/>
      </c>
      <c r="Q99" s="1047" t="str">
        <f t="shared" si="45"/>
        <v/>
      </c>
      <c r="R99" s="1047" t="str">
        <f t="shared" si="45"/>
        <v/>
      </c>
      <c r="S99" s="1047" t="str">
        <f t="shared" si="45"/>
        <v/>
      </c>
      <c r="T99" s="1048" t="str">
        <f t="shared" si="45"/>
        <v/>
      </c>
      <c r="U99" s="1046" t="str">
        <f t="shared" si="45"/>
        <v/>
      </c>
      <c r="V99" s="1047" t="str">
        <f t="shared" si="45"/>
        <v/>
      </c>
      <c r="W99" s="1047" t="str">
        <f t="shared" si="45"/>
        <v/>
      </c>
      <c r="X99" s="1047" t="str">
        <f t="shared" si="45"/>
        <v/>
      </c>
      <c r="Y99" s="1047" t="str">
        <f t="shared" si="45"/>
        <v/>
      </c>
      <c r="Z99" s="1047" t="str">
        <f t="shared" si="45"/>
        <v/>
      </c>
      <c r="AA99" s="1048" t="str">
        <f t="shared" si="45"/>
        <v/>
      </c>
      <c r="AB99" s="1046" t="str">
        <f t="shared" si="45"/>
        <v/>
      </c>
      <c r="AC99" s="1047" t="str">
        <f t="shared" si="45"/>
        <v/>
      </c>
      <c r="AD99" s="1047" t="str">
        <f t="shared" si="45"/>
        <v/>
      </c>
      <c r="AE99" s="1047" t="str">
        <f t="shared" si="45"/>
        <v/>
      </c>
      <c r="AF99" s="1047" t="str">
        <f t="shared" si="45"/>
        <v/>
      </c>
      <c r="AG99" s="1047" t="str">
        <f t="shared" si="45"/>
        <v/>
      </c>
      <c r="AH99" s="1048" t="str">
        <f t="shared" si="45"/>
        <v/>
      </c>
      <c r="AI99" s="1049" t="str">
        <f t="shared" si="45"/>
        <v/>
      </c>
      <c r="AJ99" s="1047" t="str">
        <f t="shared" si="45"/>
        <v/>
      </c>
      <c r="AK99" s="1047" t="str">
        <f t="shared" si="45"/>
        <v/>
      </c>
      <c r="AL99" s="1050">
        <f>SUM(G99:AH99)</f>
        <v>0</v>
      </c>
      <c r="AM99" s="1051">
        <f>AL99/4</f>
        <v>0</v>
      </c>
      <c r="AN99" s="1052" t="str">
        <f>IF(C98="","",C98)</f>
        <v/>
      </c>
      <c r="AO99" s="1053" t="str">
        <f>IF(D98="","",D98)</f>
        <v/>
      </c>
      <c r="AP99" s="1054" t="str">
        <f>IF(D98&lt;&gt;"",VLOOKUP(D98,$AU$2:$AV$6,2,FALSE),"")</f>
        <v/>
      </c>
      <c r="AQ99" s="1051" t="e">
        <f>ROUNDDOWN(AL99/$AL$6,2)</f>
        <v>#DIV/0!</v>
      </c>
      <c r="AR99" s="1051" t="e">
        <f>IF(AP99=1,"",AQ99)</f>
        <v>#DIV/0!</v>
      </c>
    </row>
    <row r="100" spans="1:44" ht="15.9" hidden="1" customHeight="1">
      <c r="A100" s="989"/>
      <c r="B100" s="2238" t="s">
        <v>2005</v>
      </c>
      <c r="C100" s="2239"/>
      <c r="D100" s="2241"/>
      <c r="E100" s="2243"/>
      <c r="F100" s="1034" t="s">
        <v>1959</v>
      </c>
      <c r="G100" s="1035"/>
      <c r="H100" s="1036"/>
      <c r="I100" s="1037"/>
      <c r="J100" s="1037"/>
      <c r="K100" s="1037"/>
      <c r="L100" s="1037"/>
      <c r="M100" s="1038"/>
      <c r="N100" s="1035"/>
      <c r="O100" s="1036"/>
      <c r="P100" s="1037"/>
      <c r="Q100" s="1037"/>
      <c r="R100" s="1037"/>
      <c r="S100" s="1037"/>
      <c r="T100" s="1038"/>
      <c r="U100" s="1035"/>
      <c r="V100" s="1036"/>
      <c r="W100" s="1037"/>
      <c r="X100" s="1037"/>
      <c r="Y100" s="1037"/>
      <c r="Z100" s="1037"/>
      <c r="AA100" s="1038"/>
      <c r="AB100" s="1035"/>
      <c r="AC100" s="1036"/>
      <c r="AD100" s="1037"/>
      <c r="AE100" s="1037"/>
      <c r="AF100" s="1037"/>
      <c r="AG100" s="1037"/>
      <c r="AH100" s="1038"/>
      <c r="AI100" s="1039"/>
      <c r="AJ100" s="1037"/>
      <c r="AK100" s="1037"/>
      <c r="AL100" s="1040">
        <f>SUM(G101:AK101)</f>
        <v>0</v>
      </c>
      <c r="AM100" s="1041"/>
      <c r="AN100" s="1042"/>
      <c r="AO100" s="1043"/>
      <c r="AP100" s="1041"/>
      <c r="AQ100" s="1044"/>
      <c r="AR100" s="1044"/>
    </row>
    <row r="101" spans="1:44" ht="15.9" hidden="1" customHeight="1">
      <c r="A101" s="989"/>
      <c r="B101" s="2238"/>
      <c r="C101" s="2240"/>
      <c r="D101" s="2242"/>
      <c r="E101" s="2244"/>
      <c r="F101" s="1045" t="s">
        <v>1960</v>
      </c>
      <c r="G101" s="1046" t="str">
        <f t="shared" ref="G101:AK101" si="46">IF(G100&lt;&gt;"",VLOOKUP(G100,$AC$197:$AL$221,9,FALSE),"")</f>
        <v/>
      </c>
      <c r="H101" s="1047" t="str">
        <f t="shared" si="46"/>
        <v/>
      </c>
      <c r="I101" s="1047" t="str">
        <f t="shared" si="46"/>
        <v/>
      </c>
      <c r="J101" s="1047" t="str">
        <f t="shared" si="46"/>
        <v/>
      </c>
      <c r="K101" s="1047" t="str">
        <f t="shared" si="46"/>
        <v/>
      </c>
      <c r="L101" s="1047" t="str">
        <f t="shared" si="46"/>
        <v/>
      </c>
      <c r="M101" s="1048" t="str">
        <f t="shared" si="46"/>
        <v/>
      </c>
      <c r="N101" s="1046" t="str">
        <f t="shared" si="46"/>
        <v/>
      </c>
      <c r="O101" s="1047" t="str">
        <f t="shared" si="46"/>
        <v/>
      </c>
      <c r="P101" s="1047" t="str">
        <f t="shared" si="46"/>
        <v/>
      </c>
      <c r="Q101" s="1047" t="str">
        <f t="shared" si="46"/>
        <v/>
      </c>
      <c r="R101" s="1047" t="str">
        <f t="shared" si="46"/>
        <v/>
      </c>
      <c r="S101" s="1047" t="str">
        <f t="shared" si="46"/>
        <v/>
      </c>
      <c r="T101" s="1048" t="str">
        <f t="shared" si="46"/>
        <v/>
      </c>
      <c r="U101" s="1046" t="str">
        <f t="shared" si="46"/>
        <v/>
      </c>
      <c r="V101" s="1047" t="str">
        <f t="shared" si="46"/>
        <v/>
      </c>
      <c r="W101" s="1047" t="str">
        <f t="shared" si="46"/>
        <v/>
      </c>
      <c r="X101" s="1047" t="str">
        <f t="shared" si="46"/>
        <v/>
      </c>
      <c r="Y101" s="1047" t="str">
        <f t="shared" si="46"/>
        <v/>
      </c>
      <c r="Z101" s="1047" t="str">
        <f t="shared" si="46"/>
        <v/>
      </c>
      <c r="AA101" s="1048" t="str">
        <f t="shared" si="46"/>
        <v/>
      </c>
      <c r="AB101" s="1046" t="str">
        <f t="shared" si="46"/>
        <v/>
      </c>
      <c r="AC101" s="1047" t="str">
        <f t="shared" si="46"/>
        <v/>
      </c>
      <c r="AD101" s="1047" t="str">
        <f t="shared" si="46"/>
        <v/>
      </c>
      <c r="AE101" s="1047" t="str">
        <f t="shared" si="46"/>
        <v/>
      </c>
      <c r="AF101" s="1047" t="str">
        <f t="shared" si="46"/>
        <v/>
      </c>
      <c r="AG101" s="1047" t="str">
        <f t="shared" si="46"/>
        <v/>
      </c>
      <c r="AH101" s="1048" t="str">
        <f t="shared" si="46"/>
        <v/>
      </c>
      <c r="AI101" s="1049" t="str">
        <f t="shared" si="46"/>
        <v/>
      </c>
      <c r="AJ101" s="1047" t="str">
        <f t="shared" si="46"/>
        <v/>
      </c>
      <c r="AK101" s="1047" t="str">
        <f t="shared" si="46"/>
        <v/>
      </c>
      <c r="AL101" s="1050">
        <f>SUM(G101:AH101)</f>
        <v>0</v>
      </c>
      <c r="AM101" s="1051">
        <f>AL101/4</f>
        <v>0</v>
      </c>
      <c r="AN101" s="1052" t="str">
        <f>IF(C100="","",C100)</f>
        <v/>
      </c>
      <c r="AO101" s="1053" t="str">
        <f>IF(D100="","",D100)</f>
        <v/>
      </c>
      <c r="AP101" s="1054" t="str">
        <f>IF(D100&lt;&gt;"",VLOOKUP(D100,$AU$2:$AV$6,2,FALSE),"")</f>
        <v/>
      </c>
      <c r="AQ101" s="1051" t="e">
        <f>ROUNDDOWN(AL101/$AL$6,2)</f>
        <v>#DIV/0!</v>
      </c>
      <c r="AR101" s="1051" t="e">
        <f>IF(AP101=1,"",AQ101)</f>
        <v>#DIV/0!</v>
      </c>
    </row>
    <row r="102" spans="1:44" ht="15.9" hidden="1" customHeight="1">
      <c r="A102" s="989"/>
      <c r="B102" s="2238" t="s">
        <v>2006</v>
      </c>
      <c r="C102" s="2239"/>
      <c r="D102" s="2241"/>
      <c r="E102" s="2243"/>
      <c r="F102" s="1034" t="s">
        <v>1959</v>
      </c>
      <c r="G102" s="1035"/>
      <c r="H102" s="1036"/>
      <c r="I102" s="1037"/>
      <c r="J102" s="1037"/>
      <c r="K102" s="1037"/>
      <c r="L102" s="1037"/>
      <c r="M102" s="1038"/>
      <c r="N102" s="1035"/>
      <c r="O102" s="1036"/>
      <c r="P102" s="1037"/>
      <c r="Q102" s="1037"/>
      <c r="R102" s="1037"/>
      <c r="S102" s="1037"/>
      <c r="T102" s="1038"/>
      <c r="U102" s="1035"/>
      <c r="V102" s="1036"/>
      <c r="W102" s="1037"/>
      <c r="X102" s="1037"/>
      <c r="Y102" s="1037"/>
      <c r="Z102" s="1037"/>
      <c r="AA102" s="1038"/>
      <c r="AB102" s="1035"/>
      <c r="AC102" s="1036"/>
      <c r="AD102" s="1037"/>
      <c r="AE102" s="1037"/>
      <c r="AF102" s="1037"/>
      <c r="AG102" s="1037"/>
      <c r="AH102" s="1038"/>
      <c r="AI102" s="1055"/>
      <c r="AJ102" s="1036"/>
      <c r="AK102" s="1036"/>
      <c r="AL102" s="1040">
        <f>SUM(G103:AK103)</f>
        <v>0</v>
      </c>
      <c r="AM102" s="1041"/>
      <c r="AN102" s="1042"/>
      <c r="AO102" s="1043"/>
      <c r="AP102" s="1041"/>
      <c r="AQ102" s="1044"/>
      <c r="AR102" s="1044"/>
    </row>
    <row r="103" spans="1:44" ht="15.9" hidden="1" customHeight="1">
      <c r="A103" s="989"/>
      <c r="B103" s="2238"/>
      <c r="C103" s="2240"/>
      <c r="D103" s="2242"/>
      <c r="E103" s="2244"/>
      <c r="F103" s="1045" t="s">
        <v>1960</v>
      </c>
      <c r="G103" s="1046" t="str">
        <f t="shared" ref="G103:AK103" si="47">IF(G102&lt;&gt;"",VLOOKUP(G102,$AC$197:$AL$221,9,FALSE),"")</f>
        <v/>
      </c>
      <c r="H103" s="1047" t="str">
        <f t="shared" si="47"/>
        <v/>
      </c>
      <c r="I103" s="1047" t="str">
        <f t="shared" si="47"/>
        <v/>
      </c>
      <c r="J103" s="1047" t="str">
        <f t="shared" si="47"/>
        <v/>
      </c>
      <c r="K103" s="1047" t="str">
        <f t="shared" si="47"/>
        <v/>
      </c>
      <c r="L103" s="1047" t="str">
        <f t="shared" si="47"/>
        <v/>
      </c>
      <c r="M103" s="1048" t="str">
        <f t="shared" si="47"/>
        <v/>
      </c>
      <c r="N103" s="1046" t="str">
        <f t="shared" si="47"/>
        <v/>
      </c>
      <c r="O103" s="1047" t="str">
        <f t="shared" si="47"/>
        <v/>
      </c>
      <c r="P103" s="1047" t="str">
        <f t="shared" si="47"/>
        <v/>
      </c>
      <c r="Q103" s="1047" t="str">
        <f t="shared" si="47"/>
        <v/>
      </c>
      <c r="R103" s="1047" t="str">
        <f t="shared" si="47"/>
        <v/>
      </c>
      <c r="S103" s="1047" t="str">
        <f t="shared" si="47"/>
        <v/>
      </c>
      <c r="T103" s="1048" t="str">
        <f t="shared" si="47"/>
        <v/>
      </c>
      <c r="U103" s="1046" t="str">
        <f t="shared" si="47"/>
        <v/>
      </c>
      <c r="V103" s="1047" t="str">
        <f t="shared" si="47"/>
        <v/>
      </c>
      <c r="W103" s="1047" t="str">
        <f t="shared" si="47"/>
        <v/>
      </c>
      <c r="X103" s="1047" t="str">
        <f t="shared" si="47"/>
        <v/>
      </c>
      <c r="Y103" s="1047" t="str">
        <f t="shared" si="47"/>
        <v/>
      </c>
      <c r="Z103" s="1047" t="str">
        <f t="shared" si="47"/>
        <v/>
      </c>
      <c r="AA103" s="1048" t="str">
        <f t="shared" si="47"/>
        <v/>
      </c>
      <c r="AB103" s="1046" t="str">
        <f t="shared" si="47"/>
        <v/>
      </c>
      <c r="AC103" s="1047" t="str">
        <f t="shared" si="47"/>
        <v/>
      </c>
      <c r="AD103" s="1047" t="str">
        <f t="shared" si="47"/>
        <v/>
      </c>
      <c r="AE103" s="1047" t="str">
        <f t="shared" si="47"/>
        <v/>
      </c>
      <c r="AF103" s="1047" t="str">
        <f t="shared" si="47"/>
        <v/>
      </c>
      <c r="AG103" s="1047" t="str">
        <f t="shared" si="47"/>
        <v/>
      </c>
      <c r="AH103" s="1048" t="str">
        <f t="shared" si="47"/>
        <v/>
      </c>
      <c r="AI103" s="1049" t="str">
        <f t="shared" si="47"/>
        <v/>
      </c>
      <c r="AJ103" s="1047" t="str">
        <f t="shared" si="47"/>
        <v/>
      </c>
      <c r="AK103" s="1047" t="str">
        <f t="shared" si="47"/>
        <v/>
      </c>
      <c r="AL103" s="1050">
        <f>SUM(G103:AH103)</f>
        <v>0</v>
      </c>
      <c r="AM103" s="1051">
        <f>AL103/4</f>
        <v>0</v>
      </c>
      <c r="AN103" s="1052" t="str">
        <f>IF(C102="","",C102)</f>
        <v/>
      </c>
      <c r="AO103" s="1053" t="str">
        <f>IF(D102="","",D102)</f>
        <v/>
      </c>
      <c r="AP103" s="1054" t="str">
        <f>IF(D102&lt;&gt;"",VLOOKUP(D102,$AU$2:$AV$6,2,FALSE),"")</f>
        <v/>
      </c>
      <c r="AQ103" s="1051" t="e">
        <f>ROUNDDOWN(AL103/$AL$6,2)</f>
        <v>#DIV/0!</v>
      </c>
      <c r="AR103" s="1051" t="e">
        <f>IF(AP103=1,"",AQ103)</f>
        <v>#DIV/0!</v>
      </c>
    </row>
    <row r="104" spans="1:44" ht="15.9" hidden="1" customHeight="1">
      <c r="A104" s="989"/>
      <c r="B104" s="2238" t="s">
        <v>2007</v>
      </c>
      <c r="C104" s="2239"/>
      <c r="D104" s="2241"/>
      <c r="E104" s="2243"/>
      <c r="F104" s="1034" t="s">
        <v>1959</v>
      </c>
      <c r="G104" s="1035"/>
      <c r="H104" s="1036"/>
      <c r="I104" s="1037"/>
      <c r="J104" s="1037"/>
      <c r="K104" s="1037"/>
      <c r="L104" s="1037"/>
      <c r="M104" s="1038"/>
      <c r="N104" s="1035"/>
      <c r="O104" s="1036"/>
      <c r="P104" s="1037"/>
      <c r="Q104" s="1037"/>
      <c r="R104" s="1037"/>
      <c r="S104" s="1037"/>
      <c r="T104" s="1038"/>
      <c r="U104" s="1035"/>
      <c r="V104" s="1036"/>
      <c r="W104" s="1037"/>
      <c r="X104" s="1037"/>
      <c r="Y104" s="1037"/>
      <c r="Z104" s="1037"/>
      <c r="AA104" s="1038"/>
      <c r="AB104" s="1035"/>
      <c r="AC104" s="1036"/>
      <c r="AD104" s="1037"/>
      <c r="AE104" s="1037"/>
      <c r="AF104" s="1037"/>
      <c r="AG104" s="1037"/>
      <c r="AH104" s="1038"/>
      <c r="AI104" s="1055"/>
      <c r="AJ104" s="1036"/>
      <c r="AK104" s="1036"/>
      <c r="AL104" s="1040">
        <f>SUM(G105:AK105)</f>
        <v>0</v>
      </c>
      <c r="AM104" s="1041"/>
      <c r="AN104" s="1042"/>
      <c r="AO104" s="1043"/>
      <c r="AP104" s="1041"/>
      <c r="AQ104" s="1044"/>
      <c r="AR104" s="1044"/>
    </row>
    <row r="105" spans="1:44" ht="15.9" hidden="1" customHeight="1">
      <c r="A105" s="989"/>
      <c r="B105" s="2238"/>
      <c r="C105" s="2240"/>
      <c r="D105" s="2242"/>
      <c r="E105" s="2244"/>
      <c r="F105" s="1045" t="s">
        <v>1960</v>
      </c>
      <c r="G105" s="1046" t="str">
        <f t="shared" ref="G105:AK105" si="48">IF(G104&lt;&gt;"",VLOOKUP(G104,$AC$197:$AL$221,9,FALSE),"")</f>
        <v/>
      </c>
      <c r="H105" s="1047" t="str">
        <f t="shared" si="48"/>
        <v/>
      </c>
      <c r="I105" s="1047" t="str">
        <f t="shared" si="48"/>
        <v/>
      </c>
      <c r="J105" s="1047" t="str">
        <f t="shared" si="48"/>
        <v/>
      </c>
      <c r="K105" s="1047" t="str">
        <f t="shared" si="48"/>
        <v/>
      </c>
      <c r="L105" s="1047" t="str">
        <f t="shared" si="48"/>
        <v/>
      </c>
      <c r="M105" s="1048" t="str">
        <f t="shared" si="48"/>
        <v/>
      </c>
      <c r="N105" s="1046" t="str">
        <f t="shared" si="48"/>
        <v/>
      </c>
      <c r="O105" s="1047" t="str">
        <f t="shared" si="48"/>
        <v/>
      </c>
      <c r="P105" s="1047" t="str">
        <f t="shared" si="48"/>
        <v/>
      </c>
      <c r="Q105" s="1047" t="str">
        <f t="shared" si="48"/>
        <v/>
      </c>
      <c r="R105" s="1047" t="str">
        <f t="shared" si="48"/>
        <v/>
      </c>
      <c r="S105" s="1047" t="str">
        <f t="shared" si="48"/>
        <v/>
      </c>
      <c r="T105" s="1048" t="str">
        <f t="shared" si="48"/>
        <v/>
      </c>
      <c r="U105" s="1046" t="str">
        <f t="shared" si="48"/>
        <v/>
      </c>
      <c r="V105" s="1047" t="str">
        <f t="shared" si="48"/>
        <v/>
      </c>
      <c r="W105" s="1047" t="str">
        <f t="shared" si="48"/>
        <v/>
      </c>
      <c r="X105" s="1047" t="str">
        <f t="shared" si="48"/>
        <v/>
      </c>
      <c r="Y105" s="1047" t="str">
        <f t="shared" si="48"/>
        <v/>
      </c>
      <c r="Z105" s="1047" t="str">
        <f t="shared" si="48"/>
        <v/>
      </c>
      <c r="AA105" s="1048" t="str">
        <f t="shared" si="48"/>
        <v/>
      </c>
      <c r="AB105" s="1046" t="str">
        <f t="shared" si="48"/>
        <v/>
      </c>
      <c r="AC105" s="1047" t="str">
        <f t="shared" si="48"/>
        <v/>
      </c>
      <c r="AD105" s="1047" t="str">
        <f t="shared" si="48"/>
        <v/>
      </c>
      <c r="AE105" s="1047" t="str">
        <f t="shared" si="48"/>
        <v/>
      </c>
      <c r="AF105" s="1047" t="str">
        <f t="shared" si="48"/>
        <v/>
      </c>
      <c r="AG105" s="1047" t="str">
        <f t="shared" si="48"/>
        <v/>
      </c>
      <c r="AH105" s="1048" t="str">
        <f t="shared" si="48"/>
        <v/>
      </c>
      <c r="AI105" s="1049" t="str">
        <f t="shared" si="48"/>
        <v/>
      </c>
      <c r="AJ105" s="1047" t="str">
        <f t="shared" si="48"/>
        <v/>
      </c>
      <c r="AK105" s="1047" t="str">
        <f t="shared" si="48"/>
        <v/>
      </c>
      <c r="AL105" s="1050">
        <f>SUM(G105:AH105)</f>
        <v>0</v>
      </c>
      <c r="AM105" s="1051">
        <f>AL105/4</f>
        <v>0</v>
      </c>
      <c r="AN105" s="1052" t="str">
        <f>IF(C104="","",C104)</f>
        <v/>
      </c>
      <c r="AO105" s="1053" t="str">
        <f>IF(D104="","",D104)</f>
        <v/>
      </c>
      <c r="AP105" s="1054" t="str">
        <f>IF(D104&lt;&gt;"",VLOOKUP(D104,$AU$2:$AV$6,2,FALSE),"")</f>
        <v/>
      </c>
      <c r="AQ105" s="1051" t="e">
        <f>ROUNDDOWN(AL105/$AL$6,2)</f>
        <v>#DIV/0!</v>
      </c>
      <c r="AR105" s="1051" t="e">
        <f>IF(AP105=1,"",AQ105)</f>
        <v>#DIV/0!</v>
      </c>
    </row>
    <row r="106" spans="1:44" ht="15.9" hidden="1" customHeight="1">
      <c r="A106" s="989"/>
      <c r="B106" s="2238" t="s">
        <v>2008</v>
      </c>
      <c r="C106" s="2239"/>
      <c r="D106" s="2241"/>
      <c r="E106" s="2243"/>
      <c r="F106" s="1034" t="s">
        <v>1959</v>
      </c>
      <c r="G106" s="1035"/>
      <c r="H106" s="1036"/>
      <c r="I106" s="1037"/>
      <c r="J106" s="1037"/>
      <c r="K106" s="1037"/>
      <c r="L106" s="1037"/>
      <c r="M106" s="1038"/>
      <c r="N106" s="1035"/>
      <c r="O106" s="1036"/>
      <c r="P106" s="1037"/>
      <c r="Q106" s="1037"/>
      <c r="R106" s="1037"/>
      <c r="S106" s="1037"/>
      <c r="T106" s="1038"/>
      <c r="U106" s="1035"/>
      <c r="V106" s="1036"/>
      <c r="W106" s="1037"/>
      <c r="X106" s="1037"/>
      <c r="Y106" s="1037"/>
      <c r="Z106" s="1037"/>
      <c r="AA106" s="1038"/>
      <c r="AB106" s="1035"/>
      <c r="AC106" s="1036"/>
      <c r="AD106" s="1037"/>
      <c r="AE106" s="1037"/>
      <c r="AF106" s="1037"/>
      <c r="AG106" s="1037"/>
      <c r="AH106" s="1038"/>
      <c r="AI106" s="1039"/>
      <c r="AJ106" s="1037"/>
      <c r="AK106" s="1037"/>
      <c r="AL106" s="1040">
        <f>SUM(G107:AK107)</f>
        <v>0</v>
      </c>
      <c r="AM106" s="1041"/>
      <c r="AN106" s="1042"/>
      <c r="AO106" s="1043"/>
      <c r="AP106" s="1041"/>
      <c r="AQ106" s="1044"/>
      <c r="AR106" s="1044"/>
    </row>
    <row r="107" spans="1:44" ht="15.9" hidden="1" customHeight="1">
      <c r="A107" s="989"/>
      <c r="B107" s="2238"/>
      <c r="C107" s="2240"/>
      <c r="D107" s="2242"/>
      <c r="E107" s="2244"/>
      <c r="F107" s="1045" t="s">
        <v>1960</v>
      </c>
      <c r="G107" s="1046" t="str">
        <f t="shared" ref="G107:AK107" si="49">IF(G106&lt;&gt;"",VLOOKUP(G106,$AC$197:$AL$221,9,FALSE),"")</f>
        <v/>
      </c>
      <c r="H107" s="1047" t="str">
        <f t="shared" si="49"/>
        <v/>
      </c>
      <c r="I107" s="1047" t="str">
        <f t="shared" si="49"/>
        <v/>
      </c>
      <c r="J107" s="1047" t="str">
        <f t="shared" si="49"/>
        <v/>
      </c>
      <c r="K107" s="1047" t="str">
        <f t="shared" si="49"/>
        <v/>
      </c>
      <c r="L107" s="1047" t="str">
        <f t="shared" si="49"/>
        <v/>
      </c>
      <c r="M107" s="1048" t="str">
        <f t="shared" si="49"/>
        <v/>
      </c>
      <c r="N107" s="1046" t="str">
        <f t="shared" si="49"/>
        <v/>
      </c>
      <c r="O107" s="1047" t="str">
        <f t="shared" si="49"/>
        <v/>
      </c>
      <c r="P107" s="1047" t="str">
        <f t="shared" si="49"/>
        <v/>
      </c>
      <c r="Q107" s="1047" t="str">
        <f t="shared" si="49"/>
        <v/>
      </c>
      <c r="R107" s="1047" t="str">
        <f t="shared" si="49"/>
        <v/>
      </c>
      <c r="S107" s="1047" t="str">
        <f t="shared" si="49"/>
        <v/>
      </c>
      <c r="T107" s="1048" t="str">
        <f t="shared" si="49"/>
        <v/>
      </c>
      <c r="U107" s="1046" t="str">
        <f t="shared" si="49"/>
        <v/>
      </c>
      <c r="V107" s="1047" t="str">
        <f t="shared" si="49"/>
        <v/>
      </c>
      <c r="W107" s="1047" t="str">
        <f t="shared" si="49"/>
        <v/>
      </c>
      <c r="X107" s="1047" t="str">
        <f t="shared" si="49"/>
        <v/>
      </c>
      <c r="Y107" s="1047" t="str">
        <f t="shared" si="49"/>
        <v/>
      </c>
      <c r="Z107" s="1047" t="str">
        <f t="shared" si="49"/>
        <v/>
      </c>
      <c r="AA107" s="1048" t="str">
        <f t="shared" si="49"/>
        <v/>
      </c>
      <c r="AB107" s="1046" t="str">
        <f t="shared" si="49"/>
        <v/>
      </c>
      <c r="AC107" s="1047" t="str">
        <f t="shared" si="49"/>
        <v/>
      </c>
      <c r="AD107" s="1047" t="str">
        <f t="shared" si="49"/>
        <v/>
      </c>
      <c r="AE107" s="1047" t="str">
        <f t="shared" si="49"/>
        <v/>
      </c>
      <c r="AF107" s="1047" t="str">
        <f t="shared" si="49"/>
        <v/>
      </c>
      <c r="AG107" s="1047" t="str">
        <f t="shared" si="49"/>
        <v/>
      </c>
      <c r="AH107" s="1048" t="str">
        <f t="shared" si="49"/>
        <v/>
      </c>
      <c r="AI107" s="1049" t="str">
        <f t="shared" si="49"/>
        <v/>
      </c>
      <c r="AJ107" s="1047" t="str">
        <f t="shared" si="49"/>
        <v/>
      </c>
      <c r="AK107" s="1047" t="str">
        <f t="shared" si="49"/>
        <v/>
      </c>
      <c r="AL107" s="1050">
        <f>SUM(G107:AH107)</f>
        <v>0</v>
      </c>
      <c r="AM107" s="1051">
        <f>AL107/4</f>
        <v>0</v>
      </c>
      <c r="AN107" s="1052" t="str">
        <f>IF(C106="","",C106)</f>
        <v/>
      </c>
      <c r="AO107" s="1053" t="str">
        <f>IF(D106="","",D106)</f>
        <v/>
      </c>
      <c r="AP107" s="1054" t="str">
        <f>IF(D106&lt;&gt;"",VLOOKUP(D106,$AU$2:$AV$6,2,FALSE),"")</f>
        <v/>
      </c>
      <c r="AQ107" s="1051" t="e">
        <f>ROUNDDOWN(AL107/$AL$6,2)</f>
        <v>#DIV/0!</v>
      </c>
      <c r="AR107" s="1051" t="e">
        <f>IF(AP107=1,"",AQ107)</f>
        <v>#DIV/0!</v>
      </c>
    </row>
    <row r="108" spans="1:44" ht="15.9" hidden="1" customHeight="1">
      <c r="A108" s="989"/>
      <c r="B108" s="2238" t="s">
        <v>2009</v>
      </c>
      <c r="C108" s="2239"/>
      <c r="D108" s="2241"/>
      <c r="E108" s="2243"/>
      <c r="F108" s="1034" t="s">
        <v>1959</v>
      </c>
      <c r="G108" s="1035"/>
      <c r="H108" s="1036"/>
      <c r="I108" s="1037"/>
      <c r="J108" s="1037"/>
      <c r="K108" s="1037"/>
      <c r="L108" s="1037"/>
      <c r="M108" s="1038"/>
      <c r="N108" s="1035"/>
      <c r="O108" s="1036"/>
      <c r="P108" s="1037"/>
      <c r="Q108" s="1037"/>
      <c r="R108" s="1037"/>
      <c r="S108" s="1037"/>
      <c r="T108" s="1038"/>
      <c r="U108" s="1035"/>
      <c r="V108" s="1036"/>
      <c r="W108" s="1037"/>
      <c r="X108" s="1037"/>
      <c r="Y108" s="1037"/>
      <c r="Z108" s="1037"/>
      <c r="AA108" s="1038"/>
      <c r="AB108" s="1035"/>
      <c r="AC108" s="1036"/>
      <c r="AD108" s="1037"/>
      <c r="AE108" s="1037"/>
      <c r="AF108" s="1037"/>
      <c r="AG108" s="1037"/>
      <c r="AH108" s="1038"/>
      <c r="AI108" s="1039"/>
      <c r="AJ108" s="1037"/>
      <c r="AK108" s="1037"/>
      <c r="AL108" s="1040">
        <f>SUM(G109:AK109)</f>
        <v>0</v>
      </c>
      <c r="AM108" s="1041"/>
      <c r="AN108" s="1042"/>
      <c r="AO108" s="1043"/>
      <c r="AP108" s="1041"/>
      <c r="AQ108" s="1044"/>
      <c r="AR108" s="1044"/>
    </row>
    <row r="109" spans="1:44" ht="15.9" hidden="1" customHeight="1">
      <c r="A109" s="989"/>
      <c r="B109" s="2238"/>
      <c r="C109" s="2240"/>
      <c r="D109" s="2242"/>
      <c r="E109" s="2244"/>
      <c r="F109" s="1045" t="s">
        <v>1960</v>
      </c>
      <c r="G109" s="1046" t="str">
        <f t="shared" ref="G109:AK109" si="50">IF(G108&lt;&gt;"",VLOOKUP(G108,$AC$197:$AL$221,9,FALSE),"")</f>
        <v/>
      </c>
      <c r="H109" s="1047" t="str">
        <f t="shared" si="50"/>
        <v/>
      </c>
      <c r="I109" s="1047" t="str">
        <f t="shared" si="50"/>
        <v/>
      </c>
      <c r="J109" s="1047" t="str">
        <f t="shared" si="50"/>
        <v/>
      </c>
      <c r="K109" s="1047" t="str">
        <f t="shared" si="50"/>
        <v/>
      </c>
      <c r="L109" s="1047" t="str">
        <f t="shared" si="50"/>
        <v/>
      </c>
      <c r="M109" s="1048" t="str">
        <f t="shared" si="50"/>
        <v/>
      </c>
      <c r="N109" s="1046" t="str">
        <f t="shared" si="50"/>
        <v/>
      </c>
      <c r="O109" s="1047" t="str">
        <f t="shared" si="50"/>
        <v/>
      </c>
      <c r="P109" s="1047" t="str">
        <f t="shared" si="50"/>
        <v/>
      </c>
      <c r="Q109" s="1047" t="str">
        <f t="shared" si="50"/>
        <v/>
      </c>
      <c r="R109" s="1047" t="str">
        <f t="shared" si="50"/>
        <v/>
      </c>
      <c r="S109" s="1047" t="str">
        <f t="shared" si="50"/>
        <v/>
      </c>
      <c r="T109" s="1048" t="str">
        <f t="shared" si="50"/>
        <v/>
      </c>
      <c r="U109" s="1046" t="str">
        <f t="shared" si="50"/>
        <v/>
      </c>
      <c r="V109" s="1047" t="str">
        <f t="shared" si="50"/>
        <v/>
      </c>
      <c r="W109" s="1047" t="str">
        <f t="shared" si="50"/>
        <v/>
      </c>
      <c r="X109" s="1047" t="str">
        <f t="shared" si="50"/>
        <v/>
      </c>
      <c r="Y109" s="1047" t="str">
        <f t="shared" si="50"/>
        <v/>
      </c>
      <c r="Z109" s="1047" t="str">
        <f t="shared" si="50"/>
        <v/>
      </c>
      <c r="AA109" s="1048" t="str">
        <f t="shared" si="50"/>
        <v/>
      </c>
      <c r="AB109" s="1046" t="str">
        <f t="shared" si="50"/>
        <v/>
      </c>
      <c r="AC109" s="1047" t="str">
        <f t="shared" si="50"/>
        <v/>
      </c>
      <c r="AD109" s="1047" t="str">
        <f t="shared" si="50"/>
        <v/>
      </c>
      <c r="AE109" s="1047" t="str">
        <f t="shared" si="50"/>
        <v/>
      </c>
      <c r="AF109" s="1047" t="str">
        <f t="shared" si="50"/>
        <v/>
      </c>
      <c r="AG109" s="1047" t="str">
        <f t="shared" si="50"/>
        <v/>
      </c>
      <c r="AH109" s="1048" t="str">
        <f t="shared" si="50"/>
        <v/>
      </c>
      <c r="AI109" s="1049" t="str">
        <f t="shared" si="50"/>
        <v/>
      </c>
      <c r="AJ109" s="1047" t="str">
        <f t="shared" si="50"/>
        <v/>
      </c>
      <c r="AK109" s="1047" t="str">
        <f t="shared" si="50"/>
        <v/>
      </c>
      <c r="AL109" s="1050">
        <f>SUM(G109:AH109)</f>
        <v>0</v>
      </c>
      <c r="AM109" s="1051">
        <f>AL109/4</f>
        <v>0</v>
      </c>
      <c r="AN109" s="1052" t="str">
        <f>IF(C108="","",C108)</f>
        <v/>
      </c>
      <c r="AO109" s="1053" t="str">
        <f>IF(D108="","",D108)</f>
        <v/>
      </c>
      <c r="AP109" s="1054" t="str">
        <f>IF(D108&lt;&gt;"",VLOOKUP(D108,$AU$2:$AV$6,2,FALSE),"")</f>
        <v/>
      </c>
      <c r="AQ109" s="1051" t="e">
        <f>ROUNDDOWN(AL109/$AL$6,2)</f>
        <v>#DIV/0!</v>
      </c>
      <c r="AR109" s="1051" t="e">
        <f>IF(AP109=1,"",AQ109)</f>
        <v>#DIV/0!</v>
      </c>
    </row>
    <row r="110" spans="1:44" ht="15.9" hidden="1" customHeight="1">
      <c r="A110" s="989"/>
      <c r="B110" s="2238" t="s">
        <v>2010</v>
      </c>
      <c r="C110" s="2239"/>
      <c r="D110" s="2241"/>
      <c r="E110" s="2243"/>
      <c r="F110" s="1034" t="s">
        <v>1959</v>
      </c>
      <c r="G110" s="1035"/>
      <c r="H110" s="1036"/>
      <c r="I110" s="1037"/>
      <c r="J110" s="1037"/>
      <c r="K110" s="1037"/>
      <c r="L110" s="1037"/>
      <c r="M110" s="1038"/>
      <c r="N110" s="1035"/>
      <c r="O110" s="1036"/>
      <c r="P110" s="1037"/>
      <c r="Q110" s="1037"/>
      <c r="R110" s="1037"/>
      <c r="S110" s="1037"/>
      <c r="T110" s="1038"/>
      <c r="U110" s="1035"/>
      <c r="V110" s="1036"/>
      <c r="W110" s="1037"/>
      <c r="X110" s="1037"/>
      <c r="Y110" s="1037"/>
      <c r="Z110" s="1037"/>
      <c r="AA110" s="1038"/>
      <c r="AB110" s="1035"/>
      <c r="AC110" s="1036"/>
      <c r="AD110" s="1037"/>
      <c r="AE110" s="1037"/>
      <c r="AF110" s="1037"/>
      <c r="AG110" s="1037"/>
      <c r="AH110" s="1038"/>
      <c r="AI110" s="1055"/>
      <c r="AJ110" s="1036"/>
      <c r="AK110" s="1036"/>
      <c r="AL110" s="1040">
        <f>SUM(G111:AK111)</f>
        <v>0</v>
      </c>
      <c r="AM110" s="1041"/>
      <c r="AN110" s="1042"/>
      <c r="AO110" s="1043"/>
      <c r="AP110" s="1041"/>
      <c r="AQ110" s="1044"/>
      <c r="AR110" s="1044"/>
    </row>
    <row r="111" spans="1:44" ht="15.9" hidden="1" customHeight="1">
      <c r="A111" s="989"/>
      <c r="B111" s="2238"/>
      <c r="C111" s="2240"/>
      <c r="D111" s="2242"/>
      <c r="E111" s="2244"/>
      <c r="F111" s="1045" t="s">
        <v>1960</v>
      </c>
      <c r="G111" s="1046" t="str">
        <f t="shared" ref="G111:AK111" si="51">IF(G110&lt;&gt;"",VLOOKUP(G110,$AC$197:$AL$221,9,FALSE),"")</f>
        <v/>
      </c>
      <c r="H111" s="1047" t="str">
        <f t="shared" si="51"/>
        <v/>
      </c>
      <c r="I111" s="1047" t="str">
        <f t="shared" si="51"/>
        <v/>
      </c>
      <c r="J111" s="1047" t="str">
        <f t="shared" si="51"/>
        <v/>
      </c>
      <c r="K111" s="1047" t="str">
        <f t="shared" si="51"/>
        <v/>
      </c>
      <c r="L111" s="1047" t="str">
        <f t="shared" si="51"/>
        <v/>
      </c>
      <c r="M111" s="1048" t="str">
        <f t="shared" si="51"/>
        <v/>
      </c>
      <c r="N111" s="1046" t="str">
        <f t="shared" si="51"/>
        <v/>
      </c>
      <c r="O111" s="1047" t="str">
        <f t="shared" si="51"/>
        <v/>
      </c>
      <c r="P111" s="1047" t="str">
        <f t="shared" si="51"/>
        <v/>
      </c>
      <c r="Q111" s="1047" t="str">
        <f t="shared" si="51"/>
        <v/>
      </c>
      <c r="R111" s="1047" t="str">
        <f t="shared" si="51"/>
        <v/>
      </c>
      <c r="S111" s="1047" t="str">
        <f t="shared" si="51"/>
        <v/>
      </c>
      <c r="T111" s="1048" t="str">
        <f t="shared" si="51"/>
        <v/>
      </c>
      <c r="U111" s="1046" t="str">
        <f t="shared" si="51"/>
        <v/>
      </c>
      <c r="V111" s="1047" t="str">
        <f t="shared" si="51"/>
        <v/>
      </c>
      <c r="W111" s="1047" t="str">
        <f t="shared" si="51"/>
        <v/>
      </c>
      <c r="X111" s="1047" t="str">
        <f t="shared" si="51"/>
        <v/>
      </c>
      <c r="Y111" s="1047" t="str">
        <f t="shared" si="51"/>
        <v/>
      </c>
      <c r="Z111" s="1047" t="str">
        <f t="shared" si="51"/>
        <v/>
      </c>
      <c r="AA111" s="1048" t="str">
        <f t="shared" si="51"/>
        <v/>
      </c>
      <c r="AB111" s="1046" t="str">
        <f t="shared" si="51"/>
        <v/>
      </c>
      <c r="AC111" s="1047" t="str">
        <f t="shared" si="51"/>
        <v/>
      </c>
      <c r="AD111" s="1047" t="str">
        <f t="shared" si="51"/>
        <v/>
      </c>
      <c r="AE111" s="1047" t="str">
        <f t="shared" si="51"/>
        <v/>
      </c>
      <c r="AF111" s="1047" t="str">
        <f t="shared" si="51"/>
        <v/>
      </c>
      <c r="AG111" s="1047" t="str">
        <f t="shared" si="51"/>
        <v/>
      </c>
      <c r="AH111" s="1048" t="str">
        <f t="shared" si="51"/>
        <v/>
      </c>
      <c r="AI111" s="1049" t="str">
        <f t="shared" si="51"/>
        <v/>
      </c>
      <c r="AJ111" s="1047" t="str">
        <f t="shared" si="51"/>
        <v/>
      </c>
      <c r="AK111" s="1047" t="str">
        <f t="shared" si="51"/>
        <v/>
      </c>
      <c r="AL111" s="1050">
        <f>SUM(G111:AH111)</f>
        <v>0</v>
      </c>
      <c r="AM111" s="1051">
        <f>AL111/4</f>
        <v>0</v>
      </c>
      <c r="AN111" s="1052" t="str">
        <f>IF(C110="","",C110)</f>
        <v/>
      </c>
      <c r="AO111" s="1053" t="str">
        <f>IF(D110="","",D110)</f>
        <v/>
      </c>
      <c r="AP111" s="1054" t="str">
        <f>IF(D110&lt;&gt;"",VLOOKUP(D110,$AU$2:$AV$6,2,FALSE),"")</f>
        <v/>
      </c>
      <c r="AQ111" s="1051" t="e">
        <f>ROUNDDOWN(AL111/$AL$6,2)</f>
        <v>#DIV/0!</v>
      </c>
      <c r="AR111" s="1051" t="e">
        <f>IF(AP111=1,"",AQ111)</f>
        <v>#DIV/0!</v>
      </c>
    </row>
    <row r="112" spans="1:44" ht="15.9" hidden="1" customHeight="1">
      <c r="A112" s="989"/>
      <c r="B112" s="2238" t="s">
        <v>2011</v>
      </c>
      <c r="C112" s="2239"/>
      <c r="D112" s="2241"/>
      <c r="E112" s="2243"/>
      <c r="F112" s="1034" t="s">
        <v>1959</v>
      </c>
      <c r="G112" s="1035"/>
      <c r="H112" s="1036"/>
      <c r="I112" s="1037"/>
      <c r="J112" s="1037"/>
      <c r="K112" s="1037"/>
      <c r="L112" s="1037"/>
      <c r="M112" s="1038"/>
      <c r="N112" s="1035"/>
      <c r="O112" s="1036"/>
      <c r="P112" s="1037"/>
      <c r="Q112" s="1037"/>
      <c r="R112" s="1037"/>
      <c r="S112" s="1037"/>
      <c r="T112" s="1038"/>
      <c r="U112" s="1035"/>
      <c r="V112" s="1036"/>
      <c r="W112" s="1037"/>
      <c r="X112" s="1037"/>
      <c r="Y112" s="1037"/>
      <c r="Z112" s="1037"/>
      <c r="AA112" s="1038"/>
      <c r="AB112" s="1035"/>
      <c r="AC112" s="1036"/>
      <c r="AD112" s="1037"/>
      <c r="AE112" s="1037"/>
      <c r="AF112" s="1037"/>
      <c r="AG112" s="1037"/>
      <c r="AH112" s="1038"/>
      <c r="AI112" s="1055"/>
      <c r="AJ112" s="1036"/>
      <c r="AK112" s="1036"/>
      <c r="AL112" s="1040">
        <f>SUM(G113:AK113)</f>
        <v>0</v>
      </c>
      <c r="AM112" s="1041"/>
      <c r="AN112" s="1042"/>
      <c r="AO112" s="1043"/>
      <c r="AP112" s="1041"/>
      <c r="AQ112" s="1044"/>
      <c r="AR112" s="1044"/>
    </row>
    <row r="113" spans="1:44" ht="15.9" hidden="1" customHeight="1">
      <c r="A113" s="989"/>
      <c r="B113" s="2238"/>
      <c r="C113" s="2240"/>
      <c r="D113" s="2242"/>
      <c r="E113" s="2244"/>
      <c r="F113" s="1045" t="s">
        <v>1960</v>
      </c>
      <c r="G113" s="1046" t="str">
        <f t="shared" ref="G113:AK113" si="52">IF(G112&lt;&gt;"",VLOOKUP(G112,$AC$197:$AL$221,9,FALSE),"")</f>
        <v/>
      </c>
      <c r="H113" s="1047" t="str">
        <f t="shared" si="52"/>
        <v/>
      </c>
      <c r="I113" s="1047" t="str">
        <f t="shared" si="52"/>
        <v/>
      </c>
      <c r="J113" s="1047" t="str">
        <f t="shared" si="52"/>
        <v/>
      </c>
      <c r="K113" s="1047" t="str">
        <f t="shared" si="52"/>
        <v/>
      </c>
      <c r="L113" s="1047" t="str">
        <f t="shared" si="52"/>
        <v/>
      </c>
      <c r="M113" s="1048" t="str">
        <f t="shared" si="52"/>
        <v/>
      </c>
      <c r="N113" s="1046" t="str">
        <f t="shared" si="52"/>
        <v/>
      </c>
      <c r="O113" s="1047" t="str">
        <f t="shared" si="52"/>
        <v/>
      </c>
      <c r="P113" s="1047" t="str">
        <f t="shared" si="52"/>
        <v/>
      </c>
      <c r="Q113" s="1047" t="str">
        <f t="shared" si="52"/>
        <v/>
      </c>
      <c r="R113" s="1047" t="str">
        <f t="shared" si="52"/>
        <v/>
      </c>
      <c r="S113" s="1047" t="str">
        <f t="shared" si="52"/>
        <v/>
      </c>
      <c r="T113" s="1048" t="str">
        <f t="shared" si="52"/>
        <v/>
      </c>
      <c r="U113" s="1046" t="str">
        <f t="shared" si="52"/>
        <v/>
      </c>
      <c r="V113" s="1047" t="str">
        <f t="shared" si="52"/>
        <v/>
      </c>
      <c r="W113" s="1047" t="str">
        <f t="shared" si="52"/>
        <v/>
      </c>
      <c r="X113" s="1047" t="str">
        <f t="shared" si="52"/>
        <v/>
      </c>
      <c r="Y113" s="1047" t="str">
        <f t="shared" si="52"/>
        <v/>
      </c>
      <c r="Z113" s="1047" t="str">
        <f t="shared" si="52"/>
        <v/>
      </c>
      <c r="AA113" s="1048" t="str">
        <f t="shared" si="52"/>
        <v/>
      </c>
      <c r="AB113" s="1046" t="str">
        <f t="shared" si="52"/>
        <v/>
      </c>
      <c r="AC113" s="1047" t="str">
        <f t="shared" si="52"/>
        <v/>
      </c>
      <c r="AD113" s="1047" t="str">
        <f t="shared" si="52"/>
        <v/>
      </c>
      <c r="AE113" s="1047" t="str">
        <f t="shared" si="52"/>
        <v/>
      </c>
      <c r="AF113" s="1047" t="str">
        <f t="shared" si="52"/>
        <v/>
      </c>
      <c r="AG113" s="1047" t="str">
        <f t="shared" si="52"/>
        <v/>
      </c>
      <c r="AH113" s="1048" t="str">
        <f t="shared" si="52"/>
        <v/>
      </c>
      <c r="AI113" s="1049" t="str">
        <f t="shared" si="52"/>
        <v/>
      </c>
      <c r="AJ113" s="1047" t="str">
        <f t="shared" si="52"/>
        <v/>
      </c>
      <c r="AK113" s="1047" t="str">
        <f t="shared" si="52"/>
        <v/>
      </c>
      <c r="AL113" s="1050">
        <f>SUM(G113:AH113)</f>
        <v>0</v>
      </c>
      <c r="AM113" s="1051">
        <f>AL113/4</f>
        <v>0</v>
      </c>
      <c r="AN113" s="1052" t="str">
        <f>IF(C112="","",C112)</f>
        <v/>
      </c>
      <c r="AO113" s="1053" t="str">
        <f>IF(D112="","",D112)</f>
        <v/>
      </c>
      <c r="AP113" s="1054" t="str">
        <f>IF(D112&lt;&gt;"",VLOOKUP(D112,$AU$2:$AV$6,2,FALSE),"")</f>
        <v/>
      </c>
      <c r="AQ113" s="1051" t="e">
        <f>ROUNDDOWN(AL113/$AL$6,2)</f>
        <v>#DIV/0!</v>
      </c>
      <c r="AR113" s="1051" t="e">
        <f>IF(AP113=1,"",AQ113)</f>
        <v>#DIV/0!</v>
      </c>
    </row>
    <row r="114" spans="1:44" ht="15.9" hidden="1" customHeight="1">
      <c r="A114" s="989"/>
      <c r="B114" s="2238" t="s">
        <v>2012</v>
      </c>
      <c r="C114" s="2239"/>
      <c r="D114" s="2241"/>
      <c r="E114" s="2243"/>
      <c r="F114" s="1034" t="s">
        <v>1959</v>
      </c>
      <c r="G114" s="1035"/>
      <c r="H114" s="1036"/>
      <c r="I114" s="1037"/>
      <c r="J114" s="1037"/>
      <c r="K114" s="1037"/>
      <c r="L114" s="1037"/>
      <c r="M114" s="1038"/>
      <c r="N114" s="1035"/>
      <c r="O114" s="1036"/>
      <c r="P114" s="1037"/>
      <c r="Q114" s="1037"/>
      <c r="R114" s="1037"/>
      <c r="S114" s="1037"/>
      <c r="T114" s="1038"/>
      <c r="U114" s="1035"/>
      <c r="V114" s="1036"/>
      <c r="W114" s="1037"/>
      <c r="X114" s="1037"/>
      <c r="Y114" s="1037"/>
      <c r="Z114" s="1037"/>
      <c r="AA114" s="1038"/>
      <c r="AB114" s="1035"/>
      <c r="AC114" s="1036"/>
      <c r="AD114" s="1037"/>
      <c r="AE114" s="1037"/>
      <c r="AF114" s="1037"/>
      <c r="AG114" s="1037"/>
      <c r="AH114" s="1038"/>
      <c r="AI114" s="1039"/>
      <c r="AJ114" s="1037"/>
      <c r="AK114" s="1037"/>
      <c r="AL114" s="1040">
        <f>SUM(G115:AK115)</f>
        <v>0</v>
      </c>
      <c r="AM114" s="1041"/>
      <c r="AN114" s="1042"/>
      <c r="AO114" s="1043"/>
      <c r="AP114" s="1041"/>
      <c r="AQ114" s="1044"/>
      <c r="AR114" s="1044"/>
    </row>
    <row r="115" spans="1:44" ht="15.9" hidden="1" customHeight="1">
      <c r="A115" s="989"/>
      <c r="B115" s="2238"/>
      <c r="C115" s="2240"/>
      <c r="D115" s="2242"/>
      <c r="E115" s="2244"/>
      <c r="F115" s="1045" t="s">
        <v>1960</v>
      </c>
      <c r="G115" s="1046" t="str">
        <f t="shared" ref="G115:AK115" si="53">IF(G114&lt;&gt;"",VLOOKUP(G114,$AC$197:$AL$221,9,FALSE),"")</f>
        <v/>
      </c>
      <c r="H115" s="1047" t="str">
        <f t="shared" si="53"/>
        <v/>
      </c>
      <c r="I115" s="1047" t="str">
        <f t="shared" si="53"/>
        <v/>
      </c>
      <c r="J115" s="1047" t="str">
        <f t="shared" si="53"/>
        <v/>
      </c>
      <c r="K115" s="1047" t="str">
        <f t="shared" si="53"/>
        <v/>
      </c>
      <c r="L115" s="1047" t="str">
        <f t="shared" si="53"/>
        <v/>
      </c>
      <c r="M115" s="1048" t="str">
        <f t="shared" si="53"/>
        <v/>
      </c>
      <c r="N115" s="1046" t="str">
        <f t="shared" si="53"/>
        <v/>
      </c>
      <c r="O115" s="1047" t="str">
        <f t="shared" si="53"/>
        <v/>
      </c>
      <c r="P115" s="1047" t="str">
        <f t="shared" si="53"/>
        <v/>
      </c>
      <c r="Q115" s="1047" t="str">
        <f t="shared" si="53"/>
        <v/>
      </c>
      <c r="R115" s="1047" t="str">
        <f t="shared" si="53"/>
        <v/>
      </c>
      <c r="S115" s="1047" t="str">
        <f t="shared" si="53"/>
        <v/>
      </c>
      <c r="T115" s="1048" t="str">
        <f t="shared" si="53"/>
        <v/>
      </c>
      <c r="U115" s="1046" t="str">
        <f t="shared" si="53"/>
        <v/>
      </c>
      <c r="V115" s="1047" t="str">
        <f t="shared" si="53"/>
        <v/>
      </c>
      <c r="W115" s="1047" t="str">
        <f t="shared" si="53"/>
        <v/>
      </c>
      <c r="X115" s="1047" t="str">
        <f t="shared" si="53"/>
        <v/>
      </c>
      <c r="Y115" s="1047" t="str">
        <f t="shared" si="53"/>
        <v/>
      </c>
      <c r="Z115" s="1047" t="str">
        <f t="shared" si="53"/>
        <v/>
      </c>
      <c r="AA115" s="1048" t="str">
        <f t="shared" si="53"/>
        <v/>
      </c>
      <c r="AB115" s="1046" t="str">
        <f t="shared" si="53"/>
        <v/>
      </c>
      <c r="AC115" s="1047" t="str">
        <f t="shared" si="53"/>
        <v/>
      </c>
      <c r="AD115" s="1047" t="str">
        <f t="shared" si="53"/>
        <v/>
      </c>
      <c r="AE115" s="1047" t="str">
        <f t="shared" si="53"/>
        <v/>
      </c>
      <c r="AF115" s="1047" t="str">
        <f t="shared" si="53"/>
        <v/>
      </c>
      <c r="AG115" s="1047" t="str">
        <f t="shared" si="53"/>
        <v/>
      </c>
      <c r="AH115" s="1048" t="str">
        <f t="shared" si="53"/>
        <v/>
      </c>
      <c r="AI115" s="1049" t="str">
        <f t="shared" si="53"/>
        <v/>
      </c>
      <c r="AJ115" s="1047" t="str">
        <f t="shared" si="53"/>
        <v/>
      </c>
      <c r="AK115" s="1047" t="str">
        <f t="shared" si="53"/>
        <v/>
      </c>
      <c r="AL115" s="1050">
        <f>SUM(G115:AH115)</f>
        <v>0</v>
      </c>
      <c r="AM115" s="1051">
        <f>AL115/4</f>
        <v>0</v>
      </c>
      <c r="AN115" s="1052" t="str">
        <f>IF(C114="","",C114)</f>
        <v/>
      </c>
      <c r="AO115" s="1053" t="str">
        <f>IF(D114="","",D114)</f>
        <v/>
      </c>
      <c r="AP115" s="1054" t="str">
        <f>IF(D114&lt;&gt;"",VLOOKUP(D114,$AU$2:$AV$6,2,FALSE),"")</f>
        <v/>
      </c>
      <c r="AQ115" s="1051" t="e">
        <f>ROUNDDOWN(AL115/$AL$6,2)</f>
        <v>#DIV/0!</v>
      </c>
      <c r="AR115" s="1051" t="e">
        <f>IF(AP115=1,"",AQ115)</f>
        <v>#DIV/0!</v>
      </c>
    </row>
    <row r="116" spans="1:44" ht="15.9" hidden="1" customHeight="1">
      <c r="A116" s="989"/>
      <c r="B116" s="2238" t="s">
        <v>2013</v>
      </c>
      <c r="C116" s="2239"/>
      <c r="D116" s="2241"/>
      <c r="E116" s="2243"/>
      <c r="F116" s="1034" t="s">
        <v>1959</v>
      </c>
      <c r="G116" s="1035"/>
      <c r="H116" s="1036"/>
      <c r="I116" s="1037"/>
      <c r="J116" s="1037"/>
      <c r="K116" s="1037"/>
      <c r="L116" s="1037"/>
      <c r="M116" s="1038"/>
      <c r="N116" s="1035"/>
      <c r="O116" s="1036"/>
      <c r="P116" s="1037"/>
      <c r="Q116" s="1037"/>
      <c r="R116" s="1037"/>
      <c r="S116" s="1037"/>
      <c r="T116" s="1038"/>
      <c r="U116" s="1035"/>
      <c r="V116" s="1036"/>
      <c r="W116" s="1037"/>
      <c r="X116" s="1037"/>
      <c r="Y116" s="1037"/>
      <c r="Z116" s="1037"/>
      <c r="AA116" s="1038"/>
      <c r="AB116" s="1035"/>
      <c r="AC116" s="1036"/>
      <c r="AD116" s="1037"/>
      <c r="AE116" s="1037"/>
      <c r="AF116" s="1037"/>
      <c r="AG116" s="1037"/>
      <c r="AH116" s="1038"/>
      <c r="AI116" s="1039"/>
      <c r="AJ116" s="1037"/>
      <c r="AK116" s="1037"/>
      <c r="AL116" s="1040">
        <f>SUM(G117:AK117)</f>
        <v>0</v>
      </c>
      <c r="AM116" s="1041"/>
      <c r="AN116" s="1042"/>
      <c r="AO116" s="1043"/>
      <c r="AP116" s="1041"/>
      <c r="AQ116" s="1044"/>
      <c r="AR116" s="1044"/>
    </row>
    <row r="117" spans="1:44" ht="15.9" hidden="1" customHeight="1">
      <c r="A117" s="989"/>
      <c r="B117" s="2238"/>
      <c r="C117" s="2240"/>
      <c r="D117" s="2242"/>
      <c r="E117" s="2244"/>
      <c r="F117" s="1045" t="s">
        <v>1960</v>
      </c>
      <c r="G117" s="1046" t="str">
        <f t="shared" ref="G117:AK117" si="54">IF(G116&lt;&gt;"",VLOOKUP(G116,$AC$197:$AL$221,9,FALSE),"")</f>
        <v/>
      </c>
      <c r="H117" s="1047" t="str">
        <f t="shared" si="54"/>
        <v/>
      </c>
      <c r="I117" s="1047" t="str">
        <f t="shared" si="54"/>
        <v/>
      </c>
      <c r="J117" s="1047" t="str">
        <f t="shared" si="54"/>
        <v/>
      </c>
      <c r="K117" s="1047" t="str">
        <f t="shared" si="54"/>
        <v/>
      </c>
      <c r="L117" s="1047" t="str">
        <f t="shared" si="54"/>
        <v/>
      </c>
      <c r="M117" s="1048" t="str">
        <f t="shared" si="54"/>
        <v/>
      </c>
      <c r="N117" s="1046" t="str">
        <f t="shared" si="54"/>
        <v/>
      </c>
      <c r="O117" s="1047" t="str">
        <f t="shared" si="54"/>
        <v/>
      </c>
      <c r="P117" s="1047" t="str">
        <f t="shared" si="54"/>
        <v/>
      </c>
      <c r="Q117" s="1047" t="str">
        <f t="shared" si="54"/>
        <v/>
      </c>
      <c r="R117" s="1047" t="str">
        <f t="shared" si="54"/>
        <v/>
      </c>
      <c r="S117" s="1047" t="str">
        <f t="shared" si="54"/>
        <v/>
      </c>
      <c r="T117" s="1048" t="str">
        <f t="shared" si="54"/>
        <v/>
      </c>
      <c r="U117" s="1046" t="str">
        <f t="shared" si="54"/>
        <v/>
      </c>
      <c r="V117" s="1047" t="str">
        <f t="shared" si="54"/>
        <v/>
      </c>
      <c r="W117" s="1047" t="str">
        <f t="shared" si="54"/>
        <v/>
      </c>
      <c r="X117" s="1047" t="str">
        <f t="shared" si="54"/>
        <v/>
      </c>
      <c r="Y117" s="1047" t="str">
        <f t="shared" si="54"/>
        <v/>
      </c>
      <c r="Z117" s="1047" t="str">
        <f t="shared" si="54"/>
        <v/>
      </c>
      <c r="AA117" s="1048" t="str">
        <f t="shared" si="54"/>
        <v/>
      </c>
      <c r="AB117" s="1046" t="str">
        <f t="shared" si="54"/>
        <v/>
      </c>
      <c r="AC117" s="1047" t="str">
        <f t="shared" si="54"/>
        <v/>
      </c>
      <c r="AD117" s="1047" t="str">
        <f t="shared" si="54"/>
        <v/>
      </c>
      <c r="AE117" s="1047" t="str">
        <f t="shared" si="54"/>
        <v/>
      </c>
      <c r="AF117" s="1047" t="str">
        <f t="shared" si="54"/>
        <v/>
      </c>
      <c r="AG117" s="1047" t="str">
        <f t="shared" si="54"/>
        <v/>
      </c>
      <c r="AH117" s="1048" t="str">
        <f t="shared" si="54"/>
        <v/>
      </c>
      <c r="AI117" s="1049" t="str">
        <f t="shared" si="54"/>
        <v/>
      </c>
      <c r="AJ117" s="1047" t="str">
        <f t="shared" si="54"/>
        <v/>
      </c>
      <c r="AK117" s="1047" t="str">
        <f t="shared" si="54"/>
        <v/>
      </c>
      <c r="AL117" s="1050">
        <f>SUM(G117:AH117)</f>
        <v>0</v>
      </c>
      <c r="AM117" s="1051">
        <f>AL117/4</f>
        <v>0</v>
      </c>
      <c r="AN117" s="1052" t="str">
        <f>IF(C116="","",C116)</f>
        <v/>
      </c>
      <c r="AO117" s="1053" t="str">
        <f>IF(D116="","",D116)</f>
        <v/>
      </c>
      <c r="AP117" s="1054" t="str">
        <f>IF(D116&lt;&gt;"",VLOOKUP(D116,$AU$2:$AV$6,2,FALSE),"")</f>
        <v/>
      </c>
      <c r="AQ117" s="1051" t="e">
        <f>ROUNDDOWN(AL117/$AL$6,2)</f>
        <v>#DIV/0!</v>
      </c>
      <c r="AR117" s="1051" t="e">
        <f>IF(AP117=1,"",AQ117)</f>
        <v>#DIV/0!</v>
      </c>
    </row>
    <row r="118" spans="1:44" ht="15.9" hidden="1" customHeight="1">
      <c r="A118" s="989"/>
      <c r="B118" s="2238" t="s">
        <v>2014</v>
      </c>
      <c r="C118" s="2239"/>
      <c r="D118" s="2241"/>
      <c r="E118" s="2243"/>
      <c r="F118" s="1034" t="s">
        <v>1959</v>
      </c>
      <c r="G118" s="1035"/>
      <c r="H118" s="1036"/>
      <c r="I118" s="1037"/>
      <c r="J118" s="1037"/>
      <c r="K118" s="1037"/>
      <c r="L118" s="1037"/>
      <c r="M118" s="1038"/>
      <c r="N118" s="1035"/>
      <c r="O118" s="1036"/>
      <c r="P118" s="1037"/>
      <c r="Q118" s="1037"/>
      <c r="R118" s="1037"/>
      <c r="S118" s="1037"/>
      <c r="T118" s="1038"/>
      <c r="U118" s="1035"/>
      <c r="V118" s="1036"/>
      <c r="W118" s="1037"/>
      <c r="X118" s="1037"/>
      <c r="Y118" s="1037"/>
      <c r="Z118" s="1037"/>
      <c r="AA118" s="1038"/>
      <c r="AB118" s="1035"/>
      <c r="AC118" s="1036"/>
      <c r="AD118" s="1037"/>
      <c r="AE118" s="1037"/>
      <c r="AF118" s="1037"/>
      <c r="AG118" s="1037"/>
      <c r="AH118" s="1038"/>
      <c r="AI118" s="1055"/>
      <c r="AJ118" s="1036"/>
      <c r="AK118" s="1036"/>
      <c r="AL118" s="1040">
        <f>SUM(G119:AK119)</f>
        <v>0</v>
      </c>
      <c r="AM118" s="1041"/>
      <c r="AN118" s="1042"/>
      <c r="AO118" s="1043"/>
      <c r="AP118" s="1041"/>
      <c r="AQ118" s="1044"/>
      <c r="AR118" s="1044"/>
    </row>
    <row r="119" spans="1:44" ht="15.9" hidden="1" customHeight="1">
      <c r="A119" s="989"/>
      <c r="B119" s="2238"/>
      <c r="C119" s="2240"/>
      <c r="D119" s="2242"/>
      <c r="E119" s="2244"/>
      <c r="F119" s="1045" t="s">
        <v>1960</v>
      </c>
      <c r="G119" s="1046" t="str">
        <f t="shared" ref="G119:AK119" si="55">IF(G118&lt;&gt;"",VLOOKUP(G118,$AC$197:$AL$221,9,FALSE),"")</f>
        <v/>
      </c>
      <c r="H119" s="1047" t="str">
        <f t="shared" si="55"/>
        <v/>
      </c>
      <c r="I119" s="1047" t="str">
        <f t="shared" si="55"/>
        <v/>
      </c>
      <c r="J119" s="1047" t="str">
        <f t="shared" si="55"/>
        <v/>
      </c>
      <c r="K119" s="1047" t="str">
        <f t="shared" si="55"/>
        <v/>
      </c>
      <c r="L119" s="1047" t="str">
        <f t="shared" si="55"/>
        <v/>
      </c>
      <c r="M119" s="1048" t="str">
        <f t="shared" si="55"/>
        <v/>
      </c>
      <c r="N119" s="1046" t="str">
        <f t="shared" si="55"/>
        <v/>
      </c>
      <c r="O119" s="1047" t="str">
        <f t="shared" si="55"/>
        <v/>
      </c>
      <c r="P119" s="1047" t="str">
        <f t="shared" si="55"/>
        <v/>
      </c>
      <c r="Q119" s="1047" t="str">
        <f t="shared" si="55"/>
        <v/>
      </c>
      <c r="R119" s="1047" t="str">
        <f t="shared" si="55"/>
        <v/>
      </c>
      <c r="S119" s="1047" t="str">
        <f t="shared" si="55"/>
        <v/>
      </c>
      <c r="T119" s="1048" t="str">
        <f t="shared" si="55"/>
        <v/>
      </c>
      <c r="U119" s="1046" t="str">
        <f t="shared" si="55"/>
        <v/>
      </c>
      <c r="V119" s="1047" t="str">
        <f t="shared" si="55"/>
        <v/>
      </c>
      <c r="W119" s="1047" t="str">
        <f t="shared" si="55"/>
        <v/>
      </c>
      <c r="X119" s="1047" t="str">
        <f t="shared" si="55"/>
        <v/>
      </c>
      <c r="Y119" s="1047" t="str">
        <f t="shared" si="55"/>
        <v/>
      </c>
      <c r="Z119" s="1047" t="str">
        <f t="shared" si="55"/>
        <v/>
      </c>
      <c r="AA119" s="1048" t="str">
        <f t="shared" si="55"/>
        <v/>
      </c>
      <c r="AB119" s="1046" t="str">
        <f t="shared" si="55"/>
        <v/>
      </c>
      <c r="AC119" s="1047" t="str">
        <f t="shared" si="55"/>
        <v/>
      </c>
      <c r="AD119" s="1047" t="str">
        <f t="shared" si="55"/>
        <v/>
      </c>
      <c r="AE119" s="1047" t="str">
        <f t="shared" si="55"/>
        <v/>
      </c>
      <c r="AF119" s="1047" t="str">
        <f t="shared" si="55"/>
        <v/>
      </c>
      <c r="AG119" s="1047" t="str">
        <f t="shared" si="55"/>
        <v/>
      </c>
      <c r="AH119" s="1048" t="str">
        <f t="shared" si="55"/>
        <v/>
      </c>
      <c r="AI119" s="1049" t="str">
        <f t="shared" si="55"/>
        <v/>
      </c>
      <c r="AJ119" s="1047" t="str">
        <f t="shared" si="55"/>
        <v/>
      </c>
      <c r="AK119" s="1047" t="str">
        <f t="shared" si="55"/>
        <v/>
      </c>
      <c r="AL119" s="1050">
        <f>SUM(G119:AH119)</f>
        <v>0</v>
      </c>
      <c r="AM119" s="1051">
        <f>AL119/4</f>
        <v>0</v>
      </c>
      <c r="AN119" s="1052" t="str">
        <f>IF(C118="","",C118)</f>
        <v/>
      </c>
      <c r="AO119" s="1053" t="str">
        <f>IF(D118="","",D118)</f>
        <v/>
      </c>
      <c r="AP119" s="1054" t="str">
        <f>IF(D118&lt;&gt;"",VLOOKUP(D118,$AU$2:$AV$6,2,FALSE),"")</f>
        <v/>
      </c>
      <c r="AQ119" s="1051" t="e">
        <f>ROUNDDOWN(AL119/$AL$6,2)</f>
        <v>#DIV/0!</v>
      </c>
      <c r="AR119" s="1051" t="e">
        <f>IF(AP119=1,"",AQ119)</f>
        <v>#DIV/0!</v>
      </c>
    </row>
    <row r="120" spans="1:44" ht="15.9" hidden="1" customHeight="1">
      <c r="A120" s="989"/>
      <c r="B120" s="2238" t="s">
        <v>2015</v>
      </c>
      <c r="C120" s="2239"/>
      <c r="D120" s="2241"/>
      <c r="E120" s="2243"/>
      <c r="F120" s="1034" t="s">
        <v>1959</v>
      </c>
      <c r="G120" s="1035"/>
      <c r="H120" s="1036"/>
      <c r="I120" s="1037"/>
      <c r="J120" s="1037"/>
      <c r="K120" s="1037"/>
      <c r="L120" s="1037"/>
      <c r="M120" s="1038"/>
      <c r="N120" s="1035"/>
      <c r="O120" s="1036"/>
      <c r="P120" s="1037"/>
      <c r="Q120" s="1037"/>
      <c r="R120" s="1037"/>
      <c r="S120" s="1037"/>
      <c r="T120" s="1038"/>
      <c r="U120" s="1035"/>
      <c r="V120" s="1036"/>
      <c r="W120" s="1037"/>
      <c r="X120" s="1037"/>
      <c r="Y120" s="1037"/>
      <c r="Z120" s="1037"/>
      <c r="AA120" s="1038"/>
      <c r="AB120" s="1035"/>
      <c r="AC120" s="1036"/>
      <c r="AD120" s="1037"/>
      <c r="AE120" s="1037"/>
      <c r="AF120" s="1037"/>
      <c r="AG120" s="1037"/>
      <c r="AH120" s="1038"/>
      <c r="AI120" s="1055"/>
      <c r="AJ120" s="1036"/>
      <c r="AK120" s="1036"/>
      <c r="AL120" s="1040">
        <f>SUM(G121:AK121)</f>
        <v>0</v>
      </c>
      <c r="AM120" s="1041"/>
      <c r="AN120" s="1042"/>
      <c r="AO120" s="1043"/>
      <c r="AP120" s="1041"/>
      <c r="AQ120" s="1044"/>
      <c r="AR120" s="1044"/>
    </row>
    <row r="121" spans="1:44" ht="15.9" hidden="1" customHeight="1">
      <c r="A121" s="989"/>
      <c r="B121" s="2238"/>
      <c r="C121" s="2240"/>
      <c r="D121" s="2242"/>
      <c r="E121" s="2244"/>
      <c r="F121" s="1045" t="s">
        <v>1960</v>
      </c>
      <c r="G121" s="1046" t="str">
        <f t="shared" ref="G121:AK121" si="56">IF(G120&lt;&gt;"",VLOOKUP(G120,$AC$197:$AL$221,9,FALSE),"")</f>
        <v/>
      </c>
      <c r="H121" s="1047" t="str">
        <f t="shared" si="56"/>
        <v/>
      </c>
      <c r="I121" s="1047" t="str">
        <f t="shared" si="56"/>
        <v/>
      </c>
      <c r="J121" s="1047" t="str">
        <f t="shared" si="56"/>
        <v/>
      </c>
      <c r="K121" s="1047" t="str">
        <f t="shared" si="56"/>
        <v/>
      </c>
      <c r="L121" s="1047" t="str">
        <f t="shared" si="56"/>
        <v/>
      </c>
      <c r="M121" s="1048" t="str">
        <f t="shared" si="56"/>
        <v/>
      </c>
      <c r="N121" s="1046" t="str">
        <f t="shared" si="56"/>
        <v/>
      </c>
      <c r="O121" s="1047" t="str">
        <f t="shared" si="56"/>
        <v/>
      </c>
      <c r="P121" s="1047" t="str">
        <f t="shared" si="56"/>
        <v/>
      </c>
      <c r="Q121" s="1047" t="str">
        <f t="shared" si="56"/>
        <v/>
      </c>
      <c r="R121" s="1047" t="str">
        <f t="shared" si="56"/>
        <v/>
      </c>
      <c r="S121" s="1047" t="str">
        <f t="shared" si="56"/>
        <v/>
      </c>
      <c r="T121" s="1048" t="str">
        <f t="shared" si="56"/>
        <v/>
      </c>
      <c r="U121" s="1046" t="str">
        <f t="shared" si="56"/>
        <v/>
      </c>
      <c r="V121" s="1047" t="str">
        <f t="shared" si="56"/>
        <v/>
      </c>
      <c r="W121" s="1047" t="str">
        <f t="shared" si="56"/>
        <v/>
      </c>
      <c r="X121" s="1047" t="str">
        <f t="shared" si="56"/>
        <v/>
      </c>
      <c r="Y121" s="1047" t="str">
        <f t="shared" si="56"/>
        <v/>
      </c>
      <c r="Z121" s="1047" t="str">
        <f t="shared" si="56"/>
        <v/>
      </c>
      <c r="AA121" s="1048" t="str">
        <f t="shared" si="56"/>
        <v/>
      </c>
      <c r="AB121" s="1046" t="str">
        <f t="shared" si="56"/>
        <v/>
      </c>
      <c r="AC121" s="1047" t="str">
        <f t="shared" si="56"/>
        <v/>
      </c>
      <c r="AD121" s="1047" t="str">
        <f t="shared" si="56"/>
        <v/>
      </c>
      <c r="AE121" s="1047" t="str">
        <f t="shared" si="56"/>
        <v/>
      </c>
      <c r="AF121" s="1047" t="str">
        <f t="shared" si="56"/>
        <v/>
      </c>
      <c r="AG121" s="1047" t="str">
        <f t="shared" si="56"/>
        <v/>
      </c>
      <c r="AH121" s="1048" t="str">
        <f t="shared" si="56"/>
        <v/>
      </c>
      <c r="AI121" s="1049" t="str">
        <f t="shared" si="56"/>
        <v/>
      </c>
      <c r="AJ121" s="1047" t="str">
        <f t="shared" si="56"/>
        <v/>
      </c>
      <c r="AK121" s="1047" t="str">
        <f t="shared" si="56"/>
        <v/>
      </c>
      <c r="AL121" s="1050">
        <f>SUM(G121:AH121)</f>
        <v>0</v>
      </c>
      <c r="AM121" s="1051">
        <f>AL121/4</f>
        <v>0</v>
      </c>
      <c r="AN121" s="1052" t="str">
        <f>IF(C120="","",C120)</f>
        <v/>
      </c>
      <c r="AO121" s="1053" t="str">
        <f>IF(D120="","",D120)</f>
        <v/>
      </c>
      <c r="AP121" s="1054" t="str">
        <f>IF(D120&lt;&gt;"",VLOOKUP(D120,$AU$2:$AV$6,2,FALSE),"")</f>
        <v/>
      </c>
      <c r="AQ121" s="1051" t="e">
        <f>ROUNDDOWN(AL121/$AL$6,2)</f>
        <v>#DIV/0!</v>
      </c>
      <c r="AR121" s="1051" t="e">
        <f>IF(AP121=1,"",AQ121)</f>
        <v>#DIV/0!</v>
      </c>
    </row>
    <row r="122" spans="1:44" ht="15.9" hidden="1" customHeight="1">
      <c r="A122" s="989"/>
      <c r="B122" s="2238" t="s">
        <v>2016</v>
      </c>
      <c r="C122" s="2239"/>
      <c r="D122" s="2241"/>
      <c r="E122" s="2243"/>
      <c r="F122" s="1034" t="s">
        <v>1959</v>
      </c>
      <c r="G122" s="1035"/>
      <c r="H122" s="1036"/>
      <c r="I122" s="1037"/>
      <c r="J122" s="1037"/>
      <c r="K122" s="1037"/>
      <c r="L122" s="1037"/>
      <c r="M122" s="1038"/>
      <c r="N122" s="1035"/>
      <c r="O122" s="1036"/>
      <c r="P122" s="1037"/>
      <c r="Q122" s="1037"/>
      <c r="R122" s="1037"/>
      <c r="S122" s="1037"/>
      <c r="T122" s="1038"/>
      <c r="U122" s="1035"/>
      <c r="V122" s="1036"/>
      <c r="W122" s="1037"/>
      <c r="X122" s="1037"/>
      <c r="Y122" s="1037"/>
      <c r="Z122" s="1037"/>
      <c r="AA122" s="1038"/>
      <c r="AB122" s="1035"/>
      <c r="AC122" s="1036"/>
      <c r="AD122" s="1037"/>
      <c r="AE122" s="1037"/>
      <c r="AF122" s="1037"/>
      <c r="AG122" s="1037"/>
      <c r="AH122" s="1038"/>
      <c r="AI122" s="1055"/>
      <c r="AJ122" s="1036"/>
      <c r="AK122" s="1036"/>
      <c r="AL122" s="1040">
        <f>SUM(G123:AK123)</f>
        <v>0</v>
      </c>
      <c r="AM122" s="1041"/>
      <c r="AN122" s="1042"/>
      <c r="AO122" s="1043"/>
      <c r="AP122" s="1041"/>
      <c r="AQ122" s="1044"/>
      <c r="AR122" s="1044"/>
    </row>
    <row r="123" spans="1:44" ht="15.9" hidden="1" customHeight="1">
      <c r="A123" s="989"/>
      <c r="B123" s="2238"/>
      <c r="C123" s="2240"/>
      <c r="D123" s="2242"/>
      <c r="E123" s="2244"/>
      <c r="F123" s="1045" t="s">
        <v>1960</v>
      </c>
      <c r="G123" s="1046" t="str">
        <f t="shared" ref="G123:AK123" si="57">IF(G122&lt;&gt;"",VLOOKUP(G122,$AC$197:$AL$221,9,FALSE),"")</f>
        <v/>
      </c>
      <c r="H123" s="1047" t="str">
        <f t="shared" si="57"/>
        <v/>
      </c>
      <c r="I123" s="1047" t="str">
        <f t="shared" si="57"/>
        <v/>
      </c>
      <c r="J123" s="1047" t="str">
        <f t="shared" si="57"/>
        <v/>
      </c>
      <c r="K123" s="1047" t="str">
        <f t="shared" si="57"/>
        <v/>
      </c>
      <c r="L123" s="1047" t="str">
        <f t="shared" si="57"/>
        <v/>
      </c>
      <c r="M123" s="1048" t="str">
        <f t="shared" si="57"/>
        <v/>
      </c>
      <c r="N123" s="1046" t="str">
        <f t="shared" si="57"/>
        <v/>
      </c>
      <c r="O123" s="1047" t="str">
        <f t="shared" si="57"/>
        <v/>
      </c>
      <c r="P123" s="1047" t="str">
        <f t="shared" si="57"/>
        <v/>
      </c>
      <c r="Q123" s="1047" t="str">
        <f t="shared" si="57"/>
        <v/>
      </c>
      <c r="R123" s="1047" t="str">
        <f t="shared" si="57"/>
        <v/>
      </c>
      <c r="S123" s="1047" t="str">
        <f t="shared" si="57"/>
        <v/>
      </c>
      <c r="T123" s="1048" t="str">
        <f t="shared" si="57"/>
        <v/>
      </c>
      <c r="U123" s="1046" t="str">
        <f t="shared" si="57"/>
        <v/>
      </c>
      <c r="V123" s="1047" t="str">
        <f t="shared" si="57"/>
        <v/>
      </c>
      <c r="W123" s="1047" t="str">
        <f t="shared" si="57"/>
        <v/>
      </c>
      <c r="X123" s="1047" t="str">
        <f t="shared" si="57"/>
        <v/>
      </c>
      <c r="Y123" s="1047" t="str">
        <f t="shared" si="57"/>
        <v/>
      </c>
      <c r="Z123" s="1047" t="str">
        <f t="shared" si="57"/>
        <v/>
      </c>
      <c r="AA123" s="1048" t="str">
        <f t="shared" si="57"/>
        <v/>
      </c>
      <c r="AB123" s="1046" t="str">
        <f t="shared" si="57"/>
        <v/>
      </c>
      <c r="AC123" s="1047" t="str">
        <f t="shared" si="57"/>
        <v/>
      </c>
      <c r="AD123" s="1047" t="str">
        <f t="shared" si="57"/>
        <v/>
      </c>
      <c r="AE123" s="1047" t="str">
        <f t="shared" si="57"/>
        <v/>
      </c>
      <c r="AF123" s="1047" t="str">
        <f t="shared" si="57"/>
        <v/>
      </c>
      <c r="AG123" s="1047" t="str">
        <f t="shared" si="57"/>
        <v/>
      </c>
      <c r="AH123" s="1048" t="str">
        <f t="shared" si="57"/>
        <v/>
      </c>
      <c r="AI123" s="1049" t="str">
        <f t="shared" si="57"/>
        <v/>
      </c>
      <c r="AJ123" s="1047" t="str">
        <f t="shared" si="57"/>
        <v/>
      </c>
      <c r="AK123" s="1047" t="str">
        <f t="shared" si="57"/>
        <v/>
      </c>
      <c r="AL123" s="1050">
        <f>SUM(G123:AH123)</f>
        <v>0</v>
      </c>
      <c r="AM123" s="1051">
        <f>AL123/4</f>
        <v>0</v>
      </c>
      <c r="AN123" s="1052" t="str">
        <f>IF(C122="","",C122)</f>
        <v/>
      </c>
      <c r="AO123" s="1053" t="str">
        <f>IF(D122="","",D122)</f>
        <v/>
      </c>
      <c r="AP123" s="1054" t="str">
        <f>IF(D122&lt;&gt;"",VLOOKUP(D122,$AU$2:$AV$6,2,FALSE),"")</f>
        <v/>
      </c>
      <c r="AQ123" s="1051" t="e">
        <f>ROUNDDOWN(AL123/$AL$6,2)</f>
        <v>#DIV/0!</v>
      </c>
      <c r="AR123" s="1051" t="e">
        <f>IF(AP123=1,"",AQ123)</f>
        <v>#DIV/0!</v>
      </c>
    </row>
    <row r="124" spans="1:44" ht="15.9" hidden="1" customHeight="1">
      <c r="A124" s="989"/>
      <c r="B124" s="2238" t="s">
        <v>2017</v>
      </c>
      <c r="C124" s="2239"/>
      <c r="D124" s="2241"/>
      <c r="E124" s="2243"/>
      <c r="F124" s="1034" t="s">
        <v>1959</v>
      </c>
      <c r="G124" s="1035"/>
      <c r="H124" s="1036"/>
      <c r="I124" s="1037"/>
      <c r="J124" s="1037"/>
      <c r="K124" s="1037"/>
      <c r="L124" s="1037"/>
      <c r="M124" s="1038"/>
      <c r="N124" s="1035"/>
      <c r="O124" s="1036"/>
      <c r="P124" s="1037"/>
      <c r="Q124" s="1037"/>
      <c r="R124" s="1037"/>
      <c r="S124" s="1037"/>
      <c r="T124" s="1038"/>
      <c r="U124" s="1035"/>
      <c r="V124" s="1036"/>
      <c r="W124" s="1037"/>
      <c r="X124" s="1037"/>
      <c r="Y124" s="1037"/>
      <c r="Z124" s="1037"/>
      <c r="AA124" s="1038"/>
      <c r="AB124" s="1035"/>
      <c r="AC124" s="1036"/>
      <c r="AD124" s="1037"/>
      <c r="AE124" s="1037"/>
      <c r="AF124" s="1037"/>
      <c r="AG124" s="1037"/>
      <c r="AH124" s="1038"/>
      <c r="AI124" s="1055"/>
      <c r="AJ124" s="1036"/>
      <c r="AK124" s="1036"/>
      <c r="AL124" s="1040">
        <f>SUM(G125:AK125)</f>
        <v>0</v>
      </c>
      <c r="AM124" s="1041"/>
      <c r="AN124" s="1042"/>
      <c r="AO124" s="1043"/>
      <c r="AP124" s="1041"/>
      <c r="AQ124" s="1044"/>
      <c r="AR124" s="1044"/>
    </row>
    <row r="125" spans="1:44" ht="15.9" hidden="1" customHeight="1">
      <c r="A125" s="989"/>
      <c r="B125" s="2238"/>
      <c r="C125" s="2240"/>
      <c r="D125" s="2242"/>
      <c r="E125" s="2244"/>
      <c r="F125" s="1045" t="s">
        <v>1960</v>
      </c>
      <c r="G125" s="1046" t="str">
        <f t="shared" ref="G125:AK125" si="58">IF(G124&lt;&gt;"",VLOOKUP(G124,$AC$197:$AL$221,9,FALSE),"")</f>
        <v/>
      </c>
      <c r="H125" s="1047" t="str">
        <f t="shared" si="58"/>
        <v/>
      </c>
      <c r="I125" s="1047" t="str">
        <f t="shared" si="58"/>
        <v/>
      </c>
      <c r="J125" s="1047" t="str">
        <f t="shared" si="58"/>
        <v/>
      </c>
      <c r="K125" s="1047" t="str">
        <f t="shared" si="58"/>
        <v/>
      </c>
      <c r="L125" s="1047" t="str">
        <f t="shared" si="58"/>
        <v/>
      </c>
      <c r="M125" s="1048" t="str">
        <f t="shared" si="58"/>
        <v/>
      </c>
      <c r="N125" s="1046" t="str">
        <f t="shared" si="58"/>
        <v/>
      </c>
      <c r="O125" s="1047" t="str">
        <f t="shared" si="58"/>
        <v/>
      </c>
      <c r="P125" s="1047" t="str">
        <f t="shared" si="58"/>
        <v/>
      </c>
      <c r="Q125" s="1047" t="str">
        <f t="shared" si="58"/>
        <v/>
      </c>
      <c r="R125" s="1047" t="str">
        <f t="shared" si="58"/>
        <v/>
      </c>
      <c r="S125" s="1047" t="str">
        <f t="shared" si="58"/>
        <v/>
      </c>
      <c r="T125" s="1048" t="str">
        <f t="shared" si="58"/>
        <v/>
      </c>
      <c r="U125" s="1046" t="str">
        <f t="shared" si="58"/>
        <v/>
      </c>
      <c r="V125" s="1047" t="str">
        <f t="shared" si="58"/>
        <v/>
      </c>
      <c r="W125" s="1047" t="str">
        <f t="shared" si="58"/>
        <v/>
      </c>
      <c r="X125" s="1047" t="str">
        <f t="shared" si="58"/>
        <v/>
      </c>
      <c r="Y125" s="1047" t="str">
        <f t="shared" si="58"/>
        <v/>
      </c>
      <c r="Z125" s="1047" t="str">
        <f t="shared" si="58"/>
        <v/>
      </c>
      <c r="AA125" s="1048" t="str">
        <f t="shared" si="58"/>
        <v/>
      </c>
      <c r="AB125" s="1046" t="str">
        <f t="shared" si="58"/>
        <v/>
      </c>
      <c r="AC125" s="1047" t="str">
        <f t="shared" si="58"/>
        <v/>
      </c>
      <c r="AD125" s="1047" t="str">
        <f t="shared" si="58"/>
        <v/>
      </c>
      <c r="AE125" s="1047" t="str">
        <f t="shared" si="58"/>
        <v/>
      </c>
      <c r="AF125" s="1047" t="str">
        <f t="shared" si="58"/>
        <v/>
      </c>
      <c r="AG125" s="1047" t="str">
        <f t="shared" si="58"/>
        <v/>
      </c>
      <c r="AH125" s="1048" t="str">
        <f t="shared" si="58"/>
        <v/>
      </c>
      <c r="AI125" s="1049" t="str">
        <f t="shared" si="58"/>
        <v/>
      </c>
      <c r="AJ125" s="1047" t="str">
        <f t="shared" si="58"/>
        <v/>
      </c>
      <c r="AK125" s="1047" t="str">
        <f t="shared" si="58"/>
        <v/>
      </c>
      <c r="AL125" s="1050">
        <f>SUM(G125:AH125)</f>
        <v>0</v>
      </c>
      <c r="AM125" s="1051">
        <f>AL125/4</f>
        <v>0</v>
      </c>
      <c r="AN125" s="1052" t="str">
        <f>IF(C124="","",C124)</f>
        <v/>
      </c>
      <c r="AO125" s="1053" t="str">
        <f>IF(D124="","",D124)</f>
        <v/>
      </c>
      <c r="AP125" s="1054" t="str">
        <f>IF(D124&lt;&gt;"",VLOOKUP(D124,$AU$2:$AV$6,2,FALSE),"")</f>
        <v/>
      </c>
      <c r="AQ125" s="1051" t="e">
        <f>ROUNDDOWN(AL125/$AL$6,2)</f>
        <v>#DIV/0!</v>
      </c>
      <c r="AR125" s="1051" t="e">
        <f>IF(AP125=1,"",AQ125)</f>
        <v>#DIV/0!</v>
      </c>
    </row>
    <row r="126" spans="1:44" ht="15.9" hidden="1" customHeight="1">
      <c r="A126" s="989"/>
      <c r="B126" s="2238" t="s">
        <v>2018</v>
      </c>
      <c r="C126" s="2239"/>
      <c r="D126" s="2241"/>
      <c r="E126" s="2243"/>
      <c r="F126" s="1034" t="s">
        <v>1959</v>
      </c>
      <c r="G126" s="1035"/>
      <c r="H126" s="1036"/>
      <c r="I126" s="1037"/>
      <c r="J126" s="1037"/>
      <c r="K126" s="1037"/>
      <c r="L126" s="1037"/>
      <c r="M126" s="1038"/>
      <c r="N126" s="1035"/>
      <c r="O126" s="1036"/>
      <c r="P126" s="1037"/>
      <c r="Q126" s="1037"/>
      <c r="R126" s="1037"/>
      <c r="S126" s="1037"/>
      <c r="T126" s="1038"/>
      <c r="U126" s="1035"/>
      <c r="V126" s="1036"/>
      <c r="W126" s="1037"/>
      <c r="X126" s="1037"/>
      <c r="Y126" s="1037"/>
      <c r="Z126" s="1037"/>
      <c r="AA126" s="1038"/>
      <c r="AB126" s="1035"/>
      <c r="AC126" s="1036"/>
      <c r="AD126" s="1037"/>
      <c r="AE126" s="1037"/>
      <c r="AF126" s="1037"/>
      <c r="AG126" s="1037"/>
      <c r="AH126" s="1038"/>
      <c r="AI126" s="1055"/>
      <c r="AJ126" s="1036"/>
      <c r="AK126" s="1036"/>
      <c r="AL126" s="1040">
        <f>SUM(G127:AK127)</f>
        <v>0</v>
      </c>
      <c r="AM126" s="1041"/>
      <c r="AN126" s="1042"/>
      <c r="AO126" s="1043"/>
      <c r="AP126" s="1041"/>
      <c r="AQ126" s="1044"/>
      <c r="AR126" s="1044"/>
    </row>
    <row r="127" spans="1:44" ht="15.9" hidden="1" customHeight="1">
      <c r="A127" s="989"/>
      <c r="B127" s="2238"/>
      <c r="C127" s="2240"/>
      <c r="D127" s="2242"/>
      <c r="E127" s="2244"/>
      <c r="F127" s="1045" t="s">
        <v>1960</v>
      </c>
      <c r="G127" s="1046" t="str">
        <f t="shared" ref="G127:AK127" si="59">IF(G126&lt;&gt;"",VLOOKUP(G126,$AC$197:$AL$221,9,FALSE),"")</f>
        <v/>
      </c>
      <c r="H127" s="1047" t="str">
        <f t="shared" si="59"/>
        <v/>
      </c>
      <c r="I127" s="1047" t="str">
        <f t="shared" si="59"/>
        <v/>
      </c>
      <c r="J127" s="1047" t="str">
        <f t="shared" si="59"/>
        <v/>
      </c>
      <c r="K127" s="1047" t="str">
        <f t="shared" si="59"/>
        <v/>
      </c>
      <c r="L127" s="1047" t="str">
        <f t="shared" si="59"/>
        <v/>
      </c>
      <c r="M127" s="1048" t="str">
        <f t="shared" si="59"/>
        <v/>
      </c>
      <c r="N127" s="1046" t="str">
        <f t="shared" si="59"/>
        <v/>
      </c>
      <c r="O127" s="1047" t="str">
        <f t="shared" si="59"/>
        <v/>
      </c>
      <c r="P127" s="1047" t="str">
        <f t="shared" si="59"/>
        <v/>
      </c>
      <c r="Q127" s="1047" t="str">
        <f t="shared" si="59"/>
        <v/>
      </c>
      <c r="R127" s="1047" t="str">
        <f t="shared" si="59"/>
        <v/>
      </c>
      <c r="S127" s="1047" t="str">
        <f t="shared" si="59"/>
        <v/>
      </c>
      <c r="T127" s="1048" t="str">
        <f t="shared" si="59"/>
        <v/>
      </c>
      <c r="U127" s="1046" t="str">
        <f t="shared" si="59"/>
        <v/>
      </c>
      <c r="V127" s="1047" t="str">
        <f t="shared" si="59"/>
        <v/>
      </c>
      <c r="W127" s="1047" t="str">
        <f t="shared" si="59"/>
        <v/>
      </c>
      <c r="X127" s="1047" t="str">
        <f t="shared" si="59"/>
        <v/>
      </c>
      <c r="Y127" s="1047" t="str">
        <f t="shared" si="59"/>
        <v/>
      </c>
      <c r="Z127" s="1047" t="str">
        <f t="shared" si="59"/>
        <v/>
      </c>
      <c r="AA127" s="1048" t="str">
        <f t="shared" si="59"/>
        <v/>
      </c>
      <c r="AB127" s="1046" t="str">
        <f t="shared" si="59"/>
        <v/>
      </c>
      <c r="AC127" s="1047" t="str">
        <f t="shared" si="59"/>
        <v/>
      </c>
      <c r="AD127" s="1047" t="str">
        <f t="shared" si="59"/>
        <v/>
      </c>
      <c r="AE127" s="1047" t="str">
        <f t="shared" si="59"/>
        <v/>
      </c>
      <c r="AF127" s="1047" t="str">
        <f t="shared" si="59"/>
        <v/>
      </c>
      <c r="AG127" s="1047" t="str">
        <f t="shared" si="59"/>
        <v/>
      </c>
      <c r="AH127" s="1048" t="str">
        <f t="shared" si="59"/>
        <v/>
      </c>
      <c r="AI127" s="1049" t="str">
        <f t="shared" si="59"/>
        <v/>
      </c>
      <c r="AJ127" s="1047" t="str">
        <f t="shared" si="59"/>
        <v/>
      </c>
      <c r="AK127" s="1047" t="str">
        <f t="shared" si="59"/>
        <v/>
      </c>
      <c r="AL127" s="1050">
        <f>SUM(G127:AH127)</f>
        <v>0</v>
      </c>
      <c r="AM127" s="1051">
        <f>AL127/4</f>
        <v>0</v>
      </c>
      <c r="AN127" s="1052" t="str">
        <f>IF(C126="","",C126)</f>
        <v/>
      </c>
      <c r="AO127" s="1053" t="str">
        <f>IF(D126="","",D126)</f>
        <v/>
      </c>
      <c r="AP127" s="1054" t="str">
        <f>IF(D126&lt;&gt;"",VLOOKUP(D126,$AU$2:$AV$6,2,FALSE),"")</f>
        <v/>
      </c>
      <c r="AQ127" s="1051" t="e">
        <f>ROUNDDOWN(AL127/$AL$6,2)</f>
        <v>#DIV/0!</v>
      </c>
      <c r="AR127" s="1051" t="e">
        <f>IF(AP127=1,"",AQ127)</f>
        <v>#DIV/0!</v>
      </c>
    </row>
    <row r="128" spans="1:44" ht="15.9" hidden="1" customHeight="1">
      <c r="A128" s="989"/>
      <c r="B128" s="2238" t="s">
        <v>2019</v>
      </c>
      <c r="C128" s="2239"/>
      <c r="D128" s="2241"/>
      <c r="E128" s="2243"/>
      <c r="F128" s="1034" t="s">
        <v>1959</v>
      </c>
      <c r="G128" s="1035"/>
      <c r="H128" s="1036"/>
      <c r="I128" s="1037"/>
      <c r="J128" s="1037"/>
      <c r="K128" s="1037"/>
      <c r="L128" s="1037"/>
      <c r="M128" s="1038"/>
      <c r="N128" s="1035"/>
      <c r="O128" s="1036"/>
      <c r="P128" s="1037"/>
      <c r="Q128" s="1037"/>
      <c r="R128" s="1037"/>
      <c r="S128" s="1037"/>
      <c r="T128" s="1038"/>
      <c r="U128" s="1035"/>
      <c r="V128" s="1036"/>
      <c r="W128" s="1037"/>
      <c r="X128" s="1037"/>
      <c r="Y128" s="1037"/>
      <c r="Z128" s="1037"/>
      <c r="AA128" s="1038"/>
      <c r="AB128" s="1035"/>
      <c r="AC128" s="1036"/>
      <c r="AD128" s="1037"/>
      <c r="AE128" s="1037"/>
      <c r="AF128" s="1037"/>
      <c r="AG128" s="1037"/>
      <c r="AH128" s="1038"/>
      <c r="AI128" s="1055"/>
      <c r="AJ128" s="1036"/>
      <c r="AK128" s="1036"/>
      <c r="AL128" s="1040">
        <f>SUM(G129:AK129)</f>
        <v>0</v>
      </c>
      <c r="AM128" s="1041"/>
      <c r="AN128" s="1042"/>
      <c r="AO128" s="1043"/>
      <c r="AP128" s="1041"/>
      <c r="AQ128" s="1044"/>
      <c r="AR128" s="1044"/>
    </row>
    <row r="129" spans="1:44" ht="15.9" hidden="1" customHeight="1">
      <c r="A129" s="989"/>
      <c r="B129" s="2238"/>
      <c r="C129" s="2240"/>
      <c r="D129" s="2242"/>
      <c r="E129" s="2244"/>
      <c r="F129" s="1045" t="s">
        <v>1960</v>
      </c>
      <c r="G129" s="1046" t="str">
        <f t="shared" ref="G129:AK129" si="60">IF(G128&lt;&gt;"",VLOOKUP(G128,$AC$197:$AL$221,9,FALSE),"")</f>
        <v/>
      </c>
      <c r="H129" s="1047" t="str">
        <f t="shared" si="60"/>
        <v/>
      </c>
      <c r="I129" s="1047" t="str">
        <f t="shared" si="60"/>
        <v/>
      </c>
      <c r="J129" s="1047" t="str">
        <f t="shared" si="60"/>
        <v/>
      </c>
      <c r="K129" s="1047" t="str">
        <f t="shared" si="60"/>
        <v/>
      </c>
      <c r="L129" s="1047" t="str">
        <f t="shared" si="60"/>
        <v/>
      </c>
      <c r="M129" s="1048" t="str">
        <f t="shared" si="60"/>
        <v/>
      </c>
      <c r="N129" s="1046" t="str">
        <f t="shared" si="60"/>
        <v/>
      </c>
      <c r="O129" s="1047" t="str">
        <f t="shared" si="60"/>
        <v/>
      </c>
      <c r="P129" s="1047" t="str">
        <f t="shared" si="60"/>
        <v/>
      </c>
      <c r="Q129" s="1047" t="str">
        <f t="shared" si="60"/>
        <v/>
      </c>
      <c r="R129" s="1047" t="str">
        <f t="shared" si="60"/>
        <v/>
      </c>
      <c r="S129" s="1047" t="str">
        <f t="shared" si="60"/>
        <v/>
      </c>
      <c r="T129" s="1048" t="str">
        <f t="shared" si="60"/>
        <v/>
      </c>
      <c r="U129" s="1046" t="str">
        <f t="shared" si="60"/>
        <v/>
      </c>
      <c r="V129" s="1047" t="str">
        <f t="shared" si="60"/>
        <v/>
      </c>
      <c r="W129" s="1047" t="str">
        <f t="shared" si="60"/>
        <v/>
      </c>
      <c r="X129" s="1047" t="str">
        <f t="shared" si="60"/>
        <v/>
      </c>
      <c r="Y129" s="1047" t="str">
        <f t="shared" si="60"/>
        <v/>
      </c>
      <c r="Z129" s="1047" t="str">
        <f t="shared" si="60"/>
        <v/>
      </c>
      <c r="AA129" s="1048" t="str">
        <f t="shared" si="60"/>
        <v/>
      </c>
      <c r="AB129" s="1046" t="str">
        <f t="shared" si="60"/>
        <v/>
      </c>
      <c r="AC129" s="1047" t="str">
        <f t="shared" si="60"/>
        <v/>
      </c>
      <c r="AD129" s="1047" t="str">
        <f t="shared" si="60"/>
        <v/>
      </c>
      <c r="AE129" s="1047" t="str">
        <f t="shared" si="60"/>
        <v/>
      </c>
      <c r="AF129" s="1047" t="str">
        <f t="shared" si="60"/>
        <v/>
      </c>
      <c r="AG129" s="1047" t="str">
        <f t="shared" si="60"/>
        <v/>
      </c>
      <c r="AH129" s="1048" t="str">
        <f t="shared" si="60"/>
        <v/>
      </c>
      <c r="AI129" s="1049" t="str">
        <f t="shared" si="60"/>
        <v/>
      </c>
      <c r="AJ129" s="1047" t="str">
        <f t="shared" si="60"/>
        <v/>
      </c>
      <c r="AK129" s="1047" t="str">
        <f t="shared" si="60"/>
        <v/>
      </c>
      <c r="AL129" s="1050">
        <f>SUM(G129:AH129)</f>
        <v>0</v>
      </c>
      <c r="AM129" s="1051">
        <f>AL129/4</f>
        <v>0</v>
      </c>
      <c r="AN129" s="1052" t="str">
        <f>IF(C128="","",C128)</f>
        <v/>
      </c>
      <c r="AO129" s="1053" t="str">
        <f>IF(D128="","",D128)</f>
        <v/>
      </c>
      <c r="AP129" s="1054" t="str">
        <f>IF(D128&lt;&gt;"",VLOOKUP(D128,$AU$2:$AV$6,2,FALSE),"")</f>
        <v/>
      </c>
      <c r="AQ129" s="1051" t="e">
        <f>ROUNDDOWN(AL129/$AL$6,2)</f>
        <v>#DIV/0!</v>
      </c>
      <c r="AR129" s="1051" t="e">
        <f>IF(AP129=1,"",AQ129)</f>
        <v>#DIV/0!</v>
      </c>
    </row>
    <row r="130" spans="1:44" ht="15.9" hidden="1" customHeight="1">
      <c r="A130" s="989"/>
      <c r="B130" s="2238" t="s">
        <v>2020</v>
      </c>
      <c r="C130" s="2239"/>
      <c r="D130" s="2241"/>
      <c r="E130" s="2243"/>
      <c r="F130" s="1034" t="s">
        <v>1959</v>
      </c>
      <c r="G130" s="1035"/>
      <c r="H130" s="1036"/>
      <c r="I130" s="1037"/>
      <c r="J130" s="1037"/>
      <c r="K130" s="1037"/>
      <c r="L130" s="1037"/>
      <c r="M130" s="1038"/>
      <c r="N130" s="1035"/>
      <c r="O130" s="1036"/>
      <c r="P130" s="1037"/>
      <c r="Q130" s="1037"/>
      <c r="R130" s="1037"/>
      <c r="S130" s="1037"/>
      <c r="T130" s="1038"/>
      <c r="U130" s="1035"/>
      <c r="V130" s="1036"/>
      <c r="W130" s="1037"/>
      <c r="X130" s="1037"/>
      <c r="Y130" s="1037"/>
      <c r="Z130" s="1037"/>
      <c r="AA130" s="1038"/>
      <c r="AB130" s="1035"/>
      <c r="AC130" s="1036"/>
      <c r="AD130" s="1037"/>
      <c r="AE130" s="1037"/>
      <c r="AF130" s="1037"/>
      <c r="AG130" s="1037"/>
      <c r="AH130" s="1038"/>
      <c r="AI130" s="1055"/>
      <c r="AJ130" s="1036"/>
      <c r="AK130" s="1036"/>
      <c r="AL130" s="1040">
        <f>SUM(G131:AK131)</f>
        <v>0</v>
      </c>
      <c r="AM130" s="1041"/>
      <c r="AN130" s="1042"/>
      <c r="AO130" s="1043"/>
      <c r="AP130" s="1041"/>
      <c r="AQ130" s="1044"/>
      <c r="AR130" s="1044"/>
    </row>
    <row r="131" spans="1:44" ht="15.9" hidden="1" customHeight="1">
      <c r="A131" s="989"/>
      <c r="B131" s="2238"/>
      <c r="C131" s="2240"/>
      <c r="D131" s="2242"/>
      <c r="E131" s="2244"/>
      <c r="F131" s="1045" t="s">
        <v>1960</v>
      </c>
      <c r="G131" s="1046" t="str">
        <f t="shared" ref="G131:AK131" si="61">IF(G130&lt;&gt;"",VLOOKUP(G130,$AC$197:$AL$221,9,FALSE),"")</f>
        <v/>
      </c>
      <c r="H131" s="1047" t="str">
        <f t="shared" si="61"/>
        <v/>
      </c>
      <c r="I131" s="1047" t="str">
        <f t="shared" si="61"/>
        <v/>
      </c>
      <c r="J131" s="1047" t="str">
        <f t="shared" si="61"/>
        <v/>
      </c>
      <c r="K131" s="1047" t="str">
        <f t="shared" si="61"/>
        <v/>
      </c>
      <c r="L131" s="1047" t="str">
        <f t="shared" si="61"/>
        <v/>
      </c>
      <c r="M131" s="1048" t="str">
        <f t="shared" si="61"/>
        <v/>
      </c>
      <c r="N131" s="1046" t="str">
        <f t="shared" si="61"/>
        <v/>
      </c>
      <c r="O131" s="1047" t="str">
        <f t="shared" si="61"/>
        <v/>
      </c>
      <c r="P131" s="1047" t="str">
        <f t="shared" si="61"/>
        <v/>
      </c>
      <c r="Q131" s="1047" t="str">
        <f t="shared" si="61"/>
        <v/>
      </c>
      <c r="R131" s="1047" t="str">
        <f t="shared" si="61"/>
        <v/>
      </c>
      <c r="S131" s="1047" t="str">
        <f t="shared" si="61"/>
        <v/>
      </c>
      <c r="T131" s="1048" t="str">
        <f t="shared" si="61"/>
        <v/>
      </c>
      <c r="U131" s="1046" t="str">
        <f t="shared" si="61"/>
        <v/>
      </c>
      <c r="V131" s="1047" t="str">
        <f t="shared" si="61"/>
        <v/>
      </c>
      <c r="W131" s="1047" t="str">
        <f t="shared" si="61"/>
        <v/>
      </c>
      <c r="X131" s="1047" t="str">
        <f t="shared" si="61"/>
        <v/>
      </c>
      <c r="Y131" s="1047" t="str">
        <f t="shared" si="61"/>
        <v/>
      </c>
      <c r="Z131" s="1047" t="str">
        <f t="shared" si="61"/>
        <v/>
      </c>
      <c r="AA131" s="1048" t="str">
        <f t="shared" si="61"/>
        <v/>
      </c>
      <c r="AB131" s="1046" t="str">
        <f t="shared" si="61"/>
        <v/>
      </c>
      <c r="AC131" s="1047" t="str">
        <f t="shared" si="61"/>
        <v/>
      </c>
      <c r="AD131" s="1047" t="str">
        <f t="shared" si="61"/>
        <v/>
      </c>
      <c r="AE131" s="1047" t="str">
        <f t="shared" si="61"/>
        <v/>
      </c>
      <c r="AF131" s="1047" t="str">
        <f t="shared" si="61"/>
        <v/>
      </c>
      <c r="AG131" s="1047" t="str">
        <f t="shared" si="61"/>
        <v/>
      </c>
      <c r="AH131" s="1048" t="str">
        <f t="shared" si="61"/>
        <v/>
      </c>
      <c r="AI131" s="1049" t="str">
        <f t="shared" si="61"/>
        <v/>
      </c>
      <c r="AJ131" s="1047" t="str">
        <f t="shared" si="61"/>
        <v/>
      </c>
      <c r="AK131" s="1047" t="str">
        <f t="shared" si="61"/>
        <v/>
      </c>
      <c r="AL131" s="1050">
        <f>SUM(G131:AH131)</f>
        <v>0</v>
      </c>
      <c r="AM131" s="1051">
        <f>AL131/4</f>
        <v>0</v>
      </c>
      <c r="AN131" s="1052" t="str">
        <f>IF(C130="","",C130)</f>
        <v/>
      </c>
      <c r="AO131" s="1053" t="str">
        <f>IF(D130="","",D130)</f>
        <v/>
      </c>
      <c r="AP131" s="1054" t="str">
        <f>IF(D130&lt;&gt;"",VLOOKUP(D130,$AU$2:$AV$6,2,FALSE),"")</f>
        <v/>
      </c>
      <c r="AQ131" s="1051" t="e">
        <f>ROUNDDOWN(AL131/$AL$6,2)</f>
        <v>#DIV/0!</v>
      </c>
      <c r="AR131" s="1051" t="e">
        <f>IF(AP131=1,"",AQ131)</f>
        <v>#DIV/0!</v>
      </c>
    </row>
    <row r="132" spans="1:44" ht="15.9" hidden="1" customHeight="1">
      <c r="A132" s="989"/>
      <c r="B132" s="2238" t="s">
        <v>2021</v>
      </c>
      <c r="C132" s="2239"/>
      <c r="D132" s="2241"/>
      <c r="E132" s="2243"/>
      <c r="F132" s="1034" t="s">
        <v>1959</v>
      </c>
      <c r="G132" s="1035"/>
      <c r="H132" s="1036"/>
      <c r="I132" s="1037"/>
      <c r="J132" s="1037"/>
      <c r="K132" s="1037"/>
      <c r="L132" s="1037"/>
      <c r="M132" s="1038"/>
      <c r="N132" s="1035"/>
      <c r="O132" s="1036"/>
      <c r="P132" s="1037"/>
      <c r="Q132" s="1037"/>
      <c r="R132" s="1037"/>
      <c r="S132" s="1037"/>
      <c r="T132" s="1038"/>
      <c r="U132" s="1035"/>
      <c r="V132" s="1036"/>
      <c r="W132" s="1037"/>
      <c r="X132" s="1037"/>
      <c r="Y132" s="1037"/>
      <c r="Z132" s="1037"/>
      <c r="AA132" s="1038"/>
      <c r="AB132" s="1035"/>
      <c r="AC132" s="1036"/>
      <c r="AD132" s="1037"/>
      <c r="AE132" s="1037"/>
      <c r="AF132" s="1037"/>
      <c r="AG132" s="1037"/>
      <c r="AH132" s="1038"/>
      <c r="AI132" s="1055"/>
      <c r="AJ132" s="1036"/>
      <c r="AK132" s="1036"/>
      <c r="AL132" s="1040">
        <f>SUM(G133:AK133)</f>
        <v>0</v>
      </c>
      <c r="AM132" s="1041"/>
      <c r="AN132" s="1042"/>
      <c r="AO132" s="1043"/>
      <c r="AP132" s="1041"/>
      <c r="AQ132" s="1044"/>
      <c r="AR132" s="1044"/>
    </row>
    <row r="133" spans="1:44" ht="15.9" hidden="1" customHeight="1">
      <c r="A133" s="989"/>
      <c r="B133" s="2238"/>
      <c r="C133" s="2240"/>
      <c r="D133" s="2242"/>
      <c r="E133" s="2244"/>
      <c r="F133" s="1045" t="s">
        <v>1960</v>
      </c>
      <c r="G133" s="1046" t="str">
        <f t="shared" ref="G133:AK133" si="62">IF(G132&lt;&gt;"",VLOOKUP(G132,$AC$197:$AL$221,9,FALSE),"")</f>
        <v/>
      </c>
      <c r="H133" s="1047" t="str">
        <f t="shared" si="62"/>
        <v/>
      </c>
      <c r="I133" s="1047" t="str">
        <f t="shared" si="62"/>
        <v/>
      </c>
      <c r="J133" s="1047" t="str">
        <f t="shared" si="62"/>
        <v/>
      </c>
      <c r="K133" s="1047" t="str">
        <f t="shared" si="62"/>
        <v/>
      </c>
      <c r="L133" s="1047" t="str">
        <f t="shared" si="62"/>
        <v/>
      </c>
      <c r="M133" s="1048" t="str">
        <f t="shared" si="62"/>
        <v/>
      </c>
      <c r="N133" s="1046" t="str">
        <f t="shared" si="62"/>
        <v/>
      </c>
      <c r="O133" s="1047" t="str">
        <f t="shared" si="62"/>
        <v/>
      </c>
      <c r="P133" s="1047" t="str">
        <f t="shared" si="62"/>
        <v/>
      </c>
      <c r="Q133" s="1047" t="str">
        <f t="shared" si="62"/>
        <v/>
      </c>
      <c r="R133" s="1047" t="str">
        <f t="shared" si="62"/>
        <v/>
      </c>
      <c r="S133" s="1047" t="str">
        <f t="shared" si="62"/>
        <v/>
      </c>
      <c r="T133" s="1048" t="str">
        <f t="shared" si="62"/>
        <v/>
      </c>
      <c r="U133" s="1046" t="str">
        <f t="shared" si="62"/>
        <v/>
      </c>
      <c r="V133" s="1047" t="str">
        <f t="shared" si="62"/>
        <v/>
      </c>
      <c r="W133" s="1047" t="str">
        <f t="shared" si="62"/>
        <v/>
      </c>
      <c r="X133" s="1047" t="str">
        <f t="shared" si="62"/>
        <v/>
      </c>
      <c r="Y133" s="1047" t="str">
        <f t="shared" si="62"/>
        <v/>
      </c>
      <c r="Z133" s="1047" t="str">
        <f t="shared" si="62"/>
        <v/>
      </c>
      <c r="AA133" s="1048" t="str">
        <f t="shared" si="62"/>
        <v/>
      </c>
      <c r="AB133" s="1046" t="str">
        <f t="shared" si="62"/>
        <v/>
      </c>
      <c r="AC133" s="1047" t="str">
        <f t="shared" si="62"/>
        <v/>
      </c>
      <c r="AD133" s="1047" t="str">
        <f t="shared" si="62"/>
        <v/>
      </c>
      <c r="AE133" s="1047" t="str">
        <f t="shared" si="62"/>
        <v/>
      </c>
      <c r="AF133" s="1047" t="str">
        <f t="shared" si="62"/>
        <v/>
      </c>
      <c r="AG133" s="1047" t="str">
        <f t="shared" si="62"/>
        <v/>
      </c>
      <c r="AH133" s="1048" t="str">
        <f t="shared" si="62"/>
        <v/>
      </c>
      <c r="AI133" s="1049" t="str">
        <f t="shared" si="62"/>
        <v/>
      </c>
      <c r="AJ133" s="1047" t="str">
        <f t="shared" si="62"/>
        <v/>
      </c>
      <c r="AK133" s="1047" t="str">
        <f t="shared" si="62"/>
        <v/>
      </c>
      <c r="AL133" s="1050">
        <f>SUM(G133:AH133)</f>
        <v>0</v>
      </c>
      <c r="AM133" s="1051">
        <f>AL133/4</f>
        <v>0</v>
      </c>
      <c r="AN133" s="1052" t="str">
        <f>IF(C132="","",C132)</f>
        <v/>
      </c>
      <c r="AO133" s="1053" t="str">
        <f>IF(D132="","",D132)</f>
        <v/>
      </c>
      <c r="AP133" s="1054" t="str">
        <f>IF(D132&lt;&gt;"",VLOOKUP(D132,$AU$2:$AV$6,2,FALSE),"")</f>
        <v/>
      </c>
      <c r="AQ133" s="1051" t="e">
        <f>ROUNDDOWN(AL133/$AL$6,2)</f>
        <v>#DIV/0!</v>
      </c>
      <c r="AR133" s="1051" t="e">
        <f>IF(AP133=1,"",AQ133)</f>
        <v>#DIV/0!</v>
      </c>
    </row>
    <row r="134" spans="1:44" ht="15.9" hidden="1" customHeight="1">
      <c r="A134" s="989"/>
      <c r="B134" s="2238" t="s">
        <v>2022</v>
      </c>
      <c r="C134" s="2239"/>
      <c r="D134" s="2241"/>
      <c r="E134" s="2243"/>
      <c r="F134" s="1034" t="s">
        <v>1959</v>
      </c>
      <c r="G134" s="1035"/>
      <c r="H134" s="1036"/>
      <c r="I134" s="1037"/>
      <c r="J134" s="1037"/>
      <c r="K134" s="1037"/>
      <c r="L134" s="1037"/>
      <c r="M134" s="1038"/>
      <c r="N134" s="1035"/>
      <c r="O134" s="1036"/>
      <c r="P134" s="1037"/>
      <c r="Q134" s="1037"/>
      <c r="R134" s="1037"/>
      <c r="S134" s="1037"/>
      <c r="T134" s="1038"/>
      <c r="U134" s="1035"/>
      <c r="V134" s="1036"/>
      <c r="W134" s="1037"/>
      <c r="X134" s="1037"/>
      <c r="Y134" s="1037"/>
      <c r="Z134" s="1037"/>
      <c r="AA134" s="1038"/>
      <c r="AB134" s="1035"/>
      <c r="AC134" s="1036"/>
      <c r="AD134" s="1037"/>
      <c r="AE134" s="1037"/>
      <c r="AF134" s="1037"/>
      <c r="AG134" s="1037"/>
      <c r="AH134" s="1038"/>
      <c r="AI134" s="1055"/>
      <c r="AJ134" s="1036"/>
      <c r="AK134" s="1036"/>
      <c r="AL134" s="1040">
        <f>SUM(G135:AK135)</f>
        <v>0</v>
      </c>
      <c r="AM134" s="1041"/>
      <c r="AN134" s="1042"/>
      <c r="AO134" s="1043"/>
      <c r="AP134" s="1041"/>
      <c r="AQ134" s="1044"/>
      <c r="AR134" s="1044"/>
    </row>
    <row r="135" spans="1:44" ht="15.9" hidden="1" customHeight="1">
      <c r="A135" s="989"/>
      <c r="B135" s="2238"/>
      <c r="C135" s="2240"/>
      <c r="D135" s="2242"/>
      <c r="E135" s="2244"/>
      <c r="F135" s="1045" t="s">
        <v>1960</v>
      </c>
      <c r="G135" s="1046" t="str">
        <f t="shared" ref="G135:AK135" si="63">IF(G134&lt;&gt;"",VLOOKUP(G134,$AC$197:$AL$221,9,FALSE),"")</f>
        <v/>
      </c>
      <c r="H135" s="1047" t="str">
        <f t="shared" si="63"/>
        <v/>
      </c>
      <c r="I135" s="1047" t="str">
        <f t="shared" si="63"/>
        <v/>
      </c>
      <c r="J135" s="1047" t="str">
        <f t="shared" si="63"/>
        <v/>
      </c>
      <c r="K135" s="1047" t="str">
        <f t="shared" si="63"/>
        <v/>
      </c>
      <c r="L135" s="1047" t="str">
        <f t="shared" si="63"/>
        <v/>
      </c>
      <c r="M135" s="1048" t="str">
        <f t="shared" si="63"/>
        <v/>
      </c>
      <c r="N135" s="1046" t="str">
        <f t="shared" si="63"/>
        <v/>
      </c>
      <c r="O135" s="1047" t="str">
        <f t="shared" si="63"/>
        <v/>
      </c>
      <c r="P135" s="1047" t="str">
        <f t="shared" si="63"/>
        <v/>
      </c>
      <c r="Q135" s="1047" t="str">
        <f t="shared" si="63"/>
        <v/>
      </c>
      <c r="R135" s="1047" t="str">
        <f t="shared" si="63"/>
        <v/>
      </c>
      <c r="S135" s="1047" t="str">
        <f t="shared" si="63"/>
        <v/>
      </c>
      <c r="T135" s="1048" t="str">
        <f t="shared" si="63"/>
        <v/>
      </c>
      <c r="U135" s="1046" t="str">
        <f t="shared" si="63"/>
        <v/>
      </c>
      <c r="V135" s="1047" t="str">
        <f t="shared" si="63"/>
        <v/>
      </c>
      <c r="W135" s="1047" t="str">
        <f t="shared" si="63"/>
        <v/>
      </c>
      <c r="X135" s="1047" t="str">
        <f t="shared" si="63"/>
        <v/>
      </c>
      <c r="Y135" s="1047" t="str">
        <f t="shared" si="63"/>
        <v/>
      </c>
      <c r="Z135" s="1047" t="str">
        <f t="shared" si="63"/>
        <v/>
      </c>
      <c r="AA135" s="1048" t="str">
        <f t="shared" si="63"/>
        <v/>
      </c>
      <c r="AB135" s="1046" t="str">
        <f t="shared" si="63"/>
        <v/>
      </c>
      <c r="AC135" s="1047" t="str">
        <f t="shared" si="63"/>
        <v/>
      </c>
      <c r="AD135" s="1047" t="str">
        <f t="shared" si="63"/>
        <v/>
      </c>
      <c r="AE135" s="1047" t="str">
        <f t="shared" si="63"/>
        <v/>
      </c>
      <c r="AF135" s="1047" t="str">
        <f t="shared" si="63"/>
        <v/>
      </c>
      <c r="AG135" s="1047" t="str">
        <f t="shared" si="63"/>
        <v/>
      </c>
      <c r="AH135" s="1048" t="str">
        <f t="shared" si="63"/>
        <v/>
      </c>
      <c r="AI135" s="1049" t="str">
        <f t="shared" si="63"/>
        <v/>
      </c>
      <c r="AJ135" s="1047" t="str">
        <f t="shared" si="63"/>
        <v/>
      </c>
      <c r="AK135" s="1047" t="str">
        <f t="shared" si="63"/>
        <v/>
      </c>
      <c r="AL135" s="1050">
        <f>SUM(G135:AH135)</f>
        <v>0</v>
      </c>
      <c r="AM135" s="1051">
        <f>AL135/4</f>
        <v>0</v>
      </c>
      <c r="AN135" s="1052" t="str">
        <f>IF(C134="","",C134)</f>
        <v/>
      </c>
      <c r="AO135" s="1053" t="str">
        <f>IF(D134="","",D134)</f>
        <v/>
      </c>
      <c r="AP135" s="1054" t="str">
        <f>IF(D134&lt;&gt;"",VLOOKUP(D134,$AU$2:$AV$6,2,FALSE),"")</f>
        <v/>
      </c>
      <c r="AQ135" s="1051" t="e">
        <f>ROUNDDOWN(AL135/$AL$6,2)</f>
        <v>#DIV/0!</v>
      </c>
      <c r="AR135" s="1051" t="e">
        <f>IF(AP135=1,"",AQ135)</f>
        <v>#DIV/0!</v>
      </c>
    </row>
    <row r="136" spans="1:44" ht="15.9" hidden="1" customHeight="1">
      <c r="A136" s="989"/>
      <c r="B136" s="2238" t="s">
        <v>2023</v>
      </c>
      <c r="C136" s="2239"/>
      <c r="D136" s="2241"/>
      <c r="E136" s="2243"/>
      <c r="F136" s="1034" t="s">
        <v>1959</v>
      </c>
      <c r="G136" s="1035"/>
      <c r="H136" s="1036"/>
      <c r="I136" s="1037"/>
      <c r="J136" s="1037"/>
      <c r="K136" s="1037"/>
      <c r="L136" s="1037"/>
      <c r="M136" s="1038"/>
      <c r="N136" s="1035"/>
      <c r="O136" s="1036"/>
      <c r="P136" s="1037"/>
      <c r="Q136" s="1037"/>
      <c r="R136" s="1037"/>
      <c r="S136" s="1037"/>
      <c r="T136" s="1038"/>
      <c r="U136" s="1035"/>
      <c r="V136" s="1036"/>
      <c r="W136" s="1037"/>
      <c r="X136" s="1037"/>
      <c r="Y136" s="1037"/>
      <c r="Z136" s="1037"/>
      <c r="AA136" s="1038"/>
      <c r="AB136" s="1035"/>
      <c r="AC136" s="1036"/>
      <c r="AD136" s="1037"/>
      <c r="AE136" s="1037"/>
      <c r="AF136" s="1037"/>
      <c r="AG136" s="1037"/>
      <c r="AH136" s="1038"/>
      <c r="AI136" s="1055"/>
      <c r="AJ136" s="1036"/>
      <c r="AK136" s="1036"/>
      <c r="AL136" s="1040">
        <f>SUM(G137:AK137)</f>
        <v>0</v>
      </c>
      <c r="AM136" s="1041"/>
      <c r="AN136" s="1042"/>
      <c r="AO136" s="1043"/>
      <c r="AP136" s="1041"/>
      <c r="AQ136" s="1044"/>
      <c r="AR136" s="1044"/>
    </row>
    <row r="137" spans="1:44" ht="15.9" hidden="1" customHeight="1">
      <c r="A137" s="989"/>
      <c r="B137" s="2238"/>
      <c r="C137" s="2240"/>
      <c r="D137" s="2242"/>
      <c r="E137" s="2244"/>
      <c r="F137" s="1045" t="s">
        <v>1960</v>
      </c>
      <c r="G137" s="1046" t="str">
        <f t="shared" ref="G137:AK137" si="64">IF(G136&lt;&gt;"",VLOOKUP(G136,$AC$197:$AL$221,9,FALSE),"")</f>
        <v/>
      </c>
      <c r="H137" s="1047" t="str">
        <f t="shared" si="64"/>
        <v/>
      </c>
      <c r="I137" s="1047" t="str">
        <f t="shared" si="64"/>
        <v/>
      </c>
      <c r="J137" s="1047" t="str">
        <f t="shared" si="64"/>
        <v/>
      </c>
      <c r="K137" s="1047" t="str">
        <f t="shared" si="64"/>
        <v/>
      </c>
      <c r="L137" s="1047" t="str">
        <f t="shared" si="64"/>
        <v/>
      </c>
      <c r="M137" s="1048" t="str">
        <f t="shared" si="64"/>
        <v/>
      </c>
      <c r="N137" s="1046" t="str">
        <f t="shared" si="64"/>
        <v/>
      </c>
      <c r="O137" s="1047" t="str">
        <f t="shared" si="64"/>
        <v/>
      </c>
      <c r="P137" s="1047" t="str">
        <f t="shared" si="64"/>
        <v/>
      </c>
      <c r="Q137" s="1047" t="str">
        <f t="shared" si="64"/>
        <v/>
      </c>
      <c r="R137" s="1047" t="str">
        <f t="shared" si="64"/>
        <v/>
      </c>
      <c r="S137" s="1047" t="str">
        <f t="shared" si="64"/>
        <v/>
      </c>
      <c r="T137" s="1048" t="str">
        <f t="shared" si="64"/>
        <v/>
      </c>
      <c r="U137" s="1046" t="str">
        <f t="shared" si="64"/>
        <v/>
      </c>
      <c r="V137" s="1047" t="str">
        <f t="shared" si="64"/>
        <v/>
      </c>
      <c r="W137" s="1047" t="str">
        <f t="shared" si="64"/>
        <v/>
      </c>
      <c r="X137" s="1047" t="str">
        <f t="shared" si="64"/>
        <v/>
      </c>
      <c r="Y137" s="1047" t="str">
        <f t="shared" si="64"/>
        <v/>
      </c>
      <c r="Z137" s="1047" t="str">
        <f t="shared" si="64"/>
        <v/>
      </c>
      <c r="AA137" s="1048" t="str">
        <f t="shared" si="64"/>
        <v/>
      </c>
      <c r="AB137" s="1046" t="str">
        <f t="shared" si="64"/>
        <v/>
      </c>
      <c r="AC137" s="1047" t="str">
        <f t="shared" si="64"/>
        <v/>
      </c>
      <c r="AD137" s="1047" t="str">
        <f t="shared" si="64"/>
        <v/>
      </c>
      <c r="AE137" s="1047" t="str">
        <f t="shared" si="64"/>
        <v/>
      </c>
      <c r="AF137" s="1047" t="str">
        <f t="shared" si="64"/>
        <v/>
      </c>
      <c r="AG137" s="1047" t="str">
        <f t="shared" si="64"/>
        <v/>
      </c>
      <c r="AH137" s="1048" t="str">
        <f t="shared" si="64"/>
        <v/>
      </c>
      <c r="AI137" s="1049" t="str">
        <f t="shared" si="64"/>
        <v/>
      </c>
      <c r="AJ137" s="1047" t="str">
        <f t="shared" si="64"/>
        <v/>
      </c>
      <c r="AK137" s="1047" t="str">
        <f t="shared" si="64"/>
        <v/>
      </c>
      <c r="AL137" s="1050">
        <f>SUM(G137:AH137)</f>
        <v>0</v>
      </c>
      <c r="AM137" s="1051">
        <f>AL137/4</f>
        <v>0</v>
      </c>
      <c r="AN137" s="1052" t="str">
        <f>IF(C136="","",C136)</f>
        <v/>
      </c>
      <c r="AO137" s="1053" t="str">
        <f>IF(D136="","",D136)</f>
        <v/>
      </c>
      <c r="AP137" s="1054" t="str">
        <f>IF(D136&lt;&gt;"",VLOOKUP(D136,$AU$2:$AV$6,2,FALSE),"")</f>
        <v/>
      </c>
      <c r="AQ137" s="1051" t="e">
        <f>ROUNDDOWN(AL137/$AL$6,2)</f>
        <v>#DIV/0!</v>
      </c>
      <c r="AR137" s="1051" t="e">
        <f>IF(AP137=1,"",AQ137)</f>
        <v>#DIV/0!</v>
      </c>
    </row>
    <row r="138" spans="1:44" ht="15.9" customHeight="1">
      <c r="A138" s="989"/>
      <c r="B138" s="2238" t="s">
        <v>2024</v>
      </c>
      <c r="C138" s="2239"/>
      <c r="D138" s="2241"/>
      <c r="E138" s="2243"/>
      <c r="F138" s="1034" t="s">
        <v>1959</v>
      </c>
      <c r="G138" s="1035"/>
      <c r="H138" s="1036"/>
      <c r="I138" s="1037"/>
      <c r="J138" s="1037"/>
      <c r="K138" s="1037"/>
      <c r="L138" s="1037"/>
      <c r="M138" s="1038"/>
      <c r="N138" s="1035"/>
      <c r="O138" s="1036"/>
      <c r="P138" s="1037"/>
      <c r="Q138" s="1037"/>
      <c r="R138" s="1037"/>
      <c r="S138" s="1037"/>
      <c r="T138" s="1038"/>
      <c r="U138" s="1035"/>
      <c r="V138" s="1036"/>
      <c r="W138" s="1037"/>
      <c r="X138" s="1037"/>
      <c r="Y138" s="1037"/>
      <c r="Z138" s="1037"/>
      <c r="AA138" s="1038"/>
      <c r="AB138" s="1035"/>
      <c r="AC138" s="1036"/>
      <c r="AD138" s="1037"/>
      <c r="AE138" s="1037"/>
      <c r="AF138" s="1037"/>
      <c r="AG138" s="1037"/>
      <c r="AH138" s="1038"/>
      <c r="AI138" s="1055"/>
      <c r="AJ138" s="1036"/>
      <c r="AK138" s="1036"/>
      <c r="AL138" s="1040">
        <f>SUM(G139:AK139)</f>
        <v>0</v>
      </c>
      <c r="AM138" s="1041"/>
      <c r="AN138" s="1042"/>
      <c r="AO138" s="1043"/>
      <c r="AP138" s="1041"/>
      <c r="AQ138" s="1044"/>
      <c r="AR138" s="1044"/>
    </row>
    <row r="139" spans="1:44" ht="15.9" customHeight="1" thickBot="1">
      <c r="A139" s="1056"/>
      <c r="B139" s="2261"/>
      <c r="C139" s="2240"/>
      <c r="D139" s="2242"/>
      <c r="E139" s="2244"/>
      <c r="F139" s="1045" t="s">
        <v>1960</v>
      </c>
      <c r="G139" s="1046" t="str">
        <f t="shared" ref="G139:AK139" si="65">IF(G138&lt;&gt;"",VLOOKUP(G138,$AC$197:$AL$221,9,FALSE),"")</f>
        <v/>
      </c>
      <c r="H139" s="1047" t="str">
        <f t="shared" si="65"/>
        <v/>
      </c>
      <c r="I139" s="1047" t="str">
        <f t="shared" si="65"/>
        <v/>
      </c>
      <c r="J139" s="1047" t="str">
        <f t="shared" si="65"/>
        <v/>
      </c>
      <c r="K139" s="1047" t="str">
        <f t="shared" si="65"/>
        <v/>
      </c>
      <c r="L139" s="1047" t="str">
        <f t="shared" si="65"/>
        <v/>
      </c>
      <c r="M139" s="1048" t="str">
        <f t="shared" si="65"/>
        <v/>
      </c>
      <c r="N139" s="1046" t="str">
        <f t="shared" si="65"/>
        <v/>
      </c>
      <c r="O139" s="1047" t="str">
        <f t="shared" si="65"/>
        <v/>
      </c>
      <c r="P139" s="1047" t="str">
        <f t="shared" si="65"/>
        <v/>
      </c>
      <c r="Q139" s="1047" t="str">
        <f t="shared" si="65"/>
        <v/>
      </c>
      <c r="R139" s="1047" t="str">
        <f t="shared" si="65"/>
        <v/>
      </c>
      <c r="S139" s="1047" t="str">
        <f t="shared" si="65"/>
        <v/>
      </c>
      <c r="T139" s="1048" t="str">
        <f t="shared" si="65"/>
        <v/>
      </c>
      <c r="U139" s="1046" t="str">
        <f t="shared" si="65"/>
        <v/>
      </c>
      <c r="V139" s="1047" t="str">
        <f t="shared" si="65"/>
        <v/>
      </c>
      <c r="W139" s="1047" t="str">
        <f t="shared" si="65"/>
        <v/>
      </c>
      <c r="X139" s="1047" t="str">
        <f t="shared" si="65"/>
        <v/>
      </c>
      <c r="Y139" s="1047" t="str">
        <f t="shared" si="65"/>
        <v/>
      </c>
      <c r="Z139" s="1047" t="str">
        <f t="shared" si="65"/>
        <v/>
      </c>
      <c r="AA139" s="1048" t="str">
        <f t="shared" si="65"/>
        <v/>
      </c>
      <c r="AB139" s="1046" t="str">
        <f t="shared" si="65"/>
        <v/>
      </c>
      <c r="AC139" s="1047" t="str">
        <f t="shared" si="65"/>
        <v/>
      </c>
      <c r="AD139" s="1047" t="str">
        <f t="shared" si="65"/>
        <v/>
      </c>
      <c r="AE139" s="1047" t="str">
        <f t="shared" si="65"/>
        <v/>
      </c>
      <c r="AF139" s="1047" t="str">
        <f t="shared" si="65"/>
        <v/>
      </c>
      <c r="AG139" s="1047" t="str">
        <f t="shared" si="65"/>
        <v/>
      </c>
      <c r="AH139" s="1048" t="str">
        <f t="shared" si="65"/>
        <v/>
      </c>
      <c r="AI139" s="1049" t="str">
        <f t="shared" si="65"/>
        <v/>
      </c>
      <c r="AJ139" s="1047" t="str">
        <f t="shared" si="65"/>
        <v/>
      </c>
      <c r="AK139" s="1047" t="str">
        <f t="shared" si="65"/>
        <v/>
      </c>
      <c r="AL139" s="1050">
        <f>SUM(G139:AH139)</f>
        <v>0</v>
      </c>
      <c r="AM139" s="1051">
        <f>AL139/4</f>
        <v>0</v>
      </c>
      <c r="AN139" s="1052" t="str">
        <f>IF(C138="","",C138)</f>
        <v/>
      </c>
      <c r="AO139" s="1053" t="str">
        <f>IF(D138="","",D138)</f>
        <v/>
      </c>
      <c r="AP139" s="1054" t="str">
        <f>IF(D138&lt;&gt;"",VLOOKUP(D138,$AU$2:$AV$6,2,FALSE),"")</f>
        <v/>
      </c>
      <c r="AQ139" s="1051" t="e">
        <f>ROUNDDOWN(AL139/$AL$6,2)</f>
        <v>#DIV/0!</v>
      </c>
      <c r="AR139" s="1051" t="e">
        <f>IF(AP139=1,"",AQ139)</f>
        <v>#DIV/0!</v>
      </c>
    </row>
    <row r="140" spans="1:44" ht="15.9" customHeight="1" thickTop="1">
      <c r="A140" s="989"/>
      <c r="B140" s="1057"/>
      <c r="C140" s="2239"/>
      <c r="D140" s="2241"/>
      <c r="E140" s="2243"/>
      <c r="F140" s="1034" t="s">
        <v>1959</v>
      </c>
      <c r="G140" s="1035"/>
      <c r="H140" s="1036"/>
      <c r="I140" s="1037"/>
      <c r="J140" s="1037"/>
      <c r="K140" s="1037"/>
      <c r="L140" s="1037"/>
      <c r="M140" s="1038"/>
      <c r="N140" s="1035"/>
      <c r="O140" s="1036"/>
      <c r="P140" s="1037"/>
      <c r="Q140" s="1037"/>
      <c r="R140" s="1037"/>
      <c r="S140" s="1037"/>
      <c r="T140" s="1038"/>
      <c r="U140" s="1035"/>
      <c r="V140" s="1036"/>
      <c r="W140" s="1037"/>
      <c r="X140" s="1037"/>
      <c r="Y140" s="1037"/>
      <c r="Z140" s="1037"/>
      <c r="AA140" s="1038"/>
      <c r="AB140" s="1035"/>
      <c r="AC140" s="1036"/>
      <c r="AD140" s="1037"/>
      <c r="AE140" s="1037"/>
      <c r="AF140" s="1037"/>
      <c r="AG140" s="1037"/>
      <c r="AH140" s="1038"/>
      <c r="AI140" s="1055"/>
      <c r="AJ140" s="1036"/>
      <c r="AK140" s="1036"/>
      <c r="AL140" s="1040">
        <f>SUM(G141:AK141)</f>
        <v>0</v>
      </c>
      <c r="AM140" s="1041"/>
      <c r="AN140" s="1042"/>
      <c r="AO140" s="1043"/>
      <c r="AP140" s="1041"/>
      <c r="AQ140" s="1044"/>
      <c r="AR140" s="1044"/>
    </row>
    <row r="141" spans="1:44" ht="15.9" customHeight="1">
      <c r="A141" s="989"/>
      <c r="B141" s="1057"/>
      <c r="C141" s="2262"/>
      <c r="D141" s="2263"/>
      <c r="E141" s="2264"/>
      <c r="F141" s="1045" t="s">
        <v>1960</v>
      </c>
      <c r="G141" s="1046" t="str">
        <f t="shared" ref="G141:AK141" si="66">IF(G140&lt;&gt;"",VLOOKUP(G140,$AC$197:$AL$221,9,FALSE),"")</f>
        <v/>
      </c>
      <c r="H141" s="1047" t="str">
        <f t="shared" si="66"/>
        <v/>
      </c>
      <c r="I141" s="1047" t="str">
        <f t="shared" si="66"/>
        <v/>
      </c>
      <c r="J141" s="1047" t="str">
        <f t="shared" si="66"/>
        <v/>
      </c>
      <c r="K141" s="1047" t="str">
        <f t="shared" si="66"/>
        <v/>
      </c>
      <c r="L141" s="1047" t="str">
        <f t="shared" si="66"/>
        <v/>
      </c>
      <c r="M141" s="1048" t="str">
        <f t="shared" si="66"/>
        <v/>
      </c>
      <c r="N141" s="1046" t="str">
        <f t="shared" si="66"/>
        <v/>
      </c>
      <c r="O141" s="1047" t="str">
        <f t="shared" si="66"/>
        <v/>
      </c>
      <c r="P141" s="1047" t="str">
        <f t="shared" si="66"/>
        <v/>
      </c>
      <c r="Q141" s="1047" t="str">
        <f t="shared" si="66"/>
        <v/>
      </c>
      <c r="R141" s="1047" t="str">
        <f t="shared" si="66"/>
        <v/>
      </c>
      <c r="S141" s="1047" t="str">
        <f t="shared" si="66"/>
        <v/>
      </c>
      <c r="T141" s="1048" t="str">
        <f t="shared" si="66"/>
        <v/>
      </c>
      <c r="U141" s="1046" t="str">
        <f t="shared" si="66"/>
        <v/>
      </c>
      <c r="V141" s="1047" t="str">
        <f t="shared" si="66"/>
        <v/>
      </c>
      <c r="W141" s="1047" t="str">
        <f t="shared" si="66"/>
        <v/>
      </c>
      <c r="X141" s="1047" t="str">
        <f t="shared" si="66"/>
        <v/>
      </c>
      <c r="Y141" s="1047" t="str">
        <f t="shared" si="66"/>
        <v/>
      </c>
      <c r="Z141" s="1047" t="str">
        <f t="shared" si="66"/>
        <v/>
      </c>
      <c r="AA141" s="1048" t="str">
        <f t="shared" si="66"/>
        <v/>
      </c>
      <c r="AB141" s="1046" t="str">
        <f t="shared" si="66"/>
        <v/>
      </c>
      <c r="AC141" s="1047" t="str">
        <f t="shared" si="66"/>
        <v/>
      </c>
      <c r="AD141" s="1047" t="str">
        <f t="shared" si="66"/>
        <v/>
      </c>
      <c r="AE141" s="1047" t="str">
        <f t="shared" si="66"/>
        <v/>
      </c>
      <c r="AF141" s="1047" t="str">
        <f t="shared" si="66"/>
        <v/>
      </c>
      <c r="AG141" s="1047" t="str">
        <f t="shared" si="66"/>
        <v/>
      </c>
      <c r="AH141" s="1048" t="str">
        <f t="shared" si="66"/>
        <v/>
      </c>
      <c r="AI141" s="1049" t="str">
        <f t="shared" si="66"/>
        <v/>
      </c>
      <c r="AJ141" s="1047" t="str">
        <f t="shared" si="66"/>
        <v/>
      </c>
      <c r="AK141" s="1047" t="str">
        <f t="shared" si="66"/>
        <v/>
      </c>
      <c r="AL141" s="1050">
        <f>SUM(G141:AH141)</f>
        <v>0</v>
      </c>
      <c r="AM141" s="1058">
        <f>AL141/4</f>
        <v>0</v>
      </c>
      <c r="AN141" s="1052" t="str">
        <f>IF(C140="","",C140)</f>
        <v/>
      </c>
      <c r="AO141" s="1053" t="str">
        <f>IF(D140="","",D140)</f>
        <v/>
      </c>
      <c r="AP141" s="1054" t="str">
        <f>IF(D140&lt;&gt;"",VLOOKUP(D140,$AU$2:$AV$6,2,FALSE),"")</f>
        <v/>
      </c>
      <c r="AQ141" s="1051" t="e">
        <f>ROUNDDOWN(AL141/$AL$6,2)</f>
        <v>#DIV/0!</v>
      </c>
      <c r="AR141" s="1051" t="e">
        <f>IF(AP141=1,"",AQ141)</f>
        <v>#DIV/0!</v>
      </c>
    </row>
    <row r="142" spans="1:44" ht="8.25" customHeight="1">
      <c r="A142" s="989"/>
      <c r="B142" s="1057"/>
      <c r="C142" s="1059"/>
      <c r="D142" s="1060"/>
      <c r="E142" s="1061"/>
      <c r="F142" s="1062"/>
      <c r="G142" s="1063"/>
      <c r="H142" s="1064"/>
      <c r="I142" s="1064"/>
      <c r="J142" s="1064"/>
      <c r="K142" s="1064"/>
      <c r="L142" s="1064"/>
      <c r="M142" s="1065"/>
      <c r="N142" s="1063"/>
      <c r="O142" s="1064"/>
      <c r="P142" s="1064"/>
      <c r="Q142" s="1064"/>
      <c r="R142" s="1064"/>
      <c r="S142" s="1064"/>
      <c r="T142" s="1065"/>
      <c r="U142" s="1063"/>
      <c r="V142" s="1064"/>
      <c r="W142" s="1064"/>
      <c r="X142" s="1064"/>
      <c r="Y142" s="1064"/>
      <c r="Z142" s="1064"/>
      <c r="AA142" s="1065"/>
      <c r="AB142" s="1063"/>
      <c r="AC142" s="1064"/>
      <c r="AD142" s="1064"/>
      <c r="AE142" s="1064"/>
      <c r="AF142" s="1064"/>
      <c r="AG142" s="1064"/>
      <c r="AH142" s="1065"/>
      <c r="AI142" s="1066"/>
      <c r="AJ142" s="1064"/>
      <c r="AK142" s="1064"/>
      <c r="AL142" s="1067"/>
      <c r="AM142" s="1068"/>
      <c r="AN142" s="1069"/>
      <c r="AO142" s="1070"/>
      <c r="AP142" s="1071"/>
      <c r="AQ142" s="1067"/>
      <c r="AR142" s="1067"/>
    </row>
    <row r="143" spans="1:44" ht="15.9" customHeight="1">
      <c r="A143" s="989"/>
      <c r="B143" s="1057"/>
      <c r="C143" s="2265" t="s">
        <v>2025</v>
      </c>
      <c r="D143" s="2266"/>
      <c r="E143" s="2267"/>
      <c r="F143" s="1072" t="str">
        <f>AC197</f>
        <v>夜</v>
      </c>
      <c r="G143" s="1073">
        <f>COUNTIF(G10:G142,$F$143)</f>
        <v>0</v>
      </c>
      <c r="H143" s="1074">
        <f t="shared" ref="H143:AK143" si="67">COUNTIF(H10:H142,$F$143)</f>
        <v>0</v>
      </c>
      <c r="I143" s="1074">
        <f t="shared" si="67"/>
        <v>0</v>
      </c>
      <c r="J143" s="1074">
        <f t="shared" si="67"/>
        <v>0</v>
      </c>
      <c r="K143" s="1074">
        <f t="shared" si="67"/>
        <v>0</v>
      </c>
      <c r="L143" s="1074">
        <f t="shared" si="67"/>
        <v>0</v>
      </c>
      <c r="M143" s="1075">
        <f t="shared" si="67"/>
        <v>0</v>
      </c>
      <c r="N143" s="1073">
        <f t="shared" si="67"/>
        <v>0</v>
      </c>
      <c r="O143" s="1074">
        <f t="shared" si="67"/>
        <v>0</v>
      </c>
      <c r="P143" s="1074">
        <f t="shared" si="67"/>
        <v>0</v>
      </c>
      <c r="Q143" s="1074">
        <f t="shared" si="67"/>
        <v>0</v>
      </c>
      <c r="R143" s="1074">
        <f t="shared" si="67"/>
        <v>0</v>
      </c>
      <c r="S143" s="1074">
        <f t="shared" si="67"/>
        <v>0</v>
      </c>
      <c r="T143" s="1075">
        <f t="shared" si="67"/>
        <v>0</v>
      </c>
      <c r="U143" s="1073">
        <f t="shared" si="67"/>
        <v>0</v>
      </c>
      <c r="V143" s="1074">
        <f t="shared" si="67"/>
        <v>0</v>
      </c>
      <c r="W143" s="1074">
        <f t="shared" si="67"/>
        <v>0</v>
      </c>
      <c r="X143" s="1074">
        <f t="shared" si="67"/>
        <v>0</v>
      </c>
      <c r="Y143" s="1074">
        <f t="shared" si="67"/>
        <v>0</v>
      </c>
      <c r="Z143" s="1074">
        <f t="shared" si="67"/>
        <v>0</v>
      </c>
      <c r="AA143" s="1075">
        <f t="shared" si="67"/>
        <v>0</v>
      </c>
      <c r="AB143" s="1073">
        <f t="shared" si="67"/>
        <v>0</v>
      </c>
      <c r="AC143" s="1074">
        <f t="shared" si="67"/>
        <v>0</v>
      </c>
      <c r="AD143" s="1074">
        <f t="shared" si="67"/>
        <v>0</v>
      </c>
      <c r="AE143" s="1074">
        <f t="shared" si="67"/>
        <v>0</v>
      </c>
      <c r="AF143" s="1074">
        <f t="shared" si="67"/>
        <v>0</v>
      </c>
      <c r="AG143" s="1074">
        <f t="shared" si="67"/>
        <v>0</v>
      </c>
      <c r="AH143" s="1075">
        <f t="shared" si="67"/>
        <v>0</v>
      </c>
      <c r="AI143" s="1076">
        <f t="shared" si="67"/>
        <v>0</v>
      </c>
      <c r="AJ143" s="1074">
        <f t="shared" si="67"/>
        <v>0</v>
      </c>
      <c r="AK143" s="1074">
        <f t="shared" si="67"/>
        <v>0</v>
      </c>
      <c r="AL143" s="1077">
        <f>SUM(G143:AK143)</f>
        <v>0</v>
      </c>
      <c r="AM143" s="1078"/>
      <c r="AN143" s="1079"/>
      <c r="AO143" s="1080"/>
      <c r="AP143" s="1081"/>
      <c r="AQ143" s="1082"/>
      <c r="AR143" s="1082"/>
    </row>
    <row r="144" spans="1:44" ht="15.9" customHeight="1">
      <c r="A144" s="989"/>
      <c r="B144" s="1083"/>
      <c r="C144" s="1084"/>
      <c r="D144" s="1084"/>
      <c r="E144" s="1084"/>
      <c r="F144" s="1085"/>
      <c r="G144" s="1086"/>
      <c r="H144" s="1086"/>
      <c r="I144" s="1086"/>
      <c r="J144" s="1086"/>
      <c r="K144" s="1086"/>
      <c r="L144" s="1086"/>
      <c r="M144" s="1086"/>
      <c r="N144" s="1086"/>
      <c r="O144" s="1086"/>
      <c r="P144" s="1086"/>
      <c r="Q144" s="1086"/>
      <c r="R144" s="1086"/>
      <c r="S144" s="1086"/>
      <c r="T144" s="1086"/>
      <c r="U144" s="1086"/>
      <c r="V144" s="1086"/>
      <c r="W144" s="1086"/>
      <c r="X144" s="1086"/>
      <c r="Y144" s="1086"/>
      <c r="Z144" s="1086"/>
      <c r="AA144" s="1086"/>
      <c r="AB144" s="1086"/>
      <c r="AC144" s="1086"/>
      <c r="AD144" s="1086"/>
      <c r="AE144" s="1086"/>
      <c r="AF144" s="1086"/>
      <c r="AG144" s="1086"/>
      <c r="AH144" s="1086"/>
      <c r="AI144" s="1086"/>
      <c r="AJ144" s="1086"/>
      <c r="AK144" s="1086"/>
      <c r="AL144" s="1087"/>
      <c r="AM144" s="1088"/>
      <c r="AN144" s="1089"/>
      <c r="AO144" s="1089"/>
      <c r="AP144" s="1088"/>
      <c r="AQ144" s="1088"/>
      <c r="AR144" s="1088"/>
    </row>
    <row r="145" spans="1:48" ht="15.9" customHeight="1">
      <c r="A145" s="989"/>
      <c r="B145" s="1057"/>
      <c r="C145" s="990" t="s">
        <v>2026</v>
      </c>
      <c r="D145" s="1090"/>
      <c r="E145" s="1090"/>
      <c r="F145" s="1091"/>
      <c r="G145" s="1092"/>
      <c r="H145" s="1092"/>
      <c r="I145" s="1092"/>
      <c r="J145" s="1092"/>
      <c r="K145" s="1092"/>
      <c r="L145" s="1092"/>
      <c r="M145" s="1092"/>
      <c r="N145" s="1092"/>
      <c r="O145" s="1092"/>
      <c r="P145" s="1092"/>
      <c r="Q145" s="1092"/>
      <c r="R145" s="1092"/>
      <c r="S145" s="1092"/>
      <c r="T145" s="1092"/>
      <c r="U145" s="1092"/>
      <c r="V145" s="1092"/>
      <c r="W145" s="1092"/>
      <c r="X145" s="1092"/>
      <c r="Y145" s="1092"/>
      <c r="Z145" s="1092"/>
      <c r="AA145" s="1092"/>
      <c r="AB145" s="1092"/>
      <c r="AC145" s="1092"/>
      <c r="AD145" s="1092"/>
      <c r="AE145" s="1092"/>
      <c r="AF145" s="1092"/>
      <c r="AG145" s="1092"/>
      <c r="AH145" s="1092"/>
      <c r="AI145" s="1092"/>
      <c r="AJ145" s="1092"/>
      <c r="AK145" s="1092"/>
      <c r="AP145" s="1093"/>
      <c r="AQ145" s="1093"/>
      <c r="AR145" s="1093"/>
    </row>
    <row r="146" spans="1:48">
      <c r="A146" s="989"/>
      <c r="B146" s="1057"/>
      <c r="C146" s="999"/>
      <c r="D146" s="1090"/>
      <c r="E146" s="1090"/>
      <c r="F146" s="1091"/>
      <c r="G146" s="1092"/>
      <c r="H146" s="1092"/>
      <c r="I146" s="1092"/>
      <c r="J146" s="1092"/>
      <c r="K146" s="1092"/>
      <c r="L146" s="1092"/>
      <c r="M146" s="1092"/>
      <c r="N146" s="1092"/>
      <c r="O146" s="1092"/>
      <c r="P146" s="1092"/>
      <c r="Q146" s="1092"/>
      <c r="R146" s="1092"/>
      <c r="S146" s="1094"/>
      <c r="T146" s="1092"/>
      <c r="U146" s="1092"/>
      <c r="V146" s="1092"/>
      <c r="W146" s="1092"/>
      <c r="X146" s="1092"/>
      <c r="Y146" s="2268" t="s">
        <v>2027</v>
      </c>
      <c r="Z146" s="2268"/>
      <c r="AA146" s="2268"/>
      <c r="AB146" s="2268"/>
      <c r="AC146" s="1092"/>
      <c r="AD146" s="2269" t="s">
        <v>2028</v>
      </c>
      <c r="AE146" s="2270"/>
      <c r="AF146" s="2270"/>
      <c r="AG146" s="2270"/>
      <c r="AH146" s="2270"/>
      <c r="AI146" s="2270"/>
      <c r="AJ146" s="2270"/>
      <c r="AK146" s="2270"/>
      <c r="AL146" s="2270"/>
      <c r="AM146" s="1095"/>
      <c r="AN146" s="1095"/>
      <c r="AO146" s="1095"/>
      <c r="AP146" s="1093"/>
      <c r="AQ146" s="1093"/>
      <c r="AR146" s="1093"/>
    </row>
    <row r="147" spans="1:48" s="1097" customFormat="1" ht="12.6" thickBot="1">
      <c r="A147" s="1090"/>
      <c r="B147" s="1057"/>
      <c r="C147" s="1091" t="s">
        <v>1933</v>
      </c>
      <c r="D147" s="1090"/>
      <c r="E147" s="1090"/>
      <c r="F147" s="2271" t="s">
        <v>2029</v>
      </c>
      <c r="G147" s="2271"/>
      <c r="H147" s="2271"/>
      <c r="I147" s="2271"/>
      <c r="J147" s="1092"/>
      <c r="K147" s="1092"/>
      <c r="L147" s="2272" t="s">
        <v>2030</v>
      </c>
      <c r="M147" s="2272"/>
      <c r="N147" s="2272"/>
      <c r="O147" s="2272"/>
      <c r="P147" s="1096"/>
      <c r="Q147" s="1096"/>
      <c r="R147" s="1096"/>
      <c r="S147" s="2271" t="s">
        <v>2031</v>
      </c>
      <c r="T147" s="2271"/>
      <c r="U147" s="2271"/>
      <c r="V147" s="2271"/>
      <c r="W147" s="2271"/>
      <c r="X147" s="1092"/>
      <c r="Y147" s="2273" t="s">
        <v>2032</v>
      </c>
      <c r="Z147" s="2273"/>
      <c r="AA147" s="2273"/>
      <c r="AB147" s="2273"/>
      <c r="AC147" s="1092"/>
      <c r="AD147" s="2270"/>
      <c r="AE147" s="2270"/>
      <c r="AF147" s="2270"/>
      <c r="AG147" s="2270"/>
      <c r="AH147" s="2270"/>
      <c r="AI147" s="2270"/>
      <c r="AJ147" s="2270"/>
      <c r="AK147" s="2270"/>
      <c r="AL147" s="2270"/>
      <c r="AM147" s="1095"/>
      <c r="AN147" s="1095"/>
      <c r="AO147" s="1093"/>
      <c r="AP147" s="1093"/>
      <c r="AQ147" s="1090"/>
      <c r="AR147" s="1093"/>
      <c r="AS147" s="1090"/>
      <c r="AT147" s="1090"/>
      <c r="AU147" s="1090"/>
      <c r="AV147" s="1090"/>
    </row>
    <row r="148" spans="1:48" s="1097" customFormat="1" ht="14.25" customHeight="1" thickBot="1">
      <c r="A148" s="1090"/>
      <c r="B148" s="1057"/>
      <c r="C148" s="1098">
        <f>C4</f>
        <v>45383</v>
      </c>
      <c r="D148" s="1090"/>
      <c r="E148" s="1090"/>
      <c r="F148" s="1090"/>
      <c r="G148" s="2284">
        <f>AN176</f>
        <v>0</v>
      </c>
      <c r="H148" s="2285"/>
      <c r="I148" s="2286"/>
      <c r="J148" s="1090"/>
      <c r="K148" s="1090"/>
      <c r="L148" s="1090"/>
      <c r="M148" s="2287">
        <f>C149</f>
        <v>30</v>
      </c>
      <c r="N148" s="2288"/>
      <c r="O148" s="1099" t="s">
        <v>1949</v>
      </c>
      <c r="P148" s="1091" t="s">
        <v>2033</v>
      </c>
      <c r="Q148" s="2289">
        <v>16</v>
      </c>
      <c r="R148" s="2290"/>
      <c r="S148" s="1099" t="s">
        <v>1960</v>
      </c>
      <c r="T148" s="1092" t="s">
        <v>2034</v>
      </c>
      <c r="U148" s="2287">
        <f>M148*Q148</f>
        <v>480</v>
      </c>
      <c r="V148" s="2288"/>
      <c r="W148" s="1100" t="s">
        <v>1960</v>
      </c>
      <c r="X148" s="1092"/>
      <c r="Y148" s="2291">
        <f>ROUNDDOWN(G148/U148,2)</f>
        <v>0</v>
      </c>
      <c r="Z148" s="2292"/>
      <c r="AA148" s="2292"/>
      <c r="AB148" s="1101" t="s">
        <v>2035</v>
      </c>
      <c r="AC148" s="1102" t="s">
        <v>2036</v>
      </c>
      <c r="AD148" s="2293">
        <f>AG148+AJ148</f>
        <v>0</v>
      </c>
      <c r="AE148" s="2294"/>
      <c r="AF148" s="1092" t="s">
        <v>2037</v>
      </c>
      <c r="AG148" s="2274"/>
      <c r="AH148" s="2274"/>
      <c r="AI148" s="1092" t="s">
        <v>2038</v>
      </c>
      <c r="AJ148" s="2274"/>
      <c r="AK148" s="2274"/>
      <c r="AL148" s="1094" t="s">
        <v>2039</v>
      </c>
      <c r="AM148" s="1103" t="str">
        <f>IF(Y148&gt;=AD148,"ＯＫ","ＮＧ")</f>
        <v>ＯＫ</v>
      </c>
      <c r="AN148" s="1095"/>
      <c r="AO148" s="1093"/>
      <c r="AP148" s="1093"/>
      <c r="AQ148" s="1090"/>
      <c r="AR148" s="1093"/>
      <c r="AS148" s="1090"/>
      <c r="AT148" s="1090"/>
      <c r="AU148" s="1090"/>
      <c r="AV148" s="1090"/>
    </row>
    <row r="149" spans="1:48" s="1097" customFormat="1">
      <c r="A149" s="1090"/>
      <c r="B149" s="1057"/>
      <c r="C149" s="1104">
        <f>DAY(EOMONTH(C148,0))</f>
        <v>30</v>
      </c>
      <c r="D149" s="1105"/>
      <c r="E149" s="1105"/>
      <c r="F149" s="1106"/>
      <c r="G149" s="1107"/>
      <c r="H149" s="1107"/>
      <c r="I149" s="1107"/>
      <c r="J149" s="1107"/>
      <c r="K149" s="1107"/>
      <c r="L149" s="1107"/>
      <c r="M149" s="1107"/>
      <c r="N149" s="1107"/>
      <c r="O149" s="1107"/>
      <c r="P149" s="1107"/>
      <c r="Q149" s="1107"/>
      <c r="R149" s="1107"/>
      <c r="S149" s="1107"/>
      <c r="T149" s="1107"/>
      <c r="U149" s="1107"/>
      <c r="V149" s="1107"/>
      <c r="W149" s="1107"/>
      <c r="X149" s="1107"/>
      <c r="Y149" s="1107"/>
      <c r="Z149" s="1107"/>
      <c r="AA149" s="1107"/>
      <c r="AB149" s="1107"/>
      <c r="AC149" s="1107"/>
      <c r="AD149" s="1107"/>
      <c r="AE149" s="1107"/>
      <c r="AF149" s="1107"/>
      <c r="AG149" s="1107"/>
      <c r="AH149" s="1107"/>
      <c r="AI149" s="1107"/>
      <c r="AJ149" s="1107"/>
      <c r="AK149" s="1107"/>
      <c r="AL149" s="1108" t="s">
        <v>2040</v>
      </c>
      <c r="AM149" s="1095" t="s">
        <v>2041</v>
      </c>
      <c r="AN149" s="2275" t="s">
        <v>2042</v>
      </c>
      <c r="AO149" s="2275"/>
      <c r="AP149" s="1093"/>
      <c r="AQ149" s="1093"/>
      <c r="AR149" s="1093"/>
      <c r="AS149" s="1090"/>
      <c r="AT149" s="1090"/>
      <c r="AU149" s="1090"/>
      <c r="AV149" s="1090"/>
    </row>
    <row r="150" spans="1:48" ht="15.9" customHeight="1">
      <c r="A150" s="989"/>
      <c r="B150" s="1057"/>
      <c r="C150" s="2276" t="s">
        <v>2043</v>
      </c>
      <c r="D150" s="2276"/>
      <c r="E150" s="2276"/>
      <c r="F150" s="2277"/>
      <c r="G150" s="1109">
        <f>G8</f>
        <v>1</v>
      </c>
      <c r="H150" s="1110">
        <f t="shared" ref="H150:AK150" si="68">H8</f>
        <v>2</v>
      </c>
      <c r="I150" s="1110">
        <f t="shared" si="68"/>
        <v>3</v>
      </c>
      <c r="J150" s="1110">
        <f t="shared" si="68"/>
        <v>4</v>
      </c>
      <c r="K150" s="1110">
        <f t="shared" si="68"/>
        <v>5</v>
      </c>
      <c r="L150" s="1110">
        <f t="shared" si="68"/>
        <v>6</v>
      </c>
      <c r="M150" s="1111">
        <f t="shared" si="68"/>
        <v>7</v>
      </c>
      <c r="N150" s="1109">
        <f t="shared" si="68"/>
        <v>8</v>
      </c>
      <c r="O150" s="1110">
        <f t="shared" si="68"/>
        <v>9</v>
      </c>
      <c r="P150" s="1110">
        <f t="shared" si="68"/>
        <v>10</v>
      </c>
      <c r="Q150" s="1110">
        <f t="shared" si="68"/>
        <v>11</v>
      </c>
      <c r="R150" s="1110">
        <f t="shared" si="68"/>
        <v>12</v>
      </c>
      <c r="S150" s="1110">
        <f t="shared" si="68"/>
        <v>13</v>
      </c>
      <c r="T150" s="1111">
        <f t="shared" si="68"/>
        <v>14</v>
      </c>
      <c r="U150" s="1109">
        <f t="shared" si="68"/>
        <v>15</v>
      </c>
      <c r="V150" s="1110">
        <f t="shared" si="68"/>
        <v>16</v>
      </c>
      <c r="W150" s="1110">
        <f t="shared" si="68"/>
        <v>17</v>
      </c>
      <c r="X150" s="1110">
        <f t="shared" si="68"/>
        <v>18</v>
      </c>
      <c r="Y150" s="1110">
        <f t="shared" si="68"/>
        <v>19</v>
      </c>
      <c r="Z150" s="1110">
        <f t="shared" si="68"/>
        <v>20</v>
      </c>
      <c r="AA150" s="1111">
        <f t="shared" si="68"/>
        <v>21</v>
      </c>
      <c r="AB150" s="1109">
        <f t="shared" si="68"/>
        <v>22</v>
      </c>
      <c r="AC150" s="1110">
        <f t="shared" si="68"/>
        <v>23</v>
      </c>
      <c r="AD150" s="1110">
        <f t="shared" si="68"/>
        <v>24</v>
      </c>
      <c r="AE150" s="1110">
        <f t="shared" si="68"/>
        <v>25</v>
      </c>
      <c r="AF150" s="1110">
        <f t="shared" si="68"/>
        <v>26</v>
      </c>
      <c r="AG150" s="1110">
        <f t="shared" si="68"/>
        <v>27</v>
      </c>
      <c r="AH150" s="1111">
        <f t="shared" si="68"/>
        <v>28</v>
      </c>
      <c r="AI150" s="1109">
        <f t="shared" si="68"/>
        <v>29</v>
      </c>
      <c r="AJ150" s="1110">
        <f t="shared" si="68"/>
        <v>30</v>
      </c>
      <c r="AK150" s="1110">
        <f t="shared" si="68"/>
        <v>31</v>
      </c>
      <c r="AL150" s="1112" t="s">
        <v>2044</v>
      </c>
      <c r="AM150" s="1113" t="s">
        <v>2045</v>
      </c>
      <c r="AN150" s="2277" t="s">
        <v>2046</v>
      </c>
      <c r="AO150" s="2278"/>
      <c r="AP150" s="1114"/>
      <c r="AQ150" s="1093"/>
      <c r="AR150" s="1093"/>
    </row>
    <row r="151" spans="1:48">
      <c r="A151" s="989"/>
      <c r="B151" s="1057" t="s">
        <v>2047</v>
      </c>
      <c r="C151" s="2279" t="str">
        <f>CONCATENATE(AC197,"：",AD197,"（",AF197,AH197,AI197,"）",AK197,AM197)</f>
        <v>夜：夜勤（16：30～0：00）7.5ｈ</v>
      </c>
      <c r="D151" s="2280"/>
      <c r="E151" s="2281"/>
      <c r="F151" s="1115" t="str">
        <f>IF(AC197="","",AC197)</f>
        <v>夜</v>
      </c>
      <c r="G151" s="1116">
        <f>COUNTIF($G$10:$G$142,F151)</f>
        <v>0</v>
      </c>
      <c r="H151" s="1117">
        <f>COUNTIF($H$10:$H$142,F151)</f>
        <v>0</v>
      </c>
      <c r="I151" s="1117">
        <f>COUNTIF($I$10:$I$142,F151)</f>
        <v>0</v>
      </c>
      <c r="J151" s="1117">
        <f>COUNTIF($J$10:$J$142,F151)</f>
        <v>0</v>
      </c>
      <c r="K151" s="1117">
        <f>COUNTIF($K$10:$K$142,F151)</f>
        <v>0</v>
      </c>
      <c r="L151" s="1117">
        <f>COUNTIF(L$10:L$142,F151)</f>
        <v>0</v>
      </c>
      <c r="M151" s="1118">
        <f>COUNTIF(M$10:M$142,F151)</f>
        <v>0</v>
      </c>
      <c r="N151" s="1116">
        <f>COUNTIF(N$10:N$142,F151)</f>
        <v>0</v>
      </c>
      <c r="O151" s="1117">
        <f>COUNTIF(O$10:O$142,F151)</f>
        <v>0</v>
      </c>
      <c r="P151" s="1117">
        <f>COUNTIF(P$10:P$142,F151)</f>
        <v>0</v>
      </c>
      <c r="Q151" s="1117">
        <f>COUNTIF(Q$10:Q$142,F151)</f>
        <v>0</v>
      </c>
      <c r="R151" s="1117">
        <f>COUNTIF(R$10:R$142,F151)</f>
        <v>0</v>
      </c>
      <c r="S151" s="1117">
        <f>COUNTIF(S$10:S$142,F151)</f>
        <v>0</v>
      </c>
      <c r="T151" s="1118">
        <f>COUNTIF(T$10:T$142,F151)</f>
        <v>0</v>
      </c>
      <c r="U151" s="1116">
        <f>COUNTIF(U$10:U$142,F151)</f>
        <v>0</v>
      </c>
      <c r="V151" s="1117">
        <f>COUNTIF(V$10:V$142,F151)</f>
        <v>0</v>
      </c>
      <c r="W151" s="1117">
        <f>COUNTIF(W$10:W$142,F151)</f>
        <v>0</v>
      </c>
      <c r="X151" s="1117">
        <f>COUNTIF(X$10:X$142,F151)</f>
        <v>0</v>
      </c>
      <c r="Y151" s="1117">
        <f>COUNTIF(Y$10:Y$142,F151)</f>
        <v>0</v>
      </c>
      <c r="Z151" s="1117">
        <f>COUNTIF(Z$10:Z$142,F151)</f>
        <v>0</v>
      </c>
      <c r="AA151" s="1118">
        <f>COUNTIF(AA$10:AA$142,F151)</f>
        <v>0</v>
      </c>
      <c r="AB151" s="1116">
        <f>COUNTIF(AB$10:AB$142,F151)</f>
        <v>0</v>
      </c>
      <c r="AC151" s="1117">
        <f>COUNTIF(AC$10:AC$142,F151)</f>
        <v>0</v>
      </c>
      <c r="AD151" s="1117">
        <f>COUNTIF(AD$10:AD$142,F151)</f>
        <v>0</v>
      </c>
      <c r="AE151" s="1117">
        <f>COUNTIF(AE$10:AE$142,F151)</f>
        <v>0</v>
      </c>
      <c r="AF151" s="1117">
        <f>COUNTIF(AF$10:AF$142,F151)</f>
        <v>0</v>
      </c>
      <c r="AG151" s="1117">
        <f>COUNTIF(AG$10:AG$142,F151)</f>
        <v>0</v>
      </c>
      <c r="AH151" s="1118">
        <f>COUNTIF(AH$10:AH$142,F151)</f>
        <v>0</v>
      </c>
      <c r="AI151" s="1119">
        <f>COUNTIF(AI$10:AI$142,F151)</f>
        <v>0</v>
      </c>
      <c r="AJ151" s="1117">
        <f>COUNTIF(AJ$10:AJ$142,F151)</f>
        <v>0</v>
      </c>
      <c r="AK151" s="1117">
        <f>COUNTIF(AK$10:AK$142,F151)</f>
        <v>0</v>
      </c>
      <c r="AL151" s="1120">
        <f>SUM(G151:AK151)</f>
        <v>0</v>
      </c>
      <c r="AM151" s="1121">
        <f>IF(AR197="","",AR197)</f>
        <v>7.5</v>
      </c>
      <c r="AN151" s="2282">
        <f>AL151*AM151</f>
        <v>0</v>
      </c>
      <c r="AO151" s="2283"/>
      <c r="AP151" s="1114"/>
      <c r="AQ151" s="1093"/>
      <c r="AR151" s="1093"/>
    </row>
    <row r="152" spans="1:48">
      <c r="A152" s="989"/>
      <c r="B152" s="1057" t="s">
        <v>2048</v>
      </c>
      <c r="C152" s="2295" t="str">
        <f t="shared" ref="C152:C175" si="69">CONCATENATE(AC198,"：",AD198,"（",AF198,AH198,AI198,"）",AK198,AM198)</f>
        <v>明：明け（0：00～9：15）7.25ｈ</v>
      </c>
      <c r="D152" s="2296"/>
      <c r="E152" s="2297"/>
      <c r="F152" s="1122" t="str">
        <f t="shared" ref="F152:F175" si="70">IF(AC198="","",AC198)</f>
        <v>明</v>
      </c>
      <c r="G152" s="1123">
        <f t="shared" ref="G152:G175" si="71">COUNTIF($G$10:$G$142,F152)</f>
        <v>0</v>
      </c>
      <c r="H152" s="1124">
        <f t="shared" ref="H152:H175" si="72">COUNTIF($H$10:$H$142,F152)</f>
        <v>0</v>
      </c>
      <c r="I152" s="1124">
        <f t="shared" ref="I152:I175" si="73">COUNTIF($I$10:$I$142,F152)</f>
        <v>0</v>
      </c>
      <c r="J152" s="1124">
        <f t="shared" ref="J152:J175" si="74">COUNTIF($J$10:$J$142,F152)</f>
        <v>0</v>
      </c>
      <c r="K152" s="1124">
        <f t="shared" ref="K152:K175" si="75">COUNTIF($K$10:$K$142,F152)</f>
        <v>0</v>
      </c>
      <c r="L152" s="1124">
        <f t="shared" ref="L152:L175" si="76">COUNTIF(L$10:L$142,F152)</f>
        <v>0</v>
      </c>
      <c r="M152" s="1125">
        <f t="shared" ref="M152:M175" si="77">COUNTIF(M$10:M$142,F152)</f>
        <v>0</v>
      </c>
      <c r="N152" s="1123">
        <f t="shared" ref="N152:N175" si="78">COUNTIF(N$10:N$142,F152)</f>
        <v>0</v>
      </c>
      <c r="O152" s="1124">
        <f t="shared" ref="O152:O175" si="79">COUNTIF(O$10:O$142,F152)</f>
        <v>0</v>
      </c>
      <c r="P152" s="1124">
        <f t="shared" ref="P152:P175" si="80">COUNTIF(P$10:P$142,F152)</f>
        <v>0</v>
      </c>
      <c r="Q152" s="1124">
        <f t="shared" ref="Q152:Q175" si="81">COUNTIF(Q$10:Q$142,F152)</f>
        <v>0</v>
      </c>
      <c r="R152" s="1124">
        <f t="shared" ref="R152:R175" si="82">COUNTIF(R$10:R$142,F152)</f>
        <v>0</v>
      </c>
      <c r="S152" s="1124">
        <f t="shared" ref="S152:S175" si="83">COUNTIF(S$10:S$142,F152)</f>
        <v>0</v>
      </c>
      <c r="T152" s="1125">
        <f t="shared" ref="T152:T175" si="84">COUNTIF(T$10:T$142,F152)</f>
        <v>0</v>
      </c>
      <c r="U152" s="1123">
        <f t="shared" ref="U152:U175" si="85">COUNTIF(U$10:U$142,F152)</f>
        <v>0</v>
      </c>
      <c r="V152" s="1124">
        <f t="shared" ref="V152:V175" si="86">COUNTIF(V$10:V$142,F152)</f>
        <v>0</v>
      </c>
      <c r="W152" s="1124">
        <f t="shared" ref="W152:W175" si="87">COUNTIF(W$10:W$142,F152)</f>
        <v>0</v>
      </c>
      <c r="X152" s="1124">
        <f t="shared" ref="X152:X175" si="88">COUNTIF(X$10:X$142,F152)</f>
        <v>0</v>
      </c>
      <c r="Y152" s="1124">
        <f t="shared" ref="Y152:Y175" si="89">COUNTIF(Y$10:Y$142,F152)</f>
        <v>0</v>
      </c>
      <c r="Z152" s="1124">
        <f t="shared" ref="Z152:Z175" si="90">COUNTIF(Z$10:Z$142,F152)</f>
        <v>0</v>
      </c>
      <c r="AA152" s="1125">
        <f t="shared" ref="AA152:AA175" si="91">COUNTIF(AA$10:AA$142,F152)</f>
        <v>0</v>
      </c>
      <c r="AB152" s="1123">
        <f t="shared" ref="AB152:AB175" si="92">COUNTIF(AB$10:AB$142,F152)</f>
        <v>0</v>
      </c>
      <c r="AC152" s="1124">
        <f t="shared" ref="AC152:AC175" si="93">COUNTIF(AC$10:AC$142,F152)</f>
        <v>0</v>
      </c>
      <c r="AD152" s="1124">
        <f t="shared" ref="AD152:AD175" si="94">COUNTIF(AD$10:AD$142,F152)</f>
        <v>0</v>
      </c>
      <c r="AE152" s="1124">
        <f t="shared" ref="AE152:AE175" si="95">COUNTIF(AE$10:AE$142,F152)</f>
        <v>0</v>
      </c>
      <c r="AF152" s="1124">
        <f t="shared" ref="AF152:AF175" si="96">COUNTIF(AF$10:AF$142,F152)</f>
        <v>0</v>
      </c>
      <c r="AG152" s="1124">
        <f t="shared" ref="AG152:AG175" si="97">COUNTIF(AG$10:AG$142,F152)</f>
        <v>0</v>
      </c>
      <c r="AH152" s="1125">
        <f t="shared" ref="AH152:AH175" si="98">COUNTIF(AH$10:AH$142,F152)</f>
        <v>0</v>
      </c>
      <c r="AI152" s="1126">
        <f t="shared" ref="AI152:AI175" si="99">COUNTIF(AI$10:AI$142,F152)</f>
        <v>0</v>
      </c>
      <c r="AJ152" s="1124">
        <f t="shared" ref="AJ152:AJ175" si="100">COUNTIF(AJ$10:AJ$142,F152)</f>
        <v>0</v>
      </c>
      <c r="AK152" s="1124">
        <f t="shared" ref="AK152:AK175" si="101">COUNTIF(AK$10:AK$142,F152)</f>
        <v>0</v>
      </c>
      <c r="AL152" s="1127">
        <f t="shared" ref="AL152:AL175" si="102">SUM(G152:AK152)</f>
        <v>0</v>
      </c>
      <c r="AM152" s="1128">
        <f t="shared" ref="AM152:AM175" si="103">IF(AR198="","",AR198)</f>
        <v>7.25</v>
      </c>
      <c r="AN152" s="2298">
        <f t="shared" ref="AN152:AN175" si="104">AL152*AM152</f>
        <v>0</v>
      </c>
      <c r="AO152" s="2300"/>
      <c r="AP152" s="1114"/>
      <c r="AQ152" s="1093"/>
      <c r="AR152" s="1093"/>
    </row>
    <row r="153" spans="1:48">
      <c r="A153" s="989"/>
      <c r="B153" s="1057" t="s">
        <v>2049</v>
      </c>
      <c r="C153" s="2295" t="str">
        <f t="shared" si="69"/>
        <v>①：日勤Ａ（8：40～17：15）7.75ｈ</v>
      </c>
      <c r="D153" s="2296"/>
      <c r="E153" s="2297"/>
      <c r="F153" s="1122" t="str">
        <f t="shared" si="70"/>
        <v>①</v>
      </c>
      <c r="G153" s="1123">
        <f t="shared" si="71"/>
        <v>0</v>
      </c>
      <c r="H153" s="1124">
        <f t="shared" si="72"/>
        <v>0</v>
      </c>
      <c r="I153" s="1124">
        <f t="shared" si="73"/>
        <v>0</v>
      </c>
      <c r="J153" s="1124">
        <f t="shared" si="74"/>
        <v>0</v>
      </c>
      <c r="K153" s="1124">
        <f t="shared" si="75"/>
        <v>0</v>
      </c>
      <c r="L153" s="1124">
        <f t="shared" si="76"/>
        <v>0</v>
      </c>
      <c r="M153" s="1125">
        <f t="shared" si="77"/>
        <v>0</v>
      </c>
      <c r="N153" s="1123">
        <f t="shared" si="78"/>
        <v>0</v>
      </c>
      <c r="O153" s="1124">
        <f t="shared" si="79"/>
        <v>0</v>
      </c>
      <c r="P153" s="1124">
        <f t="shared" si="80"/>
        <v>0</v>
      </c>
      <c r="Q153" s="1124">
        <f t="shared" si="81"/>
        <v>0</v>
      </c>
      <c r="R153" s="1124">
        <f t="shared" si="82"/>
        <v>0</v>
      </c>
      <c r="S153" s="1124">
        <f t="shared" si="83"/>
        <v>0</v>
      </c>
      <c r="T153" s="1125">
        <f t="shared" si="84"/>
        <v>0</v>
      </c>
      <c r="U153" s="1123">
        <f t="shared" si="85"/>
        <v>0</v>
      </c>
      <c r="V153" s="1124">
        <f t="shared" si="86"/>
        <v>0</v>
      </c>
      <c r="W153" s="1124">
        <f t="shared" si="87"/>
        <v>0</v>
      </c>
      <c r="X153" s="1124">
        <f t="shared" si="88"/>
        <v>0</v>
      </c>
      <c r="Y153" s="1124">
        <f t="shared" si="89"/>
        <v>0</v>
      </c>
      <c r="Z153" s="1124">
        <f t="shared" si="90"/>
        <v>0</v>
      </c>
      <c r="AA153" s="1125">
        <f t="shared" si="91"/>
        <v>0</v>
      </c>
      <c r="AB153" s="1123">
        <f t="shared" si="92"/>
        <v>0</v>
      </c>
      <c r="AC153" s="1124">
        <f t="shared" si="93"/>
        <v>0</v>
      </c>
      <c r="AD153" s="1124">
        <f t="shared" si="94"/>
        <v>0</v>
      </c>
      <c r="AE153" s="1124">
        <f t="shared" si="95"/>
        <v>0</v>
      </c>
      <c r="AF153" s="1124">
        <f t="shared" si="96"/>
        <v>0</v>
      </c>
      <c r="AG153" s="1124">
        <f t="shared" si="97"/>
        <v>0</v>
      </c>
      <c r="AH153" s="1125">
        <f t="shared" si="98"/>
        <v>0</v>
      </c>
      <c r="AI153" s="1126">
        <f t="shared" si="99"/>
        <v>0</v>
      </c>
      <c r="AJ153" s="1124">
        <f t="shared" si="100"/>
        <v>0</v>
      </c>
      <c r="AK153" s="1124">
        <f t="shared" si="101"/>
        <v>0</v>
      </c>
      <c r="AL153" s="1127">
        <f t="shared" si="102"/>
        <v>0</v>
      </c>
      <c r="AM153" s="1128">
        <f t="shared" si="103"/>
        <v>1.33</v>
      </c>
      <c r="AN153" s="2298">
        <f t="shared" si="104"/>
        <v>0</v>
      </c>
      <c r="AO153" s="2299"/>
      <c r="AP153" s="1093"/>
      <c r="AQ153" s="1093"/>
      <c r="AR153" s="1093"/>
    </row>
    <row r="154" spans="1:48">
      <c r="A154" s="989"/>
      <c r="B154" s="1057" t="s">
        <v>2050</v>
      </c>
      <c r="C154" s="2295" t="str">
        <f t="shared" si="69"/>
        <v>②：早出（7：10～15：45）7.75ｈ</v>
      </c>
      <c r="D154" s="2296"/>
      <c r="E154" s="2297"/>
      <c r="F154" s="1122" t="str">
        <f t="shared" si="70"/>
        <v>②</v>
      </c>
      <c r="G154" s="1123">
        <f t="shared" si="71"/>
        <v>0</v>
      </c>
      <c r="H154" s="1124">
        <f t="shared" si="72"/>
        <v>0</v>
      </c>
      <c r="I154" s="1124">
        <f t="shared" si="73"/>
        <v>0</v>
      </c>
      <c r="J154" s="1124">
        <f t="shared" si="74"/>
        <v>0</v>
      </c>
      <c r="K154" s="1124">
        <f t="shared" si="75"/>
        <v>0</v>
      </c>
      <c r="L154" s="1124">
        <f t="shared" si="76"/>
        <v>0</v>
      </c>
      <c r="M154" s="1125">
        <f t="shared" si="77"/>
        <v>0</v>
      </c>
      <c r="N154" s="1123">
        <f t="shared" si="78"/>
        <v>0</v>
      </c>
      <c r="O154" s="1124">
        <f t="shared" si="79"/>
        <v>0</v>
      </c>
      <c r="P154" s="1124">
        <f t="shared" si="80"/>
        <v>0</v>
      </c>
      <c r="Q154" s="1124">
        <f t="shared" si="81"/>
        <v>0</v>
      </c>
      <c r="R154" s="1124">
        <f t="shared" si="82"/>
        <v>0</v>
      </c>
      <c r="S154" s="1124">
        <f t="shared" si="83"/>
        <v>0</v>
      </c>
      <c r="T154" s="1125">
        <f t="shared" si="84"/>
        <v>0</v>
      </c>
      <c r="U154" s="1123">
        <f t="shared" si="85"/>
        <v>0</v>
      </c>
      <c r="V154" s="1124">
        <f t="shared" si="86"/>
        <v>0</v>
      </c>
      <c r="W154" s="1124">
        <f t="shared" si="87"/>
        <v>0</v>
      </c>
      <c r="X154" s="1124">
        <f t="shared" si="88"/>
        <v>0</v>
      </c>
      <c r="Y154" s="1124">
        <f t="shared" si="89"/>
        <v>0</v>
      </c>
      <c r="Z154" s="1124">
        <f t="shared" si="90"/>
        <v>0</v>
      </c>
      <c r="AA154" s="1125">
        <f t="shared" si="91"/>
        <v>0</v>
      </c>
      <c r="AB154" s="1123">
        <f t="shared" si="92"/>
        <v>0</v>
      </c>
      <c r="AC154" s="1124">
        <f t="shared" si="93"/>
        <v>0</v>
      </c>
      <c r="AD154" s="1124">
        <f t="shared" si="94"/>
        <v>0</v>
      </c>
      <c r="AE154" s="1124">
        <f t="shared" si="95"/>
        <v>0</v>
      </c>
      <c r="AF154" s="1124">
        <f t="shared" si="96"/>
        <v>0</v>
      </c>
      <c r="AG154" s="1124">
        <f t="shared" si="97"/>
        <v>0</v>
      </c>
      <c r="AH154" s="1125">
        <f t="shared" si="98"/>
        <v>0</v>
      </c>
      <c r="AI154" s="1126">
        <f t="shared" si="99"/>
        <v>0</v>
      </c>
      <c r="AJ154" s="1124">
        <f t="shared" si="100"/>
        <v>0</v>
      </c>
      <c r="AK154" s="1124">
        <f t="shared" si="101"/>
        <v>0</v>
      </c>
      <c r="AL154" s="1127">
        <f t="shared" si="102"/>
        <v>0</v>
      </c>
      <c r="AM154" s="1128">
        <f t="shared" si="103"/>
        <v>2.08</v>
      </c>
      <c r="AN154" s="2298">
        <f t="shared" si="104"/>
        <v>0</v>
      </c>
      <c r="AO154" s="2299"/>
      <c r="AP154" s="1093"/>
      <c r="AQ154" s="1093"/>
      <c r="AR154" s="1093"/>
    </row>
    <row r="155" spans="1:48">
      <c r="A155" s="989"/>
      <c r="B155" s="1057" t="s">
        <v>2051</v>
      </c>
      <c r="C155" s="2295" t="str">
        <f t="shared" si="69"/>
        <v>③：遅出（11：25～20：00）7.75ｈ</v>
      </c>
      <c r="D155" s="2296"/>
      <c r="E155" s="2297"/>
      <c r="F155" s="1122" t="str">
        <f t="shared" si="70"/>
        <v>③</v>
      </c>
      <c r="G155" s="1123">
        <f t="shared" si="71"/>
        <v>0</v>
      </c>
      <c r="H155" s="1124">
        <f t="shared" si="72"/>
        <v>0</v>
      </c>
      <c r="I155" s="1124">
        <f t="shared" si="73"/>
        <v>0</v>
      </c>
      <c r="J155" s="1124">
        <f t="shared" si="74"/>
        <v>0</v>
      </c>
      <c r="K155" s="1124">
        <f t="shared" si="75"/>
        <v>0</v>
      </c>
      <c r="L155" s="1124">
        <f t="shared" si="76"/>
        <v>0</v>
      </c>
      <c r="M155" s="1125">
        <f t="shared" si="77"/>
        <v>0</v>
      </c>
      <c r="N155" s="1123">
        <f t="shared" si="78"/>
        <v>0</v>
      </c>
      <c r="O155" s="1124">
        <f t="shared" si="79"/>
        <v>0</v>
      </c>
      <c r="P155" s="1124">
        <f t="shared" si="80"/>
        <v>0</v>
      </c>
      <c r="Q155" s="1124">
        <f t="shared" si="81"/>
        <v>0</v>
      </c>
      <c r="R155" s="1124">
        <f t="shared" si="82"/>
        <v>0</v>
      </c>
      <c r="S155" s="1124">
        <f t="shared" si="83"/>
        <v>0</v>
      </c>
      <c r="T155" s="1125">
        <f t="shared" si="84"/>
        <v>0</v>
      </c>
      <c r="U155" s="1123">
        <f t="shared" si="85"/>
        <v>0</v>
      </c>
      <c r="V155" s="1124">
        <f t="shared" si="86"/>
        <v>0</v>
      </c>
      <c r="W155" s="1124">
        <f t="shared" si="87"/>
        <v>0</v>
      </c>
      <c r="X155" s="1124">
        <f t="shared" si="88"/>
        <v>0</v>
      </c>
      <c r="Y155" s="1124">
        <f t="shared" si="89"/>
        <v>0</v>
      </c>
      <c r="Z155" s="1124">
        <f t="shared" si="90"/>
        <v>0</v>
      </c>
      <c r="AA155" s="1125">
        <f t="shared" si="91"/>
        <v>0</v>
      </c>
      <c r="AB155" s="1123">
        <f t="shared" si="92"/>
        <v>0</v>
      </c>
      <c r="AC155" s="1124">
        <f t="shared" si="93"/>
        <v>0</v>
      </c>
      <c r="AD155" s="1124">
        <f t="shared" si="94"/>
        <v>0</v>
      </c>
      <c r="AE155" s="1124">
        <f t="shared" si="95"/>
        <v>0</v>
      </c>
      <c r="AF155" s="1124">
        <f t="shared" si="96"/>
        <v>0</v>
      </c>
      <c r="AG155" s="1124">
        <f t="shared" si="97"/>
        <v>0</v>
      </c>
      <c r="AH155" s="1125">
        <f t="shared" si="98"/>
        <v>0</v>
      </c>
      <c r="AI155" s="1126">
        <f t="shared" si="99"/>
        <v>0</v>
      </c>
      <c r="AJ155" s="1124">
        <f t="shared" si="100"/>
        <v>0</v>
      </c>
      <c r="AK155" s="1124">
        <f t="shared" si="101"/>
        <v>0</v>
      </c>
      <c r="AL155" s="1127">
        <f t="shared" si="102"/>
        <v>0</v>
      </c>
      <c r="AM155" s="1128">
        <f t="shared" si="103"/>
        <v>2.5</v>
      </c>
      <c r="AN155" s="2298">
        <f t="shared" si="104"/>
        <v>0</v>
      </c>
      <c r="AO155" s="2299"/>
      <c r="AP155" s="1093"/>
      <c r="AQ155" s="1093"/>
      <c r="AR155" s="1093"/>
    </row>
    <row r="156" spans="1:48">
      <c r="A156" s="989"/>
      <c r="B156" s="1057" t="s">
        <v>2052</v>
      </c>
      <c r="C156" s="2295" t="str">
        <f t="shared" si="69"/>
        <v>⑤：午前Ａ（8：40～12：40）4ｈ</v>
      </c>
      <c r="D156" s="2296"/>
      <c r="E156" s="2297"/>
      <c r="F156" s="1122" t="str">
        <f t="shared" si="70"/>
        <v>⑤</v>
      </c>
      <c r="G156" s="1123">
        <f t="shared" si="71"/>
        <v>0</v>
      </c>
      <c r="H156" s="1124">
        <f t="shared" si="72"/>
        <v>0</v>
      </c>
      <c r="I156" s="1124">
        <f t="shared" si="73"/>
        <v>0</v>
      </c>
      <c r="J156" s="1124">
        <f t="shared" si="74"/>
        <v>0</v>
      </c>
      <c r="K156" s="1124">
        <f t="shared" si="75"/>
        <v>0</v>
      </c>
      <c r="L156" s="1124">
        <f t="shared" si="76"/>
        <v>0</v>
      </c>
      <c r="M156" s="1125">
        <f t="shared" si="77"/>
        <v>0</v>
      </c>
      <c r="N156" s="1123">
        <f t="shared" si="78"/>
        <v>0</v>
      </c>
      <c r="O156" s="1124">
        <f t="shared" si="79"/>
        <v>0</v>
      </c>
      <c r="P156" s="1124">
        <f t="shared" si="80"/>
        <v>0</v>
      </c>
      <c r="Q156" s="1124">
        <f t="shared" si="81"/>
        <v>0</v>
      </c>
      <c r="R156" s="1124">
        <f t="shared" si="82"/>
        <v>0</v>
      </c>
      <c r="S156" s="1124">
        <f t="shared" si="83"/>
        <v>0</v>
      </c>
      <c r="T156" s="1125">
        <f t="shared" si="84"/>
        <v>0</v>
      </c>
      <c r="U156" s="1123">
        <f t="shared" si="85"/>
        <v>0</v>
      </c>
      <c r="V156" s="1124">
        <f t="shared" si="86"/>
        <v>0</v>
      </c>
      <c r="W156" s="1124">
        <f t="shared" si="87"/>
        <v>0</v>
      </c>
      <c r="X156" s="1124">
        <f t="shared" si="88"/>
        <v>0</v>
      </c>
      <c r="Y156" s="1124">
        <f t="shared" si="89"/>
        <v>0</v>
      </c>
      <c r="Z156" s="1124">
        <f t="shared" si="90"/>
        <v>0</v>
      </c>
      <c r="AA156" s="1125">
        <f t="shared" si="91"/>
        <v>0</v>
      </c>
      <c r="AB156" s="1123">
        <f t="shared" si="92"/>
        <v>0</v>
      </c>
      <c r="AC156" s="1124">
        <f t="shared" si="93"/>
        <v>0</v>
      </c>
      <c r="AD156" s="1124">
        <f t="shared" si="94"/>
        <v>0</v>
      </c>
      <c r="AE156" s="1124">
        <f t="shared" si="95"/>
        <v>0</v>
      </c>
      <c r="AF156" s="1124">
        <f t="shared" si="96"/>
        <v>0</v>
      </c>
      <c r="AG156" s="1124">
        <f t="shared" si="97"/>
        <v>0</v>
      </c>
      <c r="AH156" s="1125">
        <f t="shared" si="98"/>
        <v>0</v>
      </c>
      <c r="AI156" s="1126">
        <f t="shared" si="99"/>
        <v>0</v>
      </c>
      <c r="AJ156" s="1124">
        <f t="shared" si="100"/>
        <v>0</v>
      </c>
      <c r="AK156" s="1124">
        <f t="shared" si="101"/>
        <v>0</v>
      </c>
      <c r="AL156" s="1127">
        <f t="shared" si="102"/>
        <v>0</v>
      </c>
      <c r="AM156" s="1128">
        <f t="shared" si="103"/>
        <v>0.57999999999999996</v>
      </c>
      <c r="AN156" s="2298">
        <f t="shared" si="104"/>
        <v>0</v>
      </c>
      <c r="AO156" s="2299"/>
      <c r="AP156" s="1093"/>
      <c r="AQ156" s="1093"/>
      <c r="AR156" s="1093"/>
    </row>
    <row r="157" spans="1:48">
      <c r="A157" s="989"/>
      <c r="B157" s="1057" t="s">
        <v>2053</v>
      </c>
      <c r="C157" s="2295" t="str">
        <f t="shared" si="69"/>
        <v>⑥：午後Ａ（13：30～17：30）4ｈ</v>
      </c>
      <c r="D157" s="2296"/>
      <c r="E157" s="2297"/>
      <c r="F157" s="1122" t="str">
        <f t="shared" si="70"/>
        <v>⑥</v>
      </c>
      <c r="G157" s="1123">
        <f t="shared" si="71"/>
        <v>0</v>
      </c>
      <c r="H157" s="1124">
        <f t="shared" si="72"/>
        <v>0</v>
      </c>
      <c r="I157" s="1124">
        <f t="shared" si="73"/>
        <v>0</v>
      </c>
      <c r="J157" s="1124">
        <f t="shared" si="74"/>
        <v>0</v>
      </c>
      <c r="K157" s="1124">
        <f t="shared" si="75"/>
        <v>0</v>
      </c>
      <c r="L157" s="1124">
        <f t="shared" si="76"/>
        <v>0</v>
      </c>
      <c r="M157" s="1125">
        <f t="shared" si="77"/>
        <v>0</v>
      </c>
      <c r="N157" s="1123">
        <f t="shared" si="78"/>
        <v>0</v>
      </c>
      <c r="O157" s="1124">
        <f t="shared" si="79"/>
        <v>0</v>
      </c>
      <c r="P157" s="1124">
        <f t="shared" si="80"/>
        <v>0</v>
      </c>
      <c r="Q157" s="1124">
        <f t="shared" si="81"/>
        <v>0</v>
      </c>
      <c r="R157" s="1124">
        <f t="shared" si="82"/>
        <v>0</v>
      </c>
      <c r="S157" s="1124">
        <f t="shared" si="83"/>
        <v>0</v>
      </c>
      <c r="T157" s="1125">
        <f t="shared" si="84"/>
        <v>0</v>
      </c>
      <c r="U157" s="1123">
        <f t="shared" si="85"/>
        <v>0</v>
      </c>
      <c r="V157" s="1124">
        <f t="shared" si="86"/>
        <v>0</v>
      </c>
      <c r="W157" s="1124">
        <f t="shared" si="87"/>
        <v>0</v>
      </c>
      <c r="X157" s="1124">
        <f t="shared" si="88"/>
        <v>0</v>
      </c>
      <c r="Y157" s="1124">
        <f t="shared" si="89"/>
        <v>0</v>
      </c>
      <c r="Z157" s="1124">
        <f t="shared" si="90"/>
        <v>0</v>
      </c>
      <c r="AA157" s="1125">
        <f t="shared" si="91"/>
        <v>0</v>
      </c>
      <c r="AB157" s="1123">
        <f t="shared" si="92"/>
        <v>0</v>
      </c>
      <c r="AC157" s="1124">
        <f t="shared" si="93"/>
        <v>0</v>
      </c>
      <c r="AD157" s="1124">
        <f t="shared" si="94"/>
        <v>0</v>
      </c>
      <c r="AE157" s="1124">
        <f t="shared" si="95"/>
        <v>0</v>
      </c>
      <c r="AF157" s="1124">
        <f t="shared" si="96"/>
        <v>0</v>
      </c>
      <c r="AG157" s="1124">
        <f t="shared" si="97"/>
        <v>0</v>
      </c>
      <c r="AH157" s="1125">
        <f t="shared" si="98"/>
        <v>0</v>
      </c>
      <c r="AI157" s="1126">
        <f t="shared" si="99"/>
        <v>0</v>
      </c>
      <c r="AJ157" s="1124">
        <f t="shared" si="100"/>
        <v>0</v>
      </c>
      <c r="AK157" s="1124">
        <f t="shared" si="101"/>
        <v>0</v>
      </c>
      <c r="AL157" s="1127">
        <f t="shared" si="102"/>
        <v>0</v>
      </c>
      <c r="AM157" s="1128">
        <f t="shared" si="103"/>
        <v>1</v>
      </c>
      <c r="AN157" s="2298">
        <f t="shared" si="104"/>
        <v>0</v>
      </c>
      <c r="AO157" s="2299"/>
      <c r="AP157" s="1093"/>
      <c r="AQ157" s="1093"/>
      <c r="AR157" s="1093"/>
    </row>
    <row r="158" spans="1:48">
      <c r="A158" s="989"/>
      <c r="B158" s="1057" t="s">
        <v>2054</v>
      </c>
      <c r="C158" s="2295" t="str">
        <f t="shared" si="69"/>
        <v>⑦：日勤Ｂ（9：00～17：00）7ｈ</v>
      </c>
      <c r="D158" s="2296"/>
      <c r="E158" s="2297"/>
      <c r="F158" s="1122" t="str">
        <f t="shared" si="70"/>
        <v>⑦</v>
      </c>
      <c r="G158" s="1123">
        <f t="shared" si="71"/>
        <v>0</v>
      </c>
      <c r="H158" s="1124">
        <f t="shared" si="72"/>
        <v>0</v>
      </c>
      <c r="I158" s="1124">
        <f t="shared" si="73"/>
        <v>0</v>
      </c>
      <c r="J158" s="1124">
        <f t="shared" si="74"/>
        <v>0</v>
      </c>
      <c r="K158" s="1124">
        <f t="shared" si="75"/>
        <v>0</v>
      </c>
      <c r="L158" s="1124">
        <f t="shared" si="76"/>
        <v>0</v>
      </c>
      <c r="M158" s="1125">
        <f t="shared" si="77"/>
        <v>0</v>
      </c>
      <c r="N158" s="1123">
        <f t="shared" si="78"/>
        <v>0</v>
      </c>
      <c r="O158" s="1124">
        <f t="shared" si="79"/>
        <v>0</v>
      </c>
      <c r="P158" s="1124">
        <f t="shared" si="80"/>
        <v>0</v>
      </c>
      <c r="Q158" s="1124">
        <f t="shared" si="81"/>
        <v>0</v>
      </c>
      <c r="R158" s="1124">
        <f t="shared" si="82"/>
        <v>0</v>
      </c>
      <c r="S158" s="1124">
        <f t="shared" si="83"/>
        <v>0</v>
      </c>
      <c r="T158" s="1125">
        <f t="shared" si="84"/>
        <v>0</v>
      </c>
      <c r="U158" s="1123">
        <f t="shared" si="85"/>
        <v>0</v>
      </c>
      <c r="V158" s="1124">
        <f t="shared" si="86"/>
        <v>0</v>
      </c>
      <c r="W158" s="1124">
        <f t="shared" si="87"/>
        <v>0</v>
      </c>
      <c r="X158" s="1124">
        <f t="shared" si="88"/>
        <v>0</v>
      </c>
      <c r="Y158" s="1124">
        <f t="shared" si="89"/>
        <v>0</v>
      </c>
      <c r="Z158" s="1124">
        <f t="shared" si="90"/>
        <v>0</v>
      </c>
      <c r="AA158" s="1125">
        <f t="shared" si="91"/>
        <v>0</v>
      </c>
      <c r="AB158" s="1123">
        <f t="shared" si="92"/>
        <v>0</v>
      </c>
      <c r="AC158" s="1124">
        <f t="shared" si="93"/>
        <v>0</v>
      </c>
      <c r="AD158" s="1124">
        <f t="shared" si="94"/>
        <v>0</v>
      </c>
      <c r="AE158" s="1124">
        <f t="shared" si="95"/>
        <v>0</v>
      </c>
      <c r="AF158" s="1124">
        <f t="shared" si="96"/>
        <v>0</v>
      </c>
      <c r="AG158" s="1124">
        <f t="shared" si="97"/>
        <v>0</v>
      </c>
      <c r="AH158" s="1125">
        <f t="shared" si="98"/>
        <v>0</v>
      </c>
      <c r="AI158" s="1126">
        <f t="shared" si="99"/>
        <v>0</v>
      </c>
      <c r="AJ158" s="1124">
        <f t="shared" si="100"/>
        <v>0</v>
      </c>
      <c r="AK158" s="1124">
        <f t="shared" si="101"/>
        <v>0</v>
      </c>
      <c r="AL158" s="1127">
        <f t="shared" si="102"/>
        <v>0</v>
      </c>
      <c r="AM158" s="1128">
        <f t="shared" si="103"/>
        <v>0.75</v>
      </c>
      <c r="AN158" s="2298">
        <f t="shared" si="104"/>
        <v>0</v>
      </c>
      <c r="AO158" s="2299"/>
      <c r="AP158" s="1093"/>
      <c r="AQ158" s="1093"/>
      <c r="AR158" s="1093"/>
    </row>
    <row r="159" spans="1:48">
      <c r="A159" s="989"/>
      <c r="B159" s="1057" t="s">
        <v>2055</v>
      </c>
      <c r="C159" s="2295" t="str">
        <f t="shared" si="69"/>
        <v>⑧：午前Ｂ（9：00～13：00）4ｈ</v>
      </c>
      <c r="D159" s="2296"/>
      <c r="E159" s="2297"/>
      <c r="F159" s="1122" t="str">
        <f t="shared" si="70"/>
        <v>⑧</v>
      </c>
      <c r="G159" s="1123">
        <f t="shared" si="71"/>
        <v>0</v>
      </c>
      <c r="H159" s="1124">
        <f t="shared" si="72"/>
        <v>0</v>
      </c>
      <c r="I159" s="1124">
        <f t="shared" si="73"/>
        <v>0</v>
      </c>
      <c r="J159" s="1124">
        <f t="shared" si="74"/>
        <v>0</v>
      </c>
      <c r="K159" s="1124">
        <f t="shared" si="75"/>
        <v>0</v>
      </c>
      <c r="L159" s="1124">
        <f t="shared" si="76"/>
        <v>0</v>
      </c>
      <c r="M159" s="1125">
        <f t="shared" si="77"/>
        <v>0</v>
      </c>
      <c r="N159" s="1123">
        <f t="shared" si="78"/>
        <v>0</v>
      </c>
      <c r="O159" s="1124">
        <f t="shared" si="79"/>
        <v>0</v>
      </c>
      <c r="P159" s="1124">
        <f t="shared" si="80"/>
        <v>0</v>
      </c>
      <c r="Q159" s="1124">
        <f t="shared" si="81"/>
        <v>0</v>
      </c>
      <c r="R159" s="1124">
        <f t="shared" si="82"/>
        <v>0</v>
      </c>
      <c r="S159" s="1124">
        <f t="shared" si="83"/>
        <v>0</v>
      </c>
      <c r="T159" s="1125">
        <f t="shared" si="84"/>
        <v>0</v>
      </c>
      <c r="U159" s="1123">
        <f t="shared" si="85"/>
        <v>0</v>
      </c>
      <c r="V159" s="1124">
        <f t="shared" si="86"/>
        <v>0</v>
      </c>
      <c r="W159" s="1124">
        <f t="shared" si="87"/>
        <v>0</v>
      </c>
      <c r="X159" s="1124">
        <f t="shared" si="88"/>
        <v>0</v>
      </c>
      <c r="Y159" s="1124">
        <f t="shared" si="89"/>
        <v>0</v>
      </c>
      <c r="Z159" s="1124">
        <f t="shared" si="90"/>
        <v>0</v>
      </c>
      <c r="AA159" s="1125">
        <f t="shared" si="91"/>
        <v>0</v>
      </c>
      <c r="AB159" s="1123">
        <f t="shared" si="92"/>
        <v>0</v>
      </c>
      <c r="AC159" s="1124">
        <f t="shared" si="93"/>
        <v>0</v>
      </c>
      <c r="AD159" s="1124">
        <f t="shared" si="94"/>
        <v>0</v>
      </c>
      <c r="AE159" s="1124">
        <f t="shared" si="95"/>
        <v>0</v>
      </c>
      <c r="AF159" s="1124">
        <f t="shared" si="96"/>
        <v>0</v>
      </c>
      <c r="AG159" s="1124">
        <f t="shared" si="97"/>
        <v>0</v>
      </c>
      <c r="AH159" s="1125">
        <f t="shared" si="98"/>
        <v>0</v>
      </c>
      <c r="AI159" s="1126">
        <f t="shared" si="99"/>
        <v>0</v>
      </c>
      <c r="AJ159" s="1124">
        <f t="shared" si="100"/>
        <v>0</v>
      </c>
      <c r="AK159" s="1124">
        <f t="shared" si="101"/>
        <v>0</v>
      </c>
      <c r="AL159" s="1127">
        <f t="shared" si="102"/>
        <v>0</v>
      </c>
      <c r="AM159" s="1128">
        <f t="shared" si="103"/>
        <v>0.25</v>
      </c>
      <c r="AN159" s="2298">
        <f t="shared" si="104"/>
        <v>0</v>
      </c>
      <c r="AO159" s="2299"/>
      <c r="AP159" s="1093"/>
      <c r="AQ159" s="1093"/>
      <c r="AR159" s="1093"/>
    </row>
    <row r="160" spans="1:48">
      <c r="A160" s="989"/>
      <c r="B160" s="1057" t="s">
        <v>2056</v>
      </c>
      <c r="C160" s="2295" t="str">
        <f t="shared" si="69"/>
        <v>⑨：午後Ｂ（13：00～17：00）4ｈ</v>
      </c>
      <c r="D160" s="2296"/>
      <c r="E160" s="2297"/>
      <c r="F160" s="1122" t="str">
        <f t="shared" si="70"/>
        <v>⑨</v>
      </c>
      <c r="G160" s="1123">
        <f t="shared" si="71"/>
        <v>0</v>
      </c>
      <c r="H160" s="1124">
        <f t="shared" si="72"/>
        <v>0</v>
      </c>
      <c r="I160" s="1124">
        <f t="shared" si="73"/>
        <v>0</v>
      </c>
      <c r="J160" s="1124">
        <f t="shared" si="74"/>
        <v>0</v>
      </c>
      <c r="K160" s="1124">
        <f t="shared" si="75"/>
        <v>0</v>
      </c>
      <c r="L160" s="1124">
        <f t="shared" si="76"/>
        <v>0</v>
      </c>
      <c r="M160" s="1125">
        <f t="shared" si="77"/>
        <v>0</v>
      </c>
      <c r="N160" s="1123">
        <f t="shared" si="78"/>
        <v>0</v>
      </c>
      <c r="O160" s="1124">
        <f t="shared" si="79"/>
        <v>0</v>
      </c>
      <c r="P160" s="1124">
        <f t="shared" si="80"/>
        <v>0</v>
      </c>
      <c r="Q160" s="1124">
        <f t="shared" si="81"/>
        <v>0</v>
      </c>
      <c r="R160" s="1124">
        <f t="shared" si="82"/>
        <v>0</v>
      </c>
      <c r="S160" s="1124">
        <f t="shared" si="83"/>
        <v>0</v>
      </c>
      <c r="T160" s="1125">
        <f t="shared" si="84"/>
        <v>0</v>
      </c>
      <c r="U160" s="1123">
        <f t="shared" si="85"/>
        <v>0</v>
      </c>
      <c r="V160" s="1124">
        <f t="shared" si="86"/>
        <v>0</v>
      </c>
      <c r="W160" s="1124">
        <f t="shared" si="87"/>
        <v>0</v>
      </c>
      <c r="X160" s="1124">
        <f t="shared" si="88"/>
        <v>0</v>
      </c>
      <c r="Y160" s="1124">
        <f t="shared" si="89"/>
        <v>0</v>
      </c>
      <c r="Z160" s="1124">
        <f t="shared" si="90"/>
        <v>0</v>
      </c>
      <c r="AA160" s="1125">
        <f t="shared" si="91"/>
        <v>0</v>
      </c>
      <c r="AB160" s="1123">
        <f t="shared" si="92"/>
        <v>0</v>
      </c>
      <c r="AC160" s="1124">
        <f t="shared" si="93"/>
        <v>0</v>
      </c>
      <c r="AD160" s="1124">
        <f t="shared" si="94"/>
        <v>0</v>
      </c>
      <c r="AE160" s="1124">
        <f t="shared" si="95"/>
        <v>0</v>
      </c>
      <c r="AF160" s="1124">
        <f t="shared" si="96"/>
        <v>0</v>
      </c>
      <c r="AG160" s="1124">
        <f t="shared" si="97"/>
        <v>0</v>
      </c>
      <c r="AH160" s="1125">
        <f t="shared" si="98"/>
        <v>0</v>
      </c>
      <c r="AI160" s="1126">
        <f t="shared" si="99"/>
        <v>0</v>
      </c>
      <c r="AJ160" s="1124">
        <f t="shared" si="100"/>
        <v>0</v>
      </c>
      <c r="AK160" s="1124">
        <f t="shared" si="101"/>
        <v>0</v>
      </c>
      <c r="AL160" s="1127">
        <f t="shared" si="102"/>
        <v>0</v>
      </c>
      <c r="AM160" s="1128">
        <f t="shared" si="103"/>
        <v>0.5</v>
      </c>
      <c r="AN160" s="2298">
        <f t="shared" si="104"/>
        <v>0</v>
      </c>
      <c r="AO160" s="2299"/>
      <c r="AP160" s="1093"/>
      <c r="AQ160" s="1093"/>
      <c r="AR160" s="1093"/>
    </row>
    <row r="161" spans="1:44">
      <c r="A161" s="989"/>
      <c r="B161" s="1057" t="s">
        <v>2057</v>
      </c>
      <c r="C161" s="2295" t="str">
        <f t="shared" si="69"/>
        <v>⑩：午後Ｃ（11：25～15：25）4ｈ</v>
      </c>
      <c r="D161" s="2296"/>
      <c r="E161" s="2297"/>
      <c r="F161" s="1122" t="str">
        <f t="shared" si="70"/>
        <v>⑩</v>
      </c>
      <c r="G161" s="1123">
        <f t="shared" si="71"/>
        <v>0</v>
      </c>
      <c r="H161" s="1124">
        <f t="shared" si="72"/>
        <v>0</v>
      </c>
      <c r="I161" s="1124">
        <f t="shared" si="73"/>
        <v>0</v>
      </c>
      <c r="J161" s="1124">
        <f t="shared" si="74"/>
        <v>0</v>
      </c>
      <c r="K161" s="1124">
        <f t="shared" si="75"/>
        <v>0</v>
      </c>
      <c r="L161" s="1124">
        <f t="shared" si="76"/>
        <v>0</v>
      </c>
      <c r="M161" s="1125">
        <f t="shared" si="77"/>
        <v>0</v>
      </c>
      <c r="N161" s="1123">
        <f t="shared" si="78"/>
        <v>0</v>
      </c>
      <c r="O161" s="1124">
        <f t="shared" si="79"/>
        <v>0</v>
      </c>
      <c r="P161" s="1124">
        <f t="shared" si="80"/>
        <v>0</v>
      </c>
      <c r="Q161" s="1124">
        <f t="shared" si="81"/>
        <v>0</v>
      </c>
      <c r="R161" s="1124">
        <f t="shared" si="82"/>
        <v>0</v>
      </c>
      <c r="S161" s="1124">
        <f t="shared" si="83"/>
        <v>0</v>
      </c>
      <c r="T161" s="1125">
        <f t="shared" si="84"/>
        <v>0</v>
      </c>
      <c r="U161" s="1123">
        <f t="shared" si="85"/>
        <v>0</v>
      </c>
      <c r="V161" s="1124">
        <f t="shared" si="86"/>
        <v>0</v>
      </c>
      <c r="W161" s="1124">
        <f t="shared" si="87"/>
        <v>0</v>
      </c>
      <c r="X161" s="1124">
        <f t="shared" si="88"/>
        <v>0</v>
      </c>
      <c r="Y161" s="1124">
        <f t="shared" si="89"/>
        <v>0</v>
      </c>
      <c r="Z161" s="1124">
        <f t="shared" si="90"/>
        <v>0</v>
      </c>
      <c r="AA161" s="1125">
        <f t="shared" si="91"/>
        <v>0</v>
      </c>
      <c r="AB161" s="1123">
        <f t="shared" si="92"/>
        <v>0</v>
      </c>
      <c r="AC161" s="1124">
        <f t="shared" si="93"/>
        <v>0</v>
      </c>
      <c r="AD161" s="1124">
        <f t="shared" si="94"/>
        <v>0</v>
      </c>
      <c r="AE161" s="1124">
        <f t="shared" si="95"/>
        <v>0</v>
      </c>
      <c r="AF161" s="1124">
        <f t="shared" si="96"/>
        <v>0</v>
      </c>
      <c r="AG161" s="1124">
        <f t="shared" si="97"/>
        <v>0</v>
      </c>
      <c r="AH161" s="1125">
        <f t="shared" si="98"/>
        <v>0</v>
      </c>
      <c r="AI161" s="1126">
        <f t="shared" si="99"/>
        <v>0</v>
      </c>
      <c r="AJ161" s="1124">
        <f t="shared" si="100"/>
        <v>0</v>
      </c>
      <c r="AK161" s="1124">
        <f t="shared" si="101"/>
        <v>0</v>
      </c>
      <c r="AL161" s="1127">
        <f t="shared" si="102"/>
        <v>0</v>
      </c>
      <c r="AM161" s="1128">
        <f t="shared" si="103"/>
        <v>0</v>
      </c>
      <c r="AN161" s="2298">
        <f t="shared" si="104"/>
        <v>0</v>
      </c>
      <c r="AO161" s="2299"/>
      <c r="AP161" s="1093"/>
      <c r="AQ161" s="1093"/>
      <c r="AR161" s="1093"/>
    </row>
    <row r="162" spans="1:44">
      <c r="A162" s="989"/>
      <c r="B162" s="1057" t="s">
        <v>2058</v>
      </c>
      <c r="C162" s="2295" t="str">
        <f t="shared" si="69"/>
        <v>⑪：午後Ｄ（16：00～20：00）4ｈ</v>
      </c>
      <c r="D162" s="2296"/>
      <c r="E162" s="2297"/>
      <c r="F162" s="1122" t="str">
        <f t="shared" si="70"/>
        <v>⑪</v>
      </c>
      <c r="G162" s="1123">
        <f t="shared" si="71"/>
        <v>0</v>
      </c>
      <c r="H162" s="1124">
        <f t="shared" si="72"/>
        <v>0</v>
      </c>
      <c r="I162" s="1124">
        <f t="shared" si="73"/>
        <v>0</v>
      </c>
      <c r="J162" s="1124">
        <f t="shared" si="74"/>
        <v>0</v>
      </c>
      <c r="K162" s="1124">
        <f t="shared" si="75"/>
        <v>0</v>
      </c>
      <c r="L162" s="1124">
        <f t="shared" si="76"/>
        <v>0</v>
      </c>
      <c r="M162" s="1125">
        <f t="shared" si="77"/>
        <v>0</v>
      </c>
      <c r="N162" s="1123">
        <f t="shared" si="78"/>
        <v>0</v>
      </c>
      <c r="O162" s="1124">
        <f t="shared" si="79"/>
        <v>0</v>
      </c>
      <c r="P162" s="1124">
        <f t="shared" si="80"/>
        <v>0</v>
      </c>
      <c r="Q162" s="1124">
        <f t="shared" si="81"/>
        <v>0</v>
      </c>
      <c r="R162" s="1124">
        <f t="shared" si="82"/>
        <v>0</v>
      </c>
      <c r="S162" s="1124">
        <f t="shared" si="83"/>
        <v>0</v>
      </c>
      <c r="T162" s="1125">
        <f t="shared" si="84"/>
        <v>0</v>
      </c>
      <c r="U162" s="1123">
        <f t="shared" si="85"/>
        <v>0</v>
      </c>
      <c r="V162" s="1124">
        <f t="shared" si="86"/>
        <v>0</v>
      </c>
      <c r="W162" s="1124">
        <f t="shared" si="87"/>
        <v>0</v>
      </c>
      <c r="X162" s="1124">
        <f t="shared" si="88"/>
        <v>0</v>
      </c>
      <c r="Y162" s="1124">
        <f t="shared" si="89"/>
        <v>0</v>
      </c>
      <c r="Z162" s="1124">
        <f t="shared" si="90"/>
        <v>0</v>
      </c>
      <c r="AA162" s="1125">
        <f t="shared" si="91"/>
        <v>0</v>
      </c>
      <c r="AB162" s="1123">
        <f t="shared" si="92"/>
        <v>0</v>
      </c>
      <c r="AC162" s="1124">
        <f t="shared" si="93"/>
        <v>0</v>
      </c>
      <c r="AD162" s="1124">
        <f t="shared" si="94"/>
        <v>0</v>
      </c>
      <c r="AE162" s="1124">
        <f t="shared" si="95"/>
        <v>0</v>
      </c>
      <c r="AF162" s="1124">
        <f t="shared" si="96"/>
        <v>0</v>
      </c>
      <c r="AG162" s="1124">
        <f t="shared" si="97"/>
        <v>0</v>
      </c>
      <c r="AH162" s="1125">
        <f t="shared" si="98"/>
        <v>0</v>
      </c>
      <c r="AI162" s="1126">
        <f t="shared" si="99"/>
        <v>0</v>
      </c>
      <c r="AJ162" s="1124">
        <f t="shared" si="100"/>
        <v>0</v>
      </c>
      <c r="AK162" s="1124">
        <f t="shared" si="101"/>
        <v>0</v>
      </c>
      <c r="AL162" s="1127">
        <f t="shared" si="102"/>
        <v>0</v>
      </c>
      <c r="AM162" s="1128">
        <f t="shared" si="103"/>
        <v>3.5</v>
      </c>
      <c r="AN162" s="2298">
        <f t="shared" si="104"/>
        <v>0</v>
      </c>
      <c r="AO162" s="2299"/>
      <c r="AP162" s="1093"/>
      <c r="AQ162" s="1093"/>
      <c r="AR162" s="1093"/>
    </row>
    <row r="163" spans="1:44">
      <c r="A163" s="989"/>
      <c r="B163" s="1057" t="s">
        <v>2059</v>
      </c>
      <c r="C163" s="2295" t="str">
        <f t="shared" si="69"/>
        <v>⑱：日勤Ｃ（8：40～17：00）7.5ｈ</v>
      </c>
      <c r="D163" s="2296"/>
      <c r="E163" s="2297"/>
      <c r="F163" s="1122" t="str">
        <f t="shared" si="70"/>
        <v>⑱</v>
      </c>
      <c r="G163" s="1123">
        <f t="shared" si="71"/>
        <v>0</v>
      </c>
      <c r="H163" s="1124">
        <f t="shared" si="72"/>
        <v>0</v>
      </c>
      <c r="I163" s="1124">
        <f t="shared" si="73"/>
        <v>0</v>
      </c>
      <c r="J163" s="1124">
        <f t="shared" si="74"/>
        <v>0</v>
      </c>
      <c r="K163" s="1124">
        <f t="shared" si="75"/>
        <v>0</v>
      </c>
      <c r="L163" s="1124">
        <f t="shared" si="76"/>
        <v>0</v>
      </c>
      <c r="M163" s="1125">
        <f t="shared" si="77"/>
        <v>0</v>
      </c>
      <c r="N163" s="1123">
        <f t="shared" si="78"/>
        <v>0</v>
      </c>
      <c r="O163" s="1124">
        <f t="shared" si="79"/>
        <v>0</v>
      </c>
      <c r="P163" s="1124">
        <f t="shared" si="80"/>
        <v>0</v>
      </c>
      <c r="Q163" s="1124">
        <f t="shared" si="81"/>
        <v>0</v>
      </c>
      <c r="R163" s="1124">
        <f t="shared" si="82"/>
        <v>0</v>
      </c>
      <c r="S163" s="1124">
        <f t="shared" si="83"/>
        <v>0</v>
      </c>
      <c r="T163" s="1125">
        <f t="shared" si="84"/>
        <v>0</v>
      </c>
      <c r="U163" s="1123">
        <f t="shared" si="85"/>
        <v>0</v>
      </c>
      <c r="V163" s="1124">
        <f t="shared" si="86"/>
        <v>0</v>
      </c>
      <c r="W163" s="1124">
        <f t="shared" si="87"/>
        <v>0</v>
      </c>
      <c r="X163" s="1124">
        <f t="shared" si="88"/>
        <v>0</v>
      </c>
      <c r="Y163" s="1124">
        <f t="shared" si="89"/>
        <v>0</v>
      </c>
      <c r="Z163" s="1124">
        <f t="shared" si="90"/>
        <v>0</v>
      </c>
      <c r="AA163" s="1125">
        <f t="shared" si="91"/>
        <v>0</v>
      </c>
      <c r="AB163" s="1123">
        <f t="shared" si="92"/>
        <v>0</v>
      </c>
      <c r="AC163" s="1124">
        <f t="shared" si="93"/>
        <v>0</v>
      </c>
      <c r="AD163" s="1124">
        <f t="shared" si="94"/>
        <v>0</v>
      </c>
      <c r="AE163" s="1124">
        <f t="shared" si="95"/>
        <v>0</v>
      </c>
      <c r="AF163" s="1124">
        <f t="shared" si="96"/>
        <v>0</v>
      </c>
      <c r="AG163" s="1124">
        <f t="shared" si="97"/>
        <v>0</v>
      </c>
      <c r="AH163" s="1125">
        <f t="shared" si="98"/>
        <v>0</v>
      </c>
      <c r="AI163" s="1126">
        <f t="shared" si="99"/>
        <v>0</v>
      </c>
      <c r="AJ163" s="1124">
        <f t="shared" si="100"/>
        <v>0</v>
      </c>
      <c r="AK163" s="1124">
        <f t="shared" si="101"/>
        <v>0</v>
      </c>
      <c r="AL163" s="1127">
        <f t="shared" si="102"/>
        <v>0</v>
      </c>
      <c r="AM163" s="1128">
        <f t="shared" si="103"/>
        <v>1.08</v>
      </c>
      <c r="AN163" s="2298">
        <f t="shared" si="104"/>
        <v>0</v>
      </c>
      <c r="AO163" s="2299"/>
      <c r="AP163" s="1093"/>
      <c r="AQ163" s="1093"/>
      <c r="AR163" s="1093"/>
    </row>
    <row r="164" spans="1:44">
      <c r="A164" s="989"/>
      <c r="B164" s="1057" t="s">
        <v>2060</v>
      </c>
      <c r="C164" s="2295" t="str">
        <f t="shared" si="69"/>
        <v>⑲：午前Ｃ（9：00～13：00）4ｈ</v>
      </c>
      <c r="D164" s="2296"/>
      <c r="E164" s="2297"/>
      <c r="F164" s="1122" t="str">
        <f t="shared" si="70"/>
        <v>⑲</v>
      </c>
      <c r="G164" s="1123">
        <f t="shared" si="71"/>
        <v>0</v>
      </c>
      <c r="H164" s="1124">
        <f t="shared" si="72"/>
        <v>0</v>
      </c>
      <c r="I164" s="1124">
        <f t="shared" si="73"/>
        <v>0</v>
      </c>
      <c r="J164" s="1124">
        <f t="shared" si="74"/>
        <v>0</v>
      </c>
      <c r="K164" s="1124">
        <f t="shared" si="75"/>
        <v>0</v>
      </c>
      <c r="L164" s="1124">
        <f t="shared" si="76"/>
        <v>0</v>
      </c>
      <c r="M164" s="1125">
        <f t="shared" si="77"/>
        <v>0</v>
      </c>
      <c r="N164" s="1123">
        <f t="shared" si="78"/>
        <v>0</v>
      </c>
      <c r="O164" s="1124">
        <f t="shared" si="79"/>
        <v>0</v>
      </c>
      <c r="P164" s="1124">
        <f t="shared" si="80"/>
        <v>0</v>
      </c>
      <c r="Q164" s="1124">
        <f t="shared" si="81"/>
        <v>0</v>
      </c>
      <c r="R164" s="1124">
        <f t="shared" si="82"/>
        <v>0</v>
      </c>
      <c r="S164" s="1124">
        <f t="shared" si="83"/>
        <v>0</v>
      </c>
      <c r="T164" s="1125">
        <f t="shared" si="84"/>
        <v>0</v>
      </c>
      <c r="U164" s="1123">
        <f t="shared" si="85"/>
        <v>0</v>
      </c>
      <c r="V164" s="1124">
        <f t="shared" si="86"/>
        <v>0</v>
      </c>
      <c r="W164" s="1124">
        <f t="shared" si="87"/>
        <v>0</v>
      </c>
      <c r="X164" s="1124">
        <f t="shared" si="88"/>
        <v>0</v>
      </c>
      <c r="Y164" s="1124">
        <f t="shared" si="89"/>
        <v>0</v>
      </c>
      <c r="Z164" s="1124">
        <f t="shared" si="90"/>
        <v>0</v>
      </c>
      <c r="AA164" s="1125">
        <f t="shared" si="91"/>
        <v>0</v>
      </c>
      <c r="AB164" s="1123">
        <f t="shared" si="92"/>
        <v>0</v>
      </c>
      <c r="AC164" s="1124">
        <f t="shared" si="93"/>
        <v>0</v>
      </c>
      <c r="AD164" s="1124">
        <f t="shared" si="94"/>
        <v>0</v>
      </c>
      <c r="AE164" s="1124">
        <f t="shared" si="95"/>
        <v>0</v>
      </c>
      <c r="AF164" s="1124">
        <f t="shared" si="96"/>
        <v>0</v>
      </c>
      <c r="AG164" s="1124">
        <f t="shared" si="97"/>
        <v>0</v>
      </c>
      <c r="AH164" s="1125">
        <f t="shared" si="98"/>
        <v>0</v>
      </c>
      <c r="AI164" s="1126">
        <f t="shared" si="99"/>
        <v>0</v>
      </c>
      <c r="AJ164" s="1124">
        <f t="shared" si="100"/>
        <v>0</v>
      </c>
      <c r="AK164" s="1124">
        <f t="shared" si="101"/>
        <v>0</v>
      </c>
      <c r="AL164" s="1127">
        <f t="shared" si="102"/>
        <v>0</v>
      </c>
      <c r="AM164" s="1128">
        <f t="shared" si="103"/>
        <v>0.25</v>
      </c>
      <c r="AN164" s="2298">
        <f t="shared" si="104"/>
        <v>0</v>
      </c>
      <c r="AO164" s="2299"/>
      <c r="AP164" s="1093"/>
      <c r="AQ164" s="1093"/>
      <c r="AR164" s="1093"/>
    </row>
    <row r="165" spans="1:44">
      <c r="A165" s="989"/>
      <c r="B165" s="1057" t="s">
        <v>2061</v>
      </c>
      <c r="C165" s="2295" t="str">
        <f t="shared" si="69"/>
        <v>⑳：午前Ｄ（7：10～11：10）4ｈ</v>
      </c>
      <c r="D165" s="2296"/>
      <c r="E165" s="2297"/>
      <c r="F165" s="1122" t="str">
        <f t="shared" si="70"/>
        <v>⑳</v>
      </c>
      <c r="G165" s="1123">
        <f t="shared" si="71"/>
        <v>0</v>
      </c>
      <c r="H165" s="1124">
        <f t="shared" si="72"/>
        <v>0</v>
      </c>
      <c r="I165" s="1124">
        <f t="shared" si="73"/>
        <v>0</v>
      </c>
      <c r="J165" s="1124">
        <f t="shared" si="74"/>
        <v>0</v>
      </c>
      <c r="K165" s="1124">
        <f t="shared" si="75"/>
        <v>0</v>
      </c>
      <c r="L165" s="1124">
        <f t="shared" si="76"/>
        <v>0</v>
      </c>
      <c r="M165" s="1125">
        <f t="shared" si="77"/>
        <v>0</v>
      </c>
      <c r="N165" s="1123">
        <f t="shared" si="78"/>
        <v>0</v>
      </c>
      <c r="O165" s="1124">
        <f t="shared" si="79"/>
        <v>0</v>
      </c>
      <c r="P165" s="1124">
        <f t="shared" si="80"/>
        <v>0</v>
      </c>
      <c r="Q165" s="1124">
        <f t="shared" si="81"/>
        <v>0</v>
      </c>
      <c r="R165" s="1124">
        <f t="shared" si="82"/>
        <v>0</v>
      </c>
      <c r="S165" s="1124">
        <f t="shared" si="83"/>
        <v>0</v>
      </c>
      <c r="T165" s="1125">
        <f t="shared" si="84"/>
        <v>0</v>
      </c>
      <c r="U165" s="1123">
        <f t="shared" si="85"/>
        <v>0</v>
      </c>
      <c r="V165" s="1124">
        <f t="shared" si="86"/>
        <v>0</v>
      </c>
      <c r="W165" s="1124">
        <f t="shared" si="87"/>
        <v>0</v>
      </c>
      <c r="X165" s="1124">
        <f t="shared" si="88"/>
        <v>0</v>
      </c>
      <c r="Y165" s="1124">
        <f t="shared" si="89"/>
        <v>0</v>
      </c>
      <c r="Z165" s="1124">
        <f t="shared" si="90"/>
        <v>0</v>
      </c>
      <c r="AA165" s="1125">
        <f t="shared" si="91"/>
        <v>0</v>
      </c>
      <c r="AB165" s="1123">
        <f t="shared" si="92"/>
        <v>0</v>
      </c>
      <c r="AC165" s="1124">
        <f t="shared" si="93"/>
        <v>0</v>
      </c>
      <c r="AD165" s="1124">
        <f t="shared" si="94"/>
        <v>0</v>
      </c>
      <c r="AE165" s="1124">
        <f t="shared" si="95"/>
        <v>0</v>
      </c>
      <c r="AF165" s="1124">
        <f t="shared" si="96"/>
        <v>0</v>
      </c>
      <c r="AG165" s="1124">
        <f t="shared" si="97"/>
        <v>0</v>
      </c>
      <c r="AH165" s="1125">
        <f t="shared" si="98"/>
        <v>0</v>
      </c>
      <c r="AI165" s="1126">
        <f t="shared" si="99"/>
        <v>0</v>
      </c>
      <c r="AJ165" s="1124">
        <f t="shared" si="100"/>
        <v>0</v>
      </c>
      <c r="AK165" s="1124">
        <f t="shared" si="101"/>
        <v>0</v>
      </c>
      <c r="AL165" s="1127">
        <f t="shared" si="102"/>
        <v>0</v>
      </c>
      <c r="AM165" s="1128">
        <f t="shared" si="103"/>
        <v>2.08</v>
      </c>
      <c r="AN165" s="2298">
        <f t="shared" si="104"/>
        <v>0</v>
      </c>
      <c r="AO165" s="2299"/>
      <c r="AP165" s="1093"/>
      <c r="AQ165" s="1093"/>
      <c r="AR165" s="1093"/>
    </row>
    <row r="166" spans="1:44">
      <c r="A166" s="989"/>
      <c r="B166" s="1057" t="s">
        <v>2062</v>
      </c>
      <c r="C166" s="2295" t="str">
        <f t="shared" si="69"/>
        <v>公：公休（～）ｈ</v>
      </c>
      <c r="D166" s="2296"/>
      <c r="E166" s="2297"/>
      <c r="F166" s="1122" t="str">
        <f t="shared" si="70"/>
        <v>公</v>
      </c>
      <c r="G166" s="1123">
        <f t="shared" si="71"/>
        <v>0</v>
      </c>
      <c r="H166" s="1124">
        <f t="shared" si="72"/>
        <v>0</v>
      </c>
      <c r="I166" s="1124">
        <f t="shared" si="73"/>
        <v>0</v>
      </c>
      <c r="J166" s="1124">
        <f t="shared" si="74"/>
        <v>0</v>
      </c>
      <c r="K166" s="1124">
        <f t="shared" si="75"/>
        <v>0</v>
      </c>
      <c r="L166" s="1124">
        <f t="shared" si="76"/>
        <v>0</v>
      </c>
      <c r="M166" s="1125">
        <f t="shared" si="77"/>
        <v>0</v>
      </c>
      <c r="N166" s="1123">
        <f t="shared" si="78"/>
        <v>0</v>
      </c>
      <c r="O166" s="1124">
        <f t="shared" si="79"/>
        <v>0</v>
      </c>
      <c r="P166" s="1124">
        <f t="shared" si="80"/>
        <v>0</v>
      </c>
      <c r="Q166" s="1124">
        <f t="shared" si="81"/>
        <v>0</v>
      </c>
      <c r="R166" s="1124">
        <f t="shared" si="82"/>
        <v>0</v>
      </c>
      <c r="S166" s="1124">
        <f t="shared" si="83"/>
        <v>0</v>
      </c>
      <c r="T166" s="1125">
        <f t="shared" si="84"/>
        <v>0</v>
      </c>
      <c r="U166" s="1123">
        <f t="shared" si="85"/>
        <v>0</v>
      </c>
      <c r="V166" s="1124">
        <f t="shared" si="86"/>
        <v>0</v>
      </c>
      <c r="W166" s="1124">
        <f t="shared" si="87"/>
        <v>0</v>
      </c>
      <c r="X166" s="1124">
        <f t="shared" si="88"/>
        <v>0</v>
      </c>
      <c r="Y166" s="1124">
        <f t="shared" si="89"/>
        <v>0</v>
      </c>
      <c r="Z166" s="1124">
        <f t="shared" si="90"/>
        <v>0</v>
      </c>
      <c r="AA166" s="1125">
        <f t="shared" si="91"/>
        <v>0</v>
      </c>
      <c r="AB166" s="1123">
        <f t="shared" si="92"/>
        <v>0</v>
      </c>
      <c r="AC166" s="1124">
        <f t="shared" si="93"/>
        <v>0</v>
      </c>
      <c r="AD166" s="1124">
        <f t="shared" si="94"/>
        <v>0</v>
      </c>
      <c r="AE166" s="1124">
        <f t="shared" si="95"/>
        <v>0</v>
      </c>
      <c r="AF166" s="1124">
        <f t="shared" si="96"/>
        <v>0</v>
      </c>
      <c r="AG166" s="1124">
        <f t="shared" si="97"/>
        <v>0</v>
      </c>
      <c r="AH166" s="1125">
        <f t="shared" si="98"/>
        <v>0</v>
      </c>
      <c r="AI166" s="1126">
        <f t="shared" si="99"/>
        <v>0</v>
      </c>
      <c r="AJ166" s="1124">
        <f t="shared" si="100"/>
        <v>0</v>
      </c>
      <c r="AK166" s="1124">
        <f t="shared" si="101"/>
        <v>0</v>
      </c>
      <c r="AL166" s="1127">
        <f t="shared" si="102"/>
        <v>0</v>
      </c>
      <c r="AM166" s="1128">
        <f t="shared" si="103"/>
        <v>0</v>
      </c>
      <c r="AN166" s="2298">
        <f t="shared" si="104"/>
        <v>0</v>
      </c>
      <c r="AO166" s="2299"/>
      <c r="AP166" s="1093"/>
      <c r="AQ166" s="1093"/>
      <c r="AR166" s="1093"/>
    </row>
    <row r="167" spans="1:44">
      <c r="A167" s="989"/>
      <c r="B167" s="1057" t="s">
        <v>2063</v>
      </c>
      <c r="C167" s="2295" t="str">
        <f t="shared" si="69"/>
        <v>有：有休（～）ｈ</v>
      </c>
      <c r="D167" s="2296"/>
      <c r="E167" s="2297"/>
      <c r="F167" s="1122" t="str">
        <f t="shared" si="70"/>
        <v>有</v>
      </c>
      <c r="G167" s="1123">
        <f t="shared" si="71"/>
        <v>0</v>
      </c>
      <c r="H167" s="1124">
        <f t="shared" si="72"/>
        <v>0</v>
      </c>
      <c r="I167" s="1124">
        <f t="shared" si="73"/>
        <v>0</v>
      </c>
      <c r="J167" s="1124">
        <f t="shared" si="74"/>
        <v>0</v>
      </c>
      <c r="K167" s="1124">
        <f t="shared" si="75"/>
        <v>0</v>
      </c>
      <c r="L167" s="1124">
        <f t="shared" si="76"/>
        <v>0</v>
      </c>
      <c r="M167" s="1125">
        <f t="shared" si="77"/>
        <v>0</v>
      </c>
      <c r="N167" s="1123">
        <f t="shared" si="78"/>
        <v>0</v>
      </c>
      <c r="O167" s="1124">
        <f t="shared" si="79"/>
        <v>0</v>
      </c>
      <c r="P167" s="1124">
        <f t="shared" si="80"/>
        <v>0</v>
      </c>
      <c r="Q167" s="1124">
        <f t="shared" si="81"/>
        <v>0</v>
      </c>
      <c r="R167" s="1124">
        <f t="shared" si="82"/>
        <v>0</v>
      </c>
      <c r="S167" s="1124">
        <f t="shared" si="83"/>
        <v>0</v>
      </c>
      <c r="T167" s="1125">
        <f t="shared" si="84"/>
        <v>0</v>
      </c>
      <c r="U167" s="1123">
        <f t="shared" si="85"/>
        <v>0</v>
      </c>
      <c r="V167" s="1124">
        <f t="shared" si="86"/>
        <v>0</v>
      </c>
      <c r="W167" s="1124">
        <f t="shared" si="87"/>
        <v>0</v>
      </c>
      <c r="X167" s="1124">
        <f t="shared" si="88"/>
        <v>0</v>
      </c>
      <c r="Y167" s="1124">
        <f t="shared" si="89"/>
        <v>0</v>
      </c>
      <c r="Z167" s="1124">
        <f t="shared" si="90"/>
        <v>0</v>
      </c>
      <c r="AA167" s="1125">
        <f t="shared" si="91"/>
        <v>0</v>
      </c>
      <c r="AB167" s="1123">
        <f t="shared" si="92"/>
        <v>0</v>
      </c>
      <c r="AC167" s="1124">
        <f t="shared" si="93"/>
        <v>0</v>
      </c>
      <c r="AD167" s="1124">
        <f t="shared" si="94"/>
        <v>0</v>
      </c>
      <c r="AE167" s="1124">
        <f t="shared" si="95"/>
        <v>0</v>
      </c>
      <c r="AF167" s="1124">
        <f t="shared" si="96"/>
        <v>0</v>
      </c>
      <c r="AG167" s="1124">
        <f t="shared" si="97"/>
        <v>0</v>
      </c>
      <c r="AH167" s="1125">
        <f t="shared" si="98"/>
        <v>0</v>
      </c>
      <c r="AI167" s="1126">
        <f t="shared" si="99"/>
        <v>0</v>
      </c>
      <c r="AJ167" s="1124">
        <f t="shared" si="100"/>
        <v>0</v>
      </c>
      <c r="AK167" s="1124">
        <f t="shared" si="101"/>
        <v>0</v>
      </c>
      <c r="AL167" s="1127">
        <f t="shared" si="102"/>
        <v>0</v>
      </c>
      <c r="AM167" s="1128">
        <f t="shared" si="103"/>
        <v>0</v>
      </c>
      <c r="AN167" s="2298">
        <f t="shared" si="104"/>
        <v>0</v>
      </c>
      <c r="AO167" s="2299"/>
      <c r="AP167" s="1093"/>
      <c r="AQ167" s="1093"/>
      <c r="AR167" s="1093"/>
    </row>
    <row r="168" spans="1:44">
      <c r="A168" s="989"/>
      <c r="B168" s="1057" t="s">
        <v>2064</v>
      </c>
      <c r="C168" s="2295" t="str">
        <f t="shared" si="69"/>
        <v>欠：欠勤（～）ｈ</v>
      </c>
      <c r="D168" s="2296"/>
      <c r="E168" s="2297"/>
      <c r="F168" s="1122" t="str">
        <f t="shared" si="70"/>
        <v>欠</v>
      </c>
      <c r="G168" s="1123">
        <f t="shared" si="71"/>
        <v>0</v>
      </c>
      <c r="H168" s="1124">
        <f t="shared" si="72"/>
        <v>0</v>
      </c>
      <c r="I168" s="1124">
        <f t="shared" si="73"/>
        <v>0</v>
      </c>
      <c r="J168" s="1124">
        <f t="shared" si="74"/>
        <v>0</v>
      </c>
      <c r="K168" s="1124">
        <f t="shared" si="75"/>
        <v>0</v>
      </c>
      <c r="L168" s="1124">
        <f t="shared" si="76"/>
        <v>0</v>
      </c>
      <c r="M168" s="1125">
        <f t="shared" si="77"/>
        <v>0</v>
      </c>
      <c r="N168" s="1123">
        <f t="shared" si="78"/>
        <v>0</v>
      </c>
      <c r="O168" s="1124">
        <f t="shared" si="79"/>
        <v>0</v>
      </c>
      <c r="P168" s="1124">
        <f t="shared" si="80"/>
        <v>0</v>
      </c>
      <c r="Q168" s="1124">
        <f t="shared" si="81"/>
        <v>0</v>
      </c>
      <c r="R168" s="1124">
        <f t="shared" si="82"/>
        <v>0</v>
      </c>
      <c r="S168" s="1124">
        <f t="shared" si="83"/>
        <v>0</v>
      </c>
      <c r="T168" s="1125">
        <f t="shared" si="84"/>
        <v>0</v>
      </c>
      <c r="U168" s="1123">
        <f t="shared" si="85"/>
        <v>0</v>
      </c>
      <c r="V168" s="1124">
        <f t="shared" si="86"/>
        <v>0</v>
      </c>
      <c r="W168" s="1124">
        <f t="shared" si="87"/>
        <v>0</v>
      </c>
      <c r="X168" s="1124">
        <f t="shared" si="88"/>
        <v>0</v>
      </c>
      <c r="Y168" s="1124">
        <f t="shared" si="89"/>
        <v>0</v>
      </c>
      <c r="Z168" s="1124">
        <f t="shared" si="90"/>
        <v>0</v>
      </c>
      <c r="AA168" s="1125">
        <f t="shared" si="91"/>
        <v>0</v>
      </c>
      <c r="AB168" s="1123">
        <f t="shared" si="92"/>
        <v>0</v>
      </c>
      <c r="AC168" s="1124">
        <f t="shared" si="93"/>
        <v>0</v>
      </c>
      <c r="AD168" s="1124">
        <f t="shared" si="94"/>
        <v>0</v>
      </c>
      <c r="AE168" s="1124">
        <f t="shared" si="95"/>
        <v>0</v>
      </c>
      <c r="AF168" s="1124">
        <f t="shared" si="96"/>
        <v>0</v>
      </c>
      <c r="AG168" s="1124">
        <f t="shared" si="97"/>
        <v>0</v>
      </c>
      <c r="AH168" s="1125">
        <f t="shared" si="98"/>
        <v>0</v>
      </c>
      <c r="AI168" s="1126">
        <f t="shared" si="99"/>
        <v>0</v>
      </c>
      <c r="AJ168" s="1124">
        <f t="shared" si="100"/>
        <v>0</v>
      </c>
      <c r="AK168" s="1124">
        <f t="shared" si="101"/>
        <v>0</v>
      </c>
      <c r="AL168" s="1127">
        <f t="shared" si="102"/>
        <v>0</v>
      </c>
      <c r="AM168" s="1128">
        <f t="shared" si="103"/>
        <v>0</v>
      </c>
      <c r="AN168" s="2298">
        <f t="shared" si="104"/>
        <v>0</v>
      </c>
      <c r="AO168" s="2299"/>
      <c r="AP168" s="1093"/>
      <c r="AQ168" s="1093"/>
      <c r="AR168" s="1093"/>
    </row>
    <row r="169" spans="1:44">
      <c r="A169" s="989"/>
      <c r="B169" s="1057" t="s">
        <v>2065</v>
      </c>
      <c r="C169" s="2295" t="str">
        <f t="shared" si="69"/>
        <v>特：特休（～）ｈ</v>
      </c>
      <c r="D169" s="2296"/>
      <c r="E169" s="2297"/>
      <c r="F169" s="1122" t="str">
        <f t="shared" si="70"/>
        <v>特</v>
      </c>
      <c r="G169" s="1123">
        <f t="shared" si="71"/>
        <v>0</v>
      </c>
      <c r="H169" s="1124">
        <f t="shared" si="72"/>
        <v>0</v>
      </c>
      <c r="I169" s="1124">
        <f t="shared" si="73"/>
        <v>0</v>
      </c>
      <c r="J169" s="1124">
        <f t="shared" si="74"/>
        <v>0</v>
      </c>
      <c r="K169" s="1124">
        <f t="shared" si="75"/>
        <v>0</v>
      </c>
      <c r="L169" s="1124">
        <f t="shared" si="76"/>
        <v>0</v>
      </c>
      <c r="M169" s="1125">
        <f t="shared" si="77"/>
        <v>0</v>
      </c>
      <c r="N169" s="1123">
        <f t="shared" si="78"/>
        <v>0</v>
      </c>
      <c r="O169" s="1124">
        <f t="shared" si="79"/>
        <v>0</v>
      </c>
      <c r="P169" s="1124">
        <f t="shared" si="80"/>
        <v>0</v>
      </c>
      <c r="Q169" s="1124">
        <f t="shared" si="81"/>
        <v>0</v>
      </c>
      <c r="R169" s="1124">
        <f t="shared" si="82"/>
        <v>0</v>
      </c>
      <c r="S169" s="1124">
        <f t="shared" si="83"/>
        <v>0</v>
      </c>
      <c r="T169" s="1125">
        <f t="shared" si="84"/>
        <v>0</v>
      </c>
      <c r="U169" s="1123">
        <f t="shared" si="85"/>
        <v>0</v>
      </c>
      <c r="V169" s="1124">
        <f t="shared" si="86"/>
        <v>0</v>
      </c>
      <c r="W169" s="1124">
        <f t="shared" si="87"/>
        <v>0</v>
      </c>
      <c r="X169" s="1124">
        <f t="shared" si="88"/>
        <v>0</v>
      </c>
      <c r="Y169" s="1124">
        <f t="shared" si="89"/>
        <v>0</v>
      </c>
      <c r="Z169" s="1124">
        <f t="shared" si="90"/>
        <v>0</v>
      </c>
      <c r="AA169" s="1125">
        <f t="shared" si="91"/>
        <v>0</v>
      </c>
      <c r="AB169" s="1123">
        <f t="shared" si="92"/>
        <v>0</v>
      </c>
      <c r="AC169" s="1124">
        <f t="shared" si="93"/>
        <v>0</v>
      </c>
      <c r="AD169" s="1124">
        <f t="shared" si="94"/>
        <v>0</v>
      </c>
      <c r="AE169" s="1124">
        <f t="shared" si="95"/>
        <v>0</v>
      </c>
      <c r="AF169" s="1124">
        <f t="shared" si="96"/>
        <v>0</v>
      </c>
      <c r="AG169" s="1124">
        <f t="shared" si="97"/>
        <v>0</v>
      </c>
      <c r="AH169" s="1125">
        <f t="shared" si="98"/>
        <v>0</v>
      </c>
      <c r="AI169" s="1126">
        <f t="shared" si="99"/>
        <v>0</v>
      </c>
      <c r="AJ169" s="1124">
        <f t="shared" si="100"/>
        <v>0</v>
      </c>
      <c r="AK169" s="1124">
        <f t="shared" si="101"/>
        <v>0</v>
      </c>
      <c r="AL169" s="1127">
        <f t="shared" si="102"/>
        <v>0</v>
      </c>
      <c r="AM169" s="1128">
        <f t="shared" si="103"/>
        <v>0</v>
      </c>
      <c r="AN169" s="2298">
        <f t="shared" si="104"/>
        <v>0</v>
      </c>
      <c r="AO169" s="2299"/>
      <c r="AP169" s="1093"/>
      <c r="AQ169" s="1093"/>
      <c r="AR169" s="1093"/>
    </row>
    <row r="170" spans="1:44">
      <c r="A170" s="989"/>
      <c r="B170" s="1057" t="s">
        <v>2066</v>
      </c>
      <c r="C170" s="2295" t="str">
        <f t="shared" si="69"/>
        <v>-：（～）ｈ</v>
      </c>
      <c r="D170" s="2296"/>
      <c r="E170" s="2297"/>
      <c r="F170" s="1122" t="str">
        <f t="shared" si="70"/>
        <v>-</v>
      </c>
      <c r="G170" s="1123">
        <f t="shared" si="71"/>
        <v>0</v>
      </c>
      <c r="H170" s="1124">
        <f t="shared" si="72"/>
        <v>0</v>
      </c>
      <c r="I170" s="1124">
        <f t="shared" si="73"/>
        <v>0</v>
      </c>
      <c r="J170" s="1124">
        <f t="shared" si="74"/>
        <v>0</v>
      </c>
      <c r="K170" s="1124">
        <f t="shared" si="75"/>
        <v>0</v>
      </c>
      <c r="L170" s="1124">
        <f t="shared" si="76"/>
        <v>0</v>
      </c>
      <c r="M170" s="1125">
        <f t="shared" si="77"/>
        <v>0</v>
      </c>
      <c r="N170" s="1123">
        <f t="shared" si="78"/>
        <v>0</v>
      </c>
      <c r="O170" s="1124">
        <f t="shared" si="79"/>
        <v>0</v>
      </c>
      <c r="P170" s="1124">
        <f t="shared" si="80"/>
        <v>0</v>
      </c>
      <c r="Q170" s="1124">
        <f t="shared" si="81"/>
        <v>0</v>
      </c>
      <c r="R170" s="1124">
        <f t="shared" si="82"/>
        <v>0</v>
      </c>
      <c r="S170" s="1124">
        <f t="shared" si="83"/>
        <v>0</v>
      </c>
      <c r="T170" s="1125">
        <f t="shared" si="84"/>
        <v>0</v>
      </c>
      <c r="U170" s="1123">
        <f t="shared" si="85"/>
        <v>0</v>
      </c>
      <c r="V170" s="1124">
        <f t="shared" si="86"/>
        <v>0</v>
      </c>
      <c r="W170" s="1124">
        <f t="shared" si="87"/>
        <v>0</v>
      </c>
      <c r="X170" s="1124">
        <f t="shared" si="88"/>
        <v>0</v>
      </c>
      <c r="Y170" s="1124">
        <f t="shared" si="89"/>
        <v>0</v>
      </c>
      <c r="Z170" s="1124">
        <f t="shared" si="90"/>
        <v>0</v>
      </c>
      <c r="AA170" s="1125">
        <f t="shared" si="91"/>
        <v>0</v>
      </c>
      <c r="AB170" s="1123">
        <f t="shared" si="92"/>
        <v>0</v>
      </c>
      <c r="AC170" s="1124">
        <f t="shared" si="93"/>
        <v>0</v>
      </c>
      <c r="AD170" s="1124">
        <f t="shared" si="94"/>
        <v>0</v>
      </c>
      <c r="AE170" s="1124">
        <f t="shared" si="95"/>
        <v>0</v>
      </c>
      <c r="AF170" s="1124">
        <f t="shared" si="96"/>
        <v>0</v>
      </c>
      <c r="AG170" s="1124">
        <f t="shared" si="97"/>
        <v>0</v>
      </c>
      <c r="AH170" s="1125">
        <f t="shared" si="98"/>
        <v>0</v>
      </c>
      <c r="AI170" s="1126">
        <f t="shared" si="99"/>
        <v>0</v>
      </c>
      <c r="AJ170" s="1124">
        <f t="shared" si="100"/>
        <v>0</v>
      </c>
      <c r="AK170" s="1124">
        <f t="shared" si="101"/>
        <v>0</v>
      </c>
      <c r="AL170" s="1127">
        <f t="shared" si="102"/>
        <v>0</v>
      </c>
      <c r="AM170" s="1128">
        <f t="shared" si="103"/>
        <v>0</v>
      </c>
      <c r="AN170" s="2298">
        <f t="shared" si="104"/>
        <v>0</v>
      </c>
      <c r="AO170" s="2299"/>
      <c r="AP170" s="1093"/>
      <c r="AQ170" s="1093"/>
      <c r="AR170" s="1093"/>
    </row>
    <row r="171" spans="1:44">
      <c r="A171" s="989"/>
      <c r="B171" s="1057" t="s">
        <v>2067</v>
      </c>
      <c r="C171" s="2295" t="str">
        <f t="shared" si="69"/>
        <v>-：（～）ｈ</v>
      </c>
      <c r="D171" s="2296"/>
      <c r="E171" s="2297"/>
      <c r="F171" s="1122" t="str">
        <f t="shared" si="70"/>
        <v>-</v>
      </c>
      <c r="G171" s="1123">
        <f t="shared" si="71"/>
        <v>0</v>
      </c>
      <c r="H171" s="1124">
        <f t="shared" si="72"/>
        <v>0</v>
      </c>
      <c r="I171" s="1124">
        <f t="shared" si="73"/>
        <v>0</v>
      </c>
      <c r="J171" s="1124">
        <f t="shared" si="74"/>
        <v>0</v>
      </c>
      <c r="K171" s="1124">
        <f t="shared" si="75"/>
        <v>0</v>
      </c>
      <c r="L171" s="1124">
        <f t="shared" si="76"/>
        <v>0</v>
      </c>
      <c r="M171" s="1125">
        <f t="shared" si="77"/>
        <v>0</v>
      </c>
      <c r="N171" s="1123">
        <f t="shared" si="78"/>
        <v>0</v>
      </c>
      <c r="O171" s="1124">
        <f t="shared" si="79"/>
        <v>0</v>
      </c>
      <c r="P171" s="1124">
        <f t="shared" si="80"/>
        <v>0</v>
      </c>
      <c r="Q171" s="1124">
        <f t="shared" si="81"/>
        <v>0</v>
      </c>
      <c r="R171" s="1124">
        <f t="shared" si="82"/>
        <v>0</v>
      </c>
      <c r="S171" s="1124">
        <f t="shared" si="83"/>
        <v>0</v>
      </c>
      <c r="T171" s="1125">
        <f t="shared" si="84"/>
        <v>0</v>
      </c>
      <c r="U171" s="1123">
        <f t="shared" si="85"/>
        <v>0</v>
      </c>
      <c r="V171" s="1124">
        <f t="shared" si="86"/>
        <v>0</v>
      </c>
      <c r="W171" s="1124">
        <f t="shared" si="87"/>
        <v>0</v>
      </c>
      <c r="X171" s="1124">
        <f t="shared" si="88"/>
        <v>0</v>
      </c>
      <c r="Y171" s="1124">
        <f t="shared" si="89"/>
        <v>0</v>
      </c>
      <c r="Z171" s="1124">
        <f t="shared" si="90"/>
        <v>0</v>
      </c>
      <c r="AA171" s="1125">
        <f t="shared" si="91"/>
        <v>0</v>
      </c>
      <c r="AB171" s="1123">
        <f t="shared" si="92"/>
        <v>0</v>
      </c>
      <c r="AC171" s="1124">
        <f t="shared" si="93"/>
        <v>0</v>
      </c>
      <c r="AD171" s="1124">
        <f t="shared" si="94"/>
        <v>0</v>
      </c>
      <c r="AE171" s="1124">
        <f t="shared" si="95"/>
        <v>0</v>
      </c>
      <c r="AF171" s="1124">
        <f t="shared" si="96"/>
        <v>0</v>
      </c>
      <c r="AG171" s="1124">
        <f t="shared" si="97"/>
        <v>0</v>
      </c>
      <c r="AH171" s="1125">
        <f t="shared" si="98"/>
        <v>0</v>
      </c>
      <c r="AI171" s="1126">
        <f t="shared" si="99"/>
        <v>0</v>
      </c>
      <c r="AJ171" s="1124">
        <f t="shared" si="100"/>
        <v>0</v>
      </c>
      <c r="AK171" s="1124">
        <f t="shared" si="101"/>
        <v>0</v>
      </c>
      <c r="AL171" s="1127">
        <f t="shared" si="102"/>
        <v>0</v>
      </c>
      <c r="AM171" s="1128">
        <f t="shared" si="103"/>
        <v>0</v>
      </c>
      <c r="AN171" s="2298">
        <f t="shared" si="104"/>
        <v>0</v>
      </c>
      <c r="AO171" s="2299"/>
      <c r="AP171" s="1093"/>
      <c r="AQ171" s="1093"/>
      <c r="AR171" s="1093"/>
    </row>
    <row r="172" spans="1:44">
      <c r="A172" s="989"/>
      <c r="B172" s="1057" t="s">
        <v>2068</v>
      </c>
      <c r="C172" s="2295" t="str">
        <f t="shared" si="69"/>
        <v>-：（～）ｈ</v>
      </c>
      <c r="D172" s="2296"/>
      <c r="E172" s="2297"/>
      <c r="F172" s="1122" t="str">
        <f t="shared" si="70"/>
        <v>-</v>
      </c>
      <c r="G172" s="1123">
        <f t="shared" si="71"/>
        <v>0</v>
      </c>
      <c r="H172" s="1124">
        <f t="shared" si="72"/>
        <v>0</v>
      </c>
      <c r="I172" s="1124">
        <f t="shared" si="73"/>
        <v>0</v>
      </c>
      <c r="J172" s="1124">
        <f t="shared" si="74"/>
        <v>0</v>
      </c>
      <c r="K172" s="1124">
        <f t="shared" si="75"/>
        <v>0</v>
      </c>
      <c r="L172" s="1124">
        <f t="shared" si="76"/>
        <v>0</v>
      </c>
      <c r="M172" s="1125">
        <f t="shared" si="77"/>
        <v>0</v>
      </c>
      <c r="N172" s="1123">
        <f t="shared" si="78"/>
        <v>0</v>
      </c>
      <c r="O172" s="1124">
        <f t="shared" si="79"/>
        <v>0</v>
      </c>
      <c r="P172" s="1124">
        <f t="shared" si="80"/>
        <v>0</v>
      </c>
      <c r="Q172" s="1124">
        <f t="shared" si="81"/>
        <v>0</v>
      </c>
      <c r="R172" s="1124">
        <f t="shared" si="82"/>
        <v>0</v>
      </c>
      <c r="S172" s="1124">
        <f t="shared" si="83"/>
        <v>0</v>
      </c>
      <c r="T172" s="1125">
        <f t="shared" si="84"/>
        <v>0</v>
      </c>
      <c r="U172" s="1123">
        <f t="shared" si="85"/>
        <v>0</v>
      </c>
      <c r="V172" s="1124">
        <f t="shared" si="86"/>
        <v>0</v>
      </c>
      <c r="W172" s="1124">
        <f t="shared" si="87"/>
        <v>0</v>
      </c>
      <c r="X172" s="1124">
        <f t="shared" si="88"/>
        <v>0</v>
      </c>
      <c r="Y172" s="1124">
        <f t="shared" si="89"/>
        <v>0</v>
      </c>
      <c r="Z172" s="1124">
        <f t="shared" si="90"/>
        <v>0</v>
      </c>
      <c r="AA172" s="1125">
        <f t="shared" si="91"/>
        <v>0</v>
      </c>
      <c r="AB172" s="1123">
        <f t="shared" si="92"/>
        <v>0</v>
      </c>
      <c r="AC172" s="1124">
        <f t="shared" si="93"/>
        <v>0</v>
      </c>
      <c r="AD172" s="1124">
        <f t="shared" si="94"/>
        <v>0</v>
      </c>
      <c r="AE172" s="1124">
        <f t="shared" si="95"/>
        <v>0</v>
      </c>
      <c r="AF172" s="1124">
        <f t="shared" si="96"/>
        <v>0</v>
      </c>
      <c r="AG172" s="1124">
        <f t="shared" si="97"/>
        <v>0</v>
      </c>
      <c r="AH172" s="1125">
        <f t="shared" si="98"/>
        <v>0</v>
      </c>
      <c r="AI172" s="1126">
        <f t="shared" si="99"/>
        <v>0</v>
      </c>
      <c r="AJ172" s="1124">
        <f t="shared" si="100"/>
        <v>0</v>
      </c>
      <c r="AK172" s="1124">
        <f t="shared" si="101"/>
        <v>0</v>
      </c>
      <c r="AL172" s="1127">
        <f t="shared" si="102"/>
        <v>0</v>
      </c>
      <c r="AM172" s="1128">
        <f t="shared" si="103"/>
        <v>0</v>
      </c>
      <c r="AN172" s="2298">
        <f t="shared" si="104"/>
        <v>0</v>
      </c>
      <c r="AO172" s="2299"/>
      <c r="AP172" s="1093"/>
      <c r="AQ172" s="1093"/>
      <c r="AR172" s="1093"/>
    </row>
    <row r="173" spans="1:44">
      <c r="A173" s="989"/>
      <c r="B173" s="1057" t="s">
        <v>2069</v>
      </c>
      <c r="C173" s="2295" t="str">
        <f t="shared" si="69"/>
        <v>-：（～）ｈ</v>
      </c>
      <c r="D173" s="2296"/>
      <c r="E173" s="2297"/>
      <c r="F173" s="1122" t="str">
        <f t="shared" si="70"/>
        <v>-</v>
      </c>
      <c r="G173" s="1123">
        <f t="shared" si="71"/>
        <v>0</v>
      </c>
      <c r="H173" s="1124">
        <f t="shared" si="72"/>
        <v>0</v>
      </c>
      <c r="I173" s="1124">
        <f t="shared" si="73"/>
        <v>0</v>
      </c>
      <c r="J173" s="1124">
        <f t="shared" si="74"/>
        <v>0</v>
      </c>
      <c r="K173" s="1124">
        <f t="shared" si="75"/>
        <v>0</v>
      </c>
      <c r="L173" s="1124">
        <f t="shared" si="76"/>
        <v>0</v>
      </c>
      <c r="M173" s="1125">
        <f t="shared" si="77"/>
        <v>0</v>
      </c>
      <c r="N173" s="1123">
        <f t="shared" si="78"/>
        <v>0</v>
      </c>
      <c r="O173" s="1124">
        <f t="shared" si="79"/>
        <v>0</v>
      </c>
      <c r="P173" s="1124">
        <f t="shared" si="80"/>
        <v>0</v>
      </c>
      <c r="Q173" s="1124">
        <f t="shared" si="81"/>
        <v>0</v>
      </c>
      <c r="R173" s="1124">
        <f t="shared" si="82"/>
        <v>0</v>
      </c>
      <c r="S173" s="1124">
        <f t="shared" si="83"/>
        <v>0</v>
      </c>
      <c r="T173" s="1125">
        <f t="shared" si="84"/>
        <v>0</v>
      </c>
      <c r="U173" s="1123">
        <f t="shared" si="85"/>
        <v>0</v>
      </c>
      <c r="V173" s="1124">
        <f t="shared" si="86"/>
        <v>0</v>
      </c>
      <c r="W173" s="1124">
        <f t="shared" si="87"/>
        <v>0</v>
      </c>
      <c r="X173" s="1124">
        <f t="shared" si="88"/>
        <v>0</v>
      </c>
      <c r="Y173" s="1124">
        <f t="shared" si="89"/>
        <v>0</v>
      </c>
      <c r="Z173" s="1124">
        <f t="shared" si="90"/>
        <v>0</v>
      </c>
      <c r="AA173" s="1125">
        <f t="shared" si="91"/>
        <v>0</v>
      </c>
      <c r="AB173" s="1123">
        <f t="shared" si="92"/>
        <v>0</v>
      </c>
      <c r="AC173" s="1124">
        <f t="shared" si="93"/>
        <v>0</v>
      </c>
      <c r="AD173" s="1124">
        <f t="shared" si="94"/>
        <v>0</v>
      </c>
      <c r="AE173" s="1124">
        <f t="shared" si="95"/>
        <v>0</v>
      </c>
      <c r="AF173" s="1124">
        <f t="shared" si="96"/>
        <v>0</v>
      </c>
      <c r="AG173" s="1124">
        <f t="shared" si="97"/>
        <v>0</v>
      </c>
      <c r="AH173" s="1125">
        <f t="shared" si="98"/>
        <v>0</v>
      </c>
      <c r="AI173" s="1126">
        <f t="shared" si="99"/>
        <v>0</v>
      </c>
      <c r="AJ173" s="1124">
        <f t="shared" si="100"/>
        <v>0</v>
      </c>
      <c r="AK173" s="1124">
        <f t="shared" si="101"/>
        <v>0</v>
      </c>
      <c r="AL173" s="1127">
        <f t="shared" si="102"/>
        <v>0</v>
      </c>
      <c r="AM173" s="1128">
        <f t="shared" si="103"/>
        <v>0</v>
      </c>
      <c r="AN173" s="2298">
        <f t="shared" si="104"/>
        <v>0</v>
      </c>
      <c r="AO173" s="2299"/>
      <c r="AP173" s="1093"/>
      <c r="AQ173" s="1093"/>
      <c r="AR173" s="1093"/>
    </row>
    <row r="174" spans="1:44">
      <c r="A174" s="989"/>
      <c r="B174" s="1057" t="s">
        <v>2070</v>
      </c>
      <c r="C174" s="2295" t="str">
        <f t="shared" si="69"/>
        <v>-：（～）ｈ</v>
      </c>
      <c r="D174" s="2296"/>
      <c r="E174" s="2297"/>
      <c r="F174" s="1122" t="str">
        <f t="shared" si="70"/>
        <v>-</v>
      </c>
      <c r="G174" s="1123">
        <f t="shared" si="71"/>
        <v>0</v>
      </c>
      <c r="H174" s="1124">
        <f t="shared" si="72"/>
        <v>0</v>
      </c>
      <c r="I174" s="1124">
        <f t="shared" si="73"/>
        <v>0</v>
      </c>
      <c r="J174" s="1124">
        <f t="shared" si="74"/>
        <v>0</v>
      </c>
      <c r="K174" s="1124">
        <f t="shared" si="75"/>
        <v>0</v>
      </c>
      <c r="L174" s="1124">
        <f t="shared" si="76"/>
        <v>0</v>
      </c>
      <c r="M174" s="1125">
        <f t="shared" si="77"/>
        <v>0</v>
      </c>
      <c r="N174" s="1123">
        <f t="shared" si="78"/>
        <v>0</v>
      </c>
      <c r="O174" s="1124">
        <f t="shared" si="79"/>
        <v>0</v>
      </c>
      <c r="P174" s="1124">
        <f t="shared" si="80"/>
        <v>0</v>
      </c>
      <c r="Q174" s="1124">
        <f t="shared" si="81"/>
        <v>0</v>
      </c>
      <c r="R174" s="1124">
        <f t="shared" si="82"/>
        <v>0</v>
      </c>
      <c r="S174" s="1124">
        <f t="shared" si="83"/>
        <v>0</v>
      </c>
      <c r="T174" s="1125">
        <f t="shared" si="84"/>
        <v>0</v>
      </c>
      <c r="U174" s="1123">
        <f t="shared" si="85"/>
        <v>0</v>
      </c>
      <c r="V174" s="1124">
        <f t="shared" si="86"/>
        <v>0</v>
      </c>
      <c r="W174" s="1124">
        <f t="shared" si="87"/>
        <v>0</v>
      </c>
      <c r="X174" s="1124">
        <f t="shared" si="88"/>
        <v>0</v>
      </c>
      <c r="Y174" s="1124">
        <f t="shared" si="89"/>
        <v>0</v>
      </c>
      <c r="Z174" s="1124">
        <f t="shared" si="90"/>
        <v>0</v>
      </c>
      <c r="AA174" s="1125">
        <f t="shared" si="91"/>
        <v>0</v>
      </c>
      <c r="AB174" s="1123">
        <f t="shared" si="92"/>
        <v>0</v>
      </c>
      <c r="AC174" s="1124">
        <f t="shared" si="93"/>
        <v>0</v>
      </c>
      <c r="AD174" s="1124">
        <f t="shared" si="94"/>
        <v>0</v>
      </c>
      <c r="AE174" s="1124">
        <f t="shared" si="95"/>
        <v>0</v>
      </c>
      <c r="AF174" s="1124">
        <f t="shared" si="96"/>
        <v>0</v>
      </c>
      <c r="AG174" s="1124">
        <f t="shared" si="97"/>
        <v>0</v>
      </c>
      <c r="AH174" s="1125">
        <f t="shared" si="98"/>
        <v>0</v>
      </c>
      <c r="AI174" s="1126">
        <f t="shared" si="99"/>
        <v>0</v>
      </c>
      <c r="AJ174" s="1124">
        <f t="shared" si="100"/>
        <v>0</v>
      </c>
      <c r="AK174" s="1124">
        <f t="shared" si="101"/>
        <v>0</v>
      </c>
      <c r="AL174" s="1127">
        <f t="shared" si="102"/>
        <v>0</v>
      </c>
      <c r="AM174" s="1128">
        <f t="shared" si="103"/>
        <v>0</v>
      </c>
      <c r="AN174" s="2298">
        <f t="shared" si="104"/>
        <v>0</v>
      </c>
      <c r="AO174" s="2299"/>
      <c r="AP174" s="1093"/>
      <c r="AQ174" s="1093"/>
      <c r="AR174" s="1093"/>
    </row>
    <row r="175" spans="1:44">
      <c r="A175" s="989"/>
      <c r="B175" s="1057" t="s">
        <v>2071</v>
      </c>
      <c r="C175" s="2301" t="str">
        <f t="shared" si="69"/>
        <v>-：（～）ｈ</v>
      </c>
      <c r="D175" s="2302"/>
      <c r="E175" s="2303"/>
      <c r="F175" s="1129" t="str">
        <f t="shared" si="70"/>
        <v>-</v>
      </c>
      <c r="G175" s="1130">
        <f t="shared" si="71"/>
        <v>0</v>
      </c>
      <c r="H175" s="1131">
        <f t="shared" si="72"/>
        <v>0</v>
      </c>
      <c r="I175" s="1131">
        <f t="shared" si="73"/>
        <v>0</v>
      </c>
      <c r="J175" s="1131">
        <f t="shared" si="74"/>
        <v>0</v>
      </c>
      <c r="K175" s="1131">
        <f t="shared" si="75"/>
        <v>0</v>
      </c>
      <c r="L175" s="1131">
        <f t="shared" si="76"/>
        <v>0</v>
      </c>
      <c r="M175" s="1132">
        <f t="shared" si="77"/>
        <v>0</v>
      </c>
      <c r="N175" s="1130">
        <f t="shared" si="78"/>
        <v>0</v>
      </c>
      <c r="O175" s="1131">
        <f t="shared" si="79"/>
        <v>0</v>
      </c>
      <c r="P175" s="1131">
        <f t="shared" si="80"/>
        <v>0</v>
      </c>
      <c r="Q175" s="1131">
        <f t="shared" si="81"/>
        <v>0</v>
      </c>
      <c r="R175" s="1131">
        <f t="shared" si="82"/>
        <v>0</v>
      </c>
      <c r="S175" s="1131">
        <f t="shared" si="83"/>
        <v>0</v>
      </c>
      <c r="T175" s="1132">
        <f t="shared" si="84"/>
        <v>0</v>
      </c>
      <c r="U175" s="1130">
        <f t="shared" si="85"/>
        <v>0</v>
      </c>
      <c r="V175" s="1131">
        <f t="shared" si="86"/>
        <v>0</v>
      </c>
      <c r="W175" s="1131">
        <f t="shared" si="87"/>
        <v>0</v>
      </c>
      <c r="X175" s="1131">
        <f t="shared" si="88"/>
        <v>0</v>
      </c>
      <c r="Y175" s="1131">
        <f t="shared" si="89"/>
        <v>0</v>
      </c>
      <c r="Z175" s="1131">
        <f t="shared" si="90"/>
        <v>0</v>
      </c>
      <c r="AA175" s="1132">
        <f t="shared" si="91"/>
        <v>0</v>
      </c>
      <c r="AB175" s="1130">
        <f t="shared" si="92"/>
        <v>0</v>
      </c>
      <c r="AC175" s="1131">
        <f t="shared" si="93"/>
        <v>0</v>
      </c>
      <c r="AD175" s="1131">
        <f t="shared" si="94"/>
        <v>0</v>
      </c>
      <c r="AE175" s="1131">
        <f t="shared" si="95"/>
        <v>0</v>
      </c>
      <c r="AF175" s="1131">
        <f t="shared" si="96"/>
        <v>0</v>
      </c>
      <c r="AG175" s="1131">
        <f t="shared" si="97"/>
        <v>0</v>
      </c>
      <c r="AH175" s="1132">
        <f t="shared" si="98"/>
        <v>0</v>
      </c>
      <c r="AI175" s="1133">
        <f t="shared" si="99"/>
        <v>0</v>
      </c>
      <c r="AJ175" s="1131">
        <f t="shared" si="100"/>
        <v>0</v>
      </c>
      <c r="AK175" s="1131">
        <f t="shared" si="101"/>
        <v>0</v>
      </c>
      <c r="AL175" s="1134">
        <f t="shared" si="102"/>
        <v>0</v>
      </c>
      <c r="AM175" s="1135">
        <f t="shared" si="103"/>
        <v>0</v>
      </c>
      <c r="AN175" s="2304">
        <f t="shared" si="104"/>
        <v>0</v>
      </c>
      <c r="AO175" s="2305"/>
      <c r="AP175" s="1093"/>
      <c r="AQ175" s="1093"/>
      <c r="AR175" s="1093"/>
    </row>
    <row r="176" spans="1:44" ht="13.5" customHeight="1">
      <c r="A176" s="989"/>
      <c r="C176" s="1136"/>
      <c r="G176" s="1137"/>
      <c r="H176" s="1001"/>
      <c r="I176" s="1001"/>
      <c r="J176" s="1001"/>
      <c r="K176" s="1001"/>
      <c r="L176" s="1001"/>
      <c r="M176" s="1001"/>
      <c r="N176" s="1001"/>
      <c r="O176" s="1001"/>
      <c r="P176" s="1001"/>
      <c r="Q176" s="1001"/>
      <c r="R176" s="1001"/>
      <c r="S176" s="1001"/>
      <c r="T176" s="1001"/>
      <c r="U176" s="1001"/>
      <c r="V176" s="1001"/>
      <c r="W176" s="1001"/>
      <c r="X176" s="1001"/>
      <c r="Y176" s="1001"/>
      <c r="Z176" s="1001"/>
      <c r="AA176" s="1001"/>
      <c r="AB176" s="1001"/>
      <c r="AC176" s="1001"/>
      <c r="AD176" s="1001"/>
      <c r="AE176" s="1001"/>
      <c r="AF176" s="1001"/>
      <c r="AG176" s="1001"/>
      <c r="AH176" s="1001"/>
      <c r="AI176" s="2306" t="s">
        <v>2072</v>
      </c>
      <c r="AJ176" s="2306"/>
      <c r="AK176" s="2306"/>
      <c r="AL176" s="2306"/>
      <c r="AM176" s="2307"/>
      <c r="AN176" s="2308">
        <f>SUM(AN151:AO175)</f>
        <v>0</v>
      </c>
      <c r="AO176" s="2309"/>
      <c r="AP176" s="1001"/>
      <c r="AQ176" s="1001"/>
      <c r="AR176" s="1001"/>
    </row>
    <row r="177" spans="1:44" ht="13.5" customHeight="1">
      <c r="A177" s="989"/>
      <c r="C177" s="1136"/>
      <c r="G177" s="1137"/>
      <c r="H177" s="1001"/>
      <c r="I177" s="1001"/>
      <c r="J177" s="1001"/>
      <c r="K177" s="1001"/>
      <c r="L177" s="1001"/>
      <c r="M177" s="1001"/>
      <c r="N177" s="1001"/>
      <c r="O177" s="1001"/>
      <c r="P177" s="1001"/>
      <c r="Q177" s="1001"/>
      <c r="R177" s="1001"/>
      <c r="S177" s="1001"/>
      <c r="T177" s="1001"/>
      <c r="U177" s="1001"/>
      <c r="V177" s="1001"/>
      <c r="W177" s="1001"/>
      <c r="X177" s="1001"/>
      <c r="Y177" s="1001"/>
      <c r="Z177" s="1001"/>
      <c r="AA177" s="1001"/>
      <c r="AB177" s="1001"/>
      <c r="AC177" s="1001"/>
      <c r="AD177" s="1001"/>
      <c r="AE177" s="1001"/>
      <c r="AF177" s="1001"/>
      <c r="AG177" s="1001"/>
      <c r="AH177" s="1001"/>
      <c r="AI177" s="1138"/>
      <c r="AJ177" s="1138"/>
      <c r="AK177" s="1138"/>
      <c r="AL177" s="1138"/>
      <c r="AM177" s="1138"/>
      <c r="AN177" s="1139"/>
      <c r="AO177" s="1139"/>
      <c r="AP177" s="1001"/>
      <c r="AQ177" s="1001"/>
      <c r="AR177" s="1001"/>
    </row>
    <row r="178" spans="1:44" ht="14.4">
      <c r="A178" s="989"/>
      <c r="C178" s="990" t="s">
        <v>2073</v>
      </c>
      <c r="G178" s="1137"/>
      <c r="H178" s="1001"/>
      <c r="I178" s="1001"/>
      <c r="J178" s="1001"/>
      <c r="K178" s="1001"/>
      <c r="L178" s="1001"/>
      <c r="M178" s="1001"/>
      <c r="N178" s="1001"/>
      <c r="O178" s="1001"/>
      <c r="P178" s="1001"/>
      <c r="Q178" s="1001"/>
      <c r="R178" s="1001"/>
      <c r="S178" s="1001"/>
      <c r="T178" s="1001"/>
      <c r="U178" s="1001"/>
      <c r="V178" s="1001"/>
      <c r="W178" s="1001"/>
      <c r="X178" s="1001"/>
      <c r="Y178" s="1001"/>
      <c r="Z178" s="1001"/>
      <c r="AA178" s="1001"/>
      <c r="AB178" s="1001"/>
      <c r="AC178" s="1001"/>
      <c r="AD178" s="1001"/>
      <c r="AE178" s="1001"/>
      <c r="AF178" s="1001"/>
      <c r="AG178" s="1001"/>
      <c r="AH178" s="1001"/>
      <c r="AI178" s="1001"/>
      <c r="AJ178" s="1001"/>
      <c r="AK178" s="1001"/>
      <c r="AL178" s="1001"/>
      <c r="AM178" s="1001"/>
      <c r="AN178" s="1001"/>
      <c r="AO178" s="1001"/>
      <c r="AP178" s="1001"/>
      <c r="AQ178" s="1001"/>
      <c r="AR178" s="1001"/>
    </row>
    <row r="179" spans="1:44">
      <c r="A179" s="989"/>
      <c r="C179" s="1136"/>
      <c r="G179" s="1137"/>
      <c r="H179" s="1001"/>
      <c r="I179" s="1001"/>
      <c r="J179" s="1001"/>
      <c r="K179" s="1001"/>
      <c r="L179" s="1001"/>
      <c r="M179" s="1001"/>
      <c r="N179" s="1001"/>
      <c r="O179" s="1001"/>
      <c r="P179" s="1001"/>
      <c r="Q179" s="1001"/>
      <c r="R179" s="1001"/>
      <c r="S179" s="1001"/>
      <c r="T179" s="1001"/>
      <c r="U179" s="1001"/>
      <c r="V179" s="1001"/>
      <c r="W179" s="1001"/>
      <c r="X179" s="1001"/>
      <c r="Y179" s="1001"/>
      <c r="Z179" s="1001"/>
      <c r="AA179" s="1001"/>
      <c r="AB179" s="1001"/>
      <c r="AC179" s="1001"/>
      <c r="AD179" s="1001"/>
      <c r="AE179" s="1001"/>
      <c r="AF179" s="1001"/>
      <c r="AG179" s="1001"/>
      <c r="AH179" s="1001"/>
      <c r="AI179" s="1001"/>
      <c r="AJ179" s="1001"/>
      <c r="AK179" s="1001"/>
      <c r="AL179" s="1001"/>
      <c r="AM179" s="1001"/>
      <c r="AN179" s="1001"/>
      <c r="AO179" s="1001"/>
      <c r="AP179" s="1001"/>
      <c r="AQ179" s="1001"/>
      <c r="AR179" s="1001"/>
    </row>
    <row r="180" spans="1:44">
      <c r="A180" s="989"/>
      <c r="C180" s="989" t="s">
        <v>2074</v>
      </c>
      <c r="G180" s="1137"/>
      <c r="H180" s="1001"/>
      <c r="I180" s="1001"/>
      <c r="J180" s="1001"/>
      <c r="K180" s="1001"/>
      <c r="L180" s="1001"/>
      <c r="M180" s="1001"/>
      <c r="N180" s="1001"/>
      <c r="O180" s="1001"/>
      <c r="P180" s="1001"/>
      <c r="Q180" s="1001"/>
      <c r="R180" s="1001"/>
      <c r="S180" s="1001"/>
      <c r="T180" s="1001"/>
      <c r="U180" s="1001"/>
      <c r="V180" s="1001"/>
      <c r="W180" s="1001"/>
      <c r="X180" s="1001"/>
      <c r="Y180" s="1001"/>
      <c r="Z180" s="1001"/>
      <c r="AA180" s="1001"/>
      <c r="AB180" s="1001"/>
      <c r="AC180" s="1001"/>
      <c r="AD180" s="1001"/>
      <c r="AE180" s="1001"/>
      <c r="AF180" s="1001"/>
      <c r="AG180" s="1001"/>
      <c r="AH180" s="1001"/>
      <c r="AI180" s="1001"/>
      <c r="AJ180" s="1001"/>
      <c r="AK180" s="1001"/>
      <c r="AL180" s="1001"/>
      <c r="AM180" s="1001"/>
      <c r="AN180" s="1001"/>
      <c r="AO180" s="1001"/>
      <c r="AP180" s="1001"/>
      <c r="AQ180" s="1001"/>
      <c r="AR180" s="1001"/>
    </row>
    <row r="181" spans="1:44">
      <c r="A181" s="989"/>
      <c r="C181" s="999" t="s">
        <v>2075</v>
      </c>
    </row>
    <row r="182" spans="1:44">
      <c r="A182" s="989"/>
      <c r="C182" s="999" t="s">
        <v>2076</v>
      </c>
    </row>
    <row r="183" spans="1:44">
      <c r="A183" s="989"/>
      <c r="C183" s="999" t="s">
        <v>2077</v>
      </c>
    </row>
    <row r="184" spans="1:44">
      <c r="A184" s="989"/>
      <c r="C184" s="999"/>
      <c r="D184" s="1001" t="s">
        <v>2078</v>
      </c>
    </row>
    <row r="185" spans="1:44">
      <c r="A185" s="989"/>
      <c r="C185" s="999" t="s">
        <v>2079</v>
      </c>
    </row>
    <row r="186" spans="1:44">
      <c r="A186" s="989"/>
      <c r="C186" s="999"/>
      <c r="D186" s="1001" t="s">
        <v>2080</v>
      </c>
      <c r="E186" s="1001"/>
      <c r="F186" s="1001"/>
    </row>
    <row r="187" spans="1:44">
      <c r="A187" s="989"/>
      <c r="C187" s="999" t="s">
        <v>2081</v>
      </c>
    </row>
    <row r="188" spans="1:44">
      <c r="A188" s="989"/>
      <c r="C188" s="999" t="s">
        <v>2082</v>
      </c>
    </row>
    <row r="189" spans="1:44">
      <c r="A189" s="989"/>
    </row>
    <row r="190" spans="1:44" ht="14.4">
      <c r="A190" s="989"/>
      <c r="C190" s="990" t="s">
        <v>2083</v>
      </c>
    </row>
    <row r="191" spans="1:44" ht="12.6" thickBot="1">
      <c r="A191" s="989"/>
    </row>
    <row r="192" spans="1:44">
      <c r="A192" s="989"/>
      <c r="C192" s="2310" t="s">
        <v>2084</v>
      </c>
      <c r="D192" s="2311"/>
      <c r="E192" s="2311"/>
      <c r="F192" s="1140"/>
      <c r="G192" s="2314"/>
      <c r="H192" s="2314"/>
      <c r="I192" s="2315" t="s">
        <v>2085</v>
      </c>
      <c r="J192" s="2315"/>
      <c r="K192" s="1141"/>
      <c r="L192" s="2315" t="s">
        <v>2086</v>
      </c>
      <c r="M192" s="2315"/>
      <c r="N192" s="2316">
        <f>G192*K192</f>
        <v>0</v>
      </c>
      <c r="O192" s="2316"/>
      <c r="P192" s="1142" t="s">
        <v>2087</v>
      </c>
      <c r="Q192" s="2317"/>
      <c r="R192" s="2317"/>
      <c r="Z192" s="2310" t="s">
        <v>2088</v>
      </c>
      <c r="AA192" s="2311"/>
      <c r="AB192" s="2311"/>
      <c r="AC192" s="2318"/>
      <c r="AD192" s="2328" t="s">
        <v>2089</v>
      </c>
      <c r="AE192" s="2329"/>
      <c r="AF192" s="2332"/>
      <c r="AG192" s="2332"/>
      <c r="AH192" s="2315" t="s">
        <v>2091</v>
      </c>
      <c r="AI192" s="2332"/>
      <c r="AJ192" s="2332"/>
      <c r="AK192" s="2334"/>
      <c r="AL192" s="2334"/>
      <c r="AM192" s="2336" t="s">
        <v>2093</v>
      </c>
    </row>
    <row r="193" spans="1:48" ht="12.6" thickBot="1">
      <c r="A193" s="989"/>
      <c r="C193" s="2312"/>
      <c r="D193" s="2313"/>
      <c r="E193" s="2313"/>
      <c r="F193" s="1143"/>
      <c r="G193" s="1143"/>
      <c r="H193" s="1143"/>
      <c r="I193" s="1144"/>
      <c r="J193" s="1144"/>
      <c r="K193" s="1145"/>
      <c r="L193" s="2325" t="s">
        <v>2094</v>
      </c>
      <c r="M193" s="2325"/>
      <c r="N193" s="2326">
        <f>N192*K193</f>
        <v>0</v>
      </c>
      <c r="O193" s="2326"/>
      <c r="P193" s="1146" t="s">
        <v>2095</v>
      </c>
      <c r="Z193" s="2312"/>
      <c r="AA193" s="2313"/>
      <c r="AB193" s="2313"/>
      <c r="AC193" s="2319"/>
      <c r="AD193" s="2330"/>
      <c r="AE193" s="2331"/>
      <c r="AF193" s="2333"/>
      <c r="AG193" s="2333"/>
      <c r="AH193" s="2325"/>
      <c r="AI193" s="2333"/>
      <c r="AJ193" s="2333"/>
      <c r="AK193" s="2335"/>
      <c r="AL193" s="2335"/>
      <c r="AM193" s="2337"/>
    </row>
    <row r="194" spans="1:48">
      <c r="A194" s="989"/>
      <c r="C194" s="1090"/>
      <c r="D194" s="1090"/>
      <c r="E194" s="1090"/>
      <c r="F194" s="1090"/>
      <c r="G194" s="1090"/>
      <c r="H194" s="1090"/>
      <c r="I194" s="1090"/>
      <c r="J194" s="1090"/>
      <c r="K194" s="1090"/>
      <c r="L194" s="1090"/>
      <c r="M194" s="1090"/>
      <c r="N194" s="1090"/>
      <c r="O194" s="1090"/>
      <c r="P194" s="1090"/>
      <c r="AC194" s="991" t="s">
        <v>2096</v>
      </c>
    </row>
    <row r="195" spans="1:48">
      <c r="A195" s="989"/>
      <c r="C195" s="1090"/>
      <c r="D195" s="1090"/>
      <c r="E195" s="1090"/>
      <c r="F195" s="1090"/>
      <c r="G195" s="1090"/>
      <c r="H195" s="1090"/>
      <c r="I195" s="989" t="s">
        <v>2097</v>
      </c>
      <c r="J195" s="1090"/>
      <c r="K195" s="1090"/>
      <c r="L195" s="1090"/>
      <c r="M195" s="1090"/>
      <c r="N195" s="1090"/>
      <c r="O195" s="1090"/>
      <c r="P195" s="1090"/>
      <c r="AC195" s="991"/>
    </row>
    <row r="196" spans="1:48" ht="15.9" customHeight="1" thickBot="1">
      <c r="A196" s="989"/>
      <c r="E196" s="1147" t="s">
        <v>1953</v>
      </c>
      <c r="F196" s="2320" t="s">
        <v>2098</v>
      </c>
      <c r="G196" s="2260"/>
      <c r="I196" s="2327" t="s">
        <v>2099</v>
      </c>
      <c r="J196" s="2327"/>
      <c r="K196" s="2327" t="s">
        <v>2100</v>
      </c>
      <c r="L196" s="2327"/>
      <c r="M196" s="2320" t="s">
        <v>2101</v>
      </c>
      <c r="N196" s="2258"/>
      <c r="O196" s="2258"/>
      <c r="P196" s="2258"/>
      <c r="Q196" s="2260"/>
      <c r="S196" s="2320" t="s">
        <v>2102</v>
      </c>
      <c r="T196" s="2258"/>
      <c r="U196" s="2258"/>
      <c r="V196" s="2258"/>
      <c r="W196" s="2260"/>
      <c r="Z196" s="2321"/>
      <c r="AA196" s="2321"/>
      <c r="AB196" s="2321"/>
      <c r="AC196" s="2321" t="s">
        <v>2103</v>
      </c>
      <c r="AD196" s="2321"/>
      <c r="AE196" s="2321"/>
      <c r="AF196" s="2321" t="s">
        <v>2104</v>
      </c>
      <c r="AG196" s="2321"/>
      <c r="AH196" s="2321"/>
      <c r="AI196" s="2321"/>
      <c r="AJ196" s="2321"/>
      <c r="AK196" s="2321" t="s">
        <v>2045</v>
      </c>
      <c r="AL196" s="2321"/>
      <c r="AM196" s="2321"/>
      <c r="AN196" s="1148" t="s">
        <v>2105</v>
      </c>
      <c r="AP196" s="2322" t="s">
        <v>2106</v>
      </c>
      <c r="AQ196" s="2323"/>
      <c r="AR196" s="2324"/>
    </row>
    <row r="197" spans="1:48" ht="15.9" customHeight="1">
      <c r="A197" s="989"/>
      <c r="E197" s="1149" t="s">
        <v>2107</v>
      </c>
      <c r="F197" s="2349">
        <f t="shared" ref="F197:F221" si="105">IF(E197="","",COUNTIF($C$10:$C$141,E197))</f>
        <v>0</v>
      </c>
      <c r="G197" s="2350"/>
      <c r="I197" s="2351">
        <f t="shared" ref="I197:I221" si="106">SUMIF($AN$10:$AN$141,E197,$AP$10:$AP$141)</f>
        <v>0</v>
      </c>
      <c r="J197" s="2351"/>
      <c r="K197" s="2351">
        <f t="shared" ref="K197:K221" si="107">SUMIF($AN$10:$AN$141,E197,$AR$10:$AR$141)</f>
        <v>0</v>
      </c>
      <c r="L197" s="2351"/>
      <c r="M197" s="2352">
        <f t="shared" ref="M197:M221" si="108">SUM(I197:L197)</f>
        <v>0</v>
      </c>
      <c r="N197" s="2338"/>
      <c r="O197" s="1150" t="s">
        <v>2108</v>
      </c>
      <c r="P197" s="2338">
        <f t="shared" ref="P197:P221" si="109">ROUNDDOWN(SUM(M197),1)</f>
        <v>0</v>
      </c>
      <c r="Q197" s="2339"/>
      <c r="S197" s="2353">
        <f t="shared" ref="S197:S221" si="110">SUMIF($AN$10:$AN$141,E197,$AQ$10:$AQ$141)</f>
        <v>0</v>
      </c>
      <c r="T197" s="2354"/>
      <c r="U197" s="1150" t="s">
        <v>2108</v>
      </c>
      <c r="V197" s="2338">
        <f>ROUNDDOWN(SUM(S197),1)</f>
        <v>0</v>
      </c>
      <c r="W197" s="2339"/>
      <c r="Y197" s="1151" t="s">
        <v>2109</v>
      </c>
      <c r="Z197" s="2340"/>
      <c r="AA197" s="2341"/>
      <c r="AB197" s="2341"/>
      <c r="AC197" s="1152" t="s">
        <v>2110</v>
      </c>
      <c r="AD197" s="2342" t="s">
        <v>2111</v>
      </c>
      <c r="AE197" s="2343"/>
      <c r="AF197" s="2344" t="s">
        <v>2090</v>
      </c>
      <c r="AG197" s="2345"/>
      <c r="AH197" s="1153" t="s">
        <v>2091</v>
      </c>
      <c r="AI197" s="2345" t="s">
        <v>2112</v>
      </c>
      <c r="AJ197" s="2346"/>
      <c r="AK197" s="2347">
        <v>7.5</v>
      </c>
      <c r="AL197" s="2348"/>
      <c r="AM197" s="1154" t="s">
        <v>2093</v>
      </c>
      <c r="AN197" s="1155" t="str">
        <f>CONCATENATE(AC197,"：",AD197,"（",AK197,AM197,"）、")</f>
        <v>夜：夜勤（7.5ｈ）、</v>
      </c>
      <c r="AO197" s="989" t="str">
        <f>IF(AC197="","",AC197)</f>
        <v>夜</v>
      </c>
      <c r="AP197" s="1156">
        <v>7.5</v>
      </c>
      <c r="AQ197" s="1157"/>
      <c r="AR197" s="1158">
        <f>SUM(AP197:AQ197)</f>
        <v>7.5</v>
      </c>
      <c r="AU197" s="1159"/>
      <c r="AV197" s="1160"/>
    </row>
    <row r="198" spans="1:48" ht="15.9" customHeight="1" thickBot="1">
      <c r="A198" s="989"/>
      <c r="E198" s="1161" t="s">
        <v>2113</v>
      </c>
      <c r="F198" s="2366">
        <f t="shared" si="105"/>
        <v>0</v>
      </c>
      <c r="G198" s="2367"/>
      <c r="I198" s="2368">
        <f t="shared" si="106"/>
        <v>0</v>
      </c>
      <c r="J198" s="2368"/>
      <c r="K198" s="2368">
        <f t="shared" si="107"/>
        <v>0</v>
      </c>
      <c r="L198" s="2368"/>
      <c r="M198" s="2369">
        <f t="shared" si="108"/>
        <v>0</v>
      </c>
      <c r="N198" s="2355"/>
      <c r="O198" s="1162" t="s">
        <v>2108</v>
      </c>
      <c r="P198" s="2355">
        <f t="shared" si="109"/>
        <v>0</v>
      </c>
      <c r="Q198" s="2356"/>
      <c r="S198" s="2370">
        <f t="shared" si="110"/>
        <v>0</v>
      </c>
      <c r="T198" s="2371"/>
      <c r="U198" s="1162" t="s">
        <v>2108</v>
      </c>
      <c r="V198" s="2355">
        <f t="shared" ref="V198:V221" si="111">ROUNDDOWN(SUM(S198),1)</f>
        <v>0</v>
      </c>
      <c r="W198" s="2356"/>
      <c r="Y198" s="1151" t="s">
        <v>2114</v>
      </c>
      <c r="Z198" s="2357"/>
      <c r="AA198" s="2358"/>
      <c r="AB198" s="2358"/>
      <c r="AC198" s="1163" t="s">
        <v>2115</v>
      </c>
      <c r="AD198" s="2359" t="s">
        <v>2116</v>
      </c>
      <c r="AE198" s="2360"/>
      <c r="AF198" s="2361" t="s">
        <v>2112</v>
      </c>
      <c r="AG198" s="2362"/>
      <c r="AH198" s="1164" t="s">
        <v>2091</v>
      </c>
      <c r="AI198" s="2362" t="s">
        <v>2092</v>
      </c>
      <c r="AJ198" s="2363"/>
      <c r="AK198" s="2364">
        <v>7.25</v>
      </c>
      <c r="AL198" s="2365"/>
      <c r="AM198" s="1165" t="s">
        <v>2093</v>
      </c>
      <c r="AN198" s="1166" t="str">
        <f t="shared" ref="AN198:AN221" si="112">CONCATENATE(AC198,"：",AD198,"（",AK198,AM198,"）、")</f>
        <v>明：明け（7.25ｈ）、</v>
      </c>
      <c r="AO198" s="989" t="str">
        <f t="shared" ref="AO198:AO221" si="113">IF(AC198="","",AC198)</f>
        <v>明</v>
      </c>
      <c r="AP198" s="1167"/>
      <c r="AQ198" s="1168">
        <v>7.25</v>
      </c>
      <c r="AR198" s="1169">
        <f t="shared" ref="AR198:AR221" si="114">SUM(AP198:AQ198)</f>
        <v>7.25</v>
      </c>
      <c r="AU198" s="1159"/>
      <c r="AV198" s="1160"/>
    </row>
    <row r="199" spans="1:48" ht="15.9" customHeight="1">
      <c r="A199" s="989"/>
      <c r="E199" s="1161" t="s">
        <v>2117</v>
      </c>
      <c r="F199" s="2366">
        <f t="shared" si="105"/>
        <v>0</v>
      </c>
      <c r="G199" s="2367"/>
      <c r="I199" s="2368">
        <f t="shared" si="106"/>
        <v>0</v>
      </c>
      <c r="J199" s="2368"/>
      <c r="K199" s="2368">
        <f t="shared" si="107"/>
        <v>0</v>
      </c>
      <c r="L199" s="2368"/>
      <c r="M199" s="2369">
        <f t="shared" si="108"/>
        <v>0</v>
      </c>
      <c r="N199" s="2355"/>
      <c r="O199" s="1162" t="s">
        <v>2108</v>
      </c>
      <c r="P199" s="2355">
        <f t="shared" si="109"/>
        <v>0</v>
      </c>
      <c r="Q199" s="2356"/>
      <c r="S199" s="2370">
        <f t="shared" si="110"/>
        <v>0</v>
      </c>
      <c r="T199" s="2371"/>
      <c r="U199" s="1162" t="s">
        <v>2108</v>
      </c>
      <c r="V199" s="2355">
        <f t="shared" si="111"/>
        <v>0</v>
      </c>
      <c r="W199" s="2356"/>
      <c r="Y199" s="1151" t="s">
        <v>2118</v>
      </c>
      <c r="Z199" s="2372"/>
      <c r="AA199" s="2372"/>
      <c r="AB199" s="2372"/>
      <c r="AC199" s="1170" t="s">
        <v>2040</v>
      </c>
      <c r="AD199" s="2373" t="s">
        <v>2119</v>
      </c>
      <c r="AE199" s="2374"/>
      <c r="AF199" s="2375" t="s">
        <v>2120</v>
      </c>
      <c r="AG199" s="2376"/>
      <c r="AH199" s="1171" t="s">
        <v>2091</v>
      </c>
      <c r="AI199" s="2376" t="s">
        <v>2121</v>
      </c>
      <c r="AJ199" s="2377"/>
      <c r="AK199" s="2378">
        <v>7.75</v>
      </c>
      <c r="AL199" s="2379"/>
      <c r="AM199" s="1172" t="s">
        <v>2093</v>
      </c>
      <c r="AN199" s="1173" t="str">
        <f t="shared" si="112"/>
        <v>①：日勤Ａ（7.75ｈ）、</v>
      </c>
      <c r="AO199" s="989" t="str">
        <f t="shared" si="113"/>
        <v>①</v>
      </c>
      <c r="AP199" s="1174">
        <v>0.57999999999999996</v>
      </c>
      <c r="AQ199" s="1174">
        <v>0.75</v>
      </c>
      <c r="AR199" s="1175">
        <f t="shared" si="114"/>
        <v>1.33</v>
      </c>
      <c r="AU199" s="1159"/>
      <c r="AV199" s="1160"/>
    </row>
    <row r="200" spans="1:48" ht="15.9" customHeight="1">
      <c r="A200" s="989"/>
      <c r="E200" s="1161" t="s">
        <v>2122</v>
      </c>
      <c r="F200" s="2366">
        <f t="shared" si="105"/>
        <v>0</v>
      </c>
      <c r="G200" s="2367"/>
      <c r="I200" s="2368">
        <f t="shared" si="106"/>
        <v>0</v>
      </c>
      <c r="J200" s="2368"/>
      <c r="K200" s="2368">
        <f t="shared" si="107"/>
        <v>0</v>
      </c>
      <c r="L200" s="2368"/>
      <c r="M200" s="2369">
        <f t="shared" si="108"/>
        <v>0</v>
      </c>
      <c r="N200" s="2355"/>
      <c r="O200" s="1162" t="s">
        <v>2108</v>
      </c>
      <c r="P200" s="2355">
        <f t="shared" si="109"/>
        <v>0</v>
      </c>
      <c r="Q200" s="2356"/>
      <c r="S200" s="2370">
        <f t="shared" si="110"/>
        <v>0</v>
      </c>
      <c r="T200" s="2371"/>
      <c r="U200" s="1162" t="s">
        <v>2108</v>
      </c>
      <c r="V200" s="2355">
        <f t="shared" si="111"/>
        <v>0</v>
      </c>
      <c r="W200" s="2356"/>
      <c r="Y200" s="1151" t="s">
        <v>2123</v>
      </c>
      <c r="Z200" s="2380"/>
      <c r="AA200" s="2380"/>
      <c r="AB200" s="2380"/>
      <c r="AC200" s="1176" t="s">
        <v>2041</v>
      </c>
      <c r="AD200" s="2381" t="s">
        <v>2124</v>
      </c>
      <c r="AE200" s="2382"/>
      <c r="AF200" s="2383" t="s">
        <v>2125</v>
      </c>
      <c r="AG200" s="2384"/>
      <c r="AH200" s="1177" t="s">
        <v>2091</v>
      </c>
      <c r="AI200" s="2384" t="s">
        <v>2126</v>
      </c>
      <c r="AJ200" s="2385"/>
      <c r="AK200" s="2386">
        <v>7.75</v>
      </c>
      <c r="AL200" s="2387"/>
      <c r="AM200" s="1178" t="s">
        <v>2093</v>
      </c>
      <c r="AN200" s="1179" t="str">
        <f t="shared" si="112"/>
        <v>②：早出（7.75ｈ）、</v>
      </c>
      <c r="AO200" s="989" t="str">
        <f t="shared" si="113"/>
        <v>②</v>
      </c>
      <c r="AP200" s="1180">
        <v>2.08</v>
      </c>
      <c r="AQ200" s="1180"/>
      <c r="AR200" s="1181">
        <f t="shared" si="114"/>
        <v>2.08</v>
      </c>
      <c r="AU200" s="1159"/>
      <c r="AV200" s="1160"/>
    </row>
    <row r="201" spans="1:48" ht="15.9" customHeight="1">
      <c r="A201" s="989"/>
      <c r="E201" s="1182" t="s">
        <v>2127</v>
      </c>
      <c r="F201" s="2366">
        <f t="shared" si="105"/>
        <v>0</v>
      </c>
      <c r="G201" s="2367"/>
      <c r="I201" s="2368">
        <f t="shared" si="106"/>
        <v>0</v>
      </c>
      <c r="J201" s="2368"/>
      <c r="K201" s="2368">
        <f t="shared" si="107"/>
        <v>0</v>
      </c>
      <c r="L201" s="2368"/>
      <c r="M201" s="2369">
        <f t="shared" si="108"/>
        <v>0</v>
      </c>
      <c r="N201" s="2355"/>
      <c r="O201" s="1162" t="s">
        <v>2108</v>
      </c>
      <c r="P201" s="2355">
        <f t="shared" si="109"/>
        <v>0</v>
      </c>
      <c r="Q201" s="2356"/>
      <c r="S201" s="2370">
        <f t="shared" si="110"/>
        <v>0</v>
      </c>
      <c r="T201" s="2371"/>
      <c r="U201" s="1162" t="s">
        <v>2108</v>
      </c>
      <c r="V201" s="2355">
        <f t="shared" si="111"/>
        <v>0</v>
      </c>
      <c r="W201" s="2356"/>
      <c r="Y201" s="1151" t="s">
        <v>2128</v>
      </c>
      <c r="Z201" s="2380"/>
      <c r="AA201" s="2380"/>
      <c r="AB201" s="2380"/>
      <c r="AC201" s="1176" t="s">
        <v>2042</v>
      </c>
      <c r="AD201" s="2381" t="s">
        <v>2129</v>
      </c>
      <c r="AE201" s="2382"/>
      <c r="AF201" s="2383" t="s">
        <v>2130</v>
      </c>
      <c r="AG201" s="2384"/>
      <c r="AH201" s="1177" t="s">
        <v>2091</v>
      </c>
      <c r="AI201" s="2384" t="s">
        <v>2131</v>
      </c>
      <c r="AJ201" s="2385"/>
      <c r="AK201" s="2386">
        <v>7.75</v>
      </c>
      <c r="AL201" s="2387"/>
      <c r="AM201" s="1178" t="s">
        <v>2093</v>
      </c>
      <c r="AN201" s="1179" t="str">
        <f t="shared" si="112"/>
        <v>③：遅出（7.75ｈ）、</v>
      </c>
      <c r="AO201" s="989" t="str">
        <f t="shared" si="113"/>
        <v>③</v>
      </c>
      <c r="AP201" s="1180"/>
      <c r="AQ201" s="1180">
        <v>2.5</v>
      </c>
      <c r="AR201" s="1181">
        <f t="shared" si="114"/>
        <v>2.5</v>
      </c>
      <c r="AU201" s="1159"/>
      <c r="AV201" s="1160"/>
    </row>
    <row r="202" spans="1:48" ht="15.9" customHeight="1">
      <c r="A202" s="989"/>
      <c r="E202" s="1182" t="s">
        <v>2132</v>
      </c>
      <c r="F202" s="2366">
        <f t="shared" si="105"/>
        <v>0</v>
      </c>
      <c r="G202" s="2367"/>
      <c r="I202" s="2368">
        <f t="shared" si="106"/>
        <v>0</v>
      </c>
      <c r="J202" s="2368"/>
      <c r="K202" s="2368">
        <f t="shared" si="107"/>
        <v>0</v>
      </c>
      <c r="L202" s="2368"/>
      <c r="M202" s="2369">
        <f t="shared" si="108"/>
        <v>0</v>
      </c>
      <c r="N202" s="2355"/>
      <c r="O202" s="1162" t="s">
        <v>2108</v>
      </c>
      <c r="P202" s="2355">
        <f t="shared" si="109"/>
        <v>0</v>
      </c>
      <c r="Q202" s="2356"/>
      <c r="S202" s="2370">
        <f t="shared" si="110"/>
        <v>0</v>
      </c>
      <c r="T202" s="2371"/>
      <c r="U202" s="1162" t="s">
        <v>2108</v>
      </c>
      <c r="V202" s="2355">
        <f t="shared" si="111"/>
        <v>0</v>
      </c>
      <c r="W202" s="2356"/>
      <c r="Y202" s="1151" t="s">
        <v>2133</v>
      </c>
      <c r="Z202" s="2380"/>
      <c r="AA202" s="2380"/>
      <c r="AB202" s="2380"/>
      <c r="AC202" s="1176" t="s">
        <v>2134</v>
      </c>
      <c r="AD202" s="2381" t="s">
        <v>2135</v>
      </c>
      <c r="AE202" s="2382"/>
      <c r="AF202" s="2383" t="s">
        <v>2120</v>
      </c>
      <c r="AG202" s="2384"/>
      <c r="AH202" s="1177" t="s">
        <v>2091</v>
      </c>
      <c r="AI202" s="2384" t="s">
        <v>2136</v>
      </c>
      <c r="AJ202" s="2385"/>
      <c r="AK202" s="2386">
        <v>4</v>
      </c>
      <c r="AL202" s="2387"/>
      <c r="AM202" s="1178" t="s">
        <v>2093</v>
      </c>
      <c r="AN202" s="1179" t="str">
        <f t="shared" si="112"/>
        <v>⑤：午前Ａ（4ｈ）、</v>
      </c>
      <c r="AO202" s="1090" t="str">
        <f t="shared" si="113"/>
        <v>⑤</v>
      </c>
      <c r="AP202" s="1180">
        <v>0.57999999999999996</v>
      </c>
      <c r="AQ202" s="1180"/>
      <c r="AR202" s="1181">
        <f t="shared" si="114"/>
        <v>0.57999999999999996</v>
      </c>
      <c r="AU202" s="1159"/>
      <c r="AV202" s="1160"/>
    </row>
    <row r="203" spans="1:48" ht="15.9" customHeight="1">
      <c r="A203" s="989"/>
      <c r="E203" s="1161" t="s">
        <v>2137</v>
      </c>
      <c r="F203" s="2366">
        <f t="shared" si="105"/>
        <v>0</v>
      </c>
      <c r="G203" s="2367"/>
      <c r="I203" s="2368">
        <f t="shared" si="106"/>
        <v>0</v>
      </c>
      <c r="J203" s="2368"/>
      <c r="K203" s="2368">
        <f t="shared" si="107"/>
        <v>0</v>
      </c>
      <c r="L203" s="2368"/>
      <c r="M203" s="2369">
        <f t="shared" si="108"/>
        <v>0</v>
      </c>
      <c r="N203" s="2355"/>
      <c r="O203" s="1162" t="s">
        <v>2108</v>
      </c>
      <c r="P203" s="2355">
        <f t="shared" si="109"/>
        <v>0</v>
      </c>
      <c r="Q203" s="2356"/>
      <c r="S203" s="2370">
        <f t="shared" si="110"/>
        <v>0</v>
      </c>
      <c r="T203" s="2371"/>
      <c r="U203" s="1162" t="s">
        <v>2108</v>
      </c>
      <c r="V203" s="2355">
        <f t="shared" si="111"/>
        <v>0</v>
      </c>
      <c r="W203" s="2356"/>
      <c r="Y203" s="1151" t="s">
        <v>2138</v>
      </c>
      <c r="Z203" s="2380"/>
      <c r="AA203" s="2380"/>
      <c r="AB203" s="2380"/>
      <c r="AC203" s="1176" t="s">
        <v>2139</v>
      </c>
      <c r="AD203" s="2381" t="s">
        <v>2140</v>
      </c>
      <c r="AE203" s="2382"/>
      <c r="AF203" s="2383" t="s">
        <v>2141</v>
      </c>
      <c r="AG203" s="2384"/>
      <c r="AH203" s="1177" t="s">
        <v>2091</v>
      </c>
      <c r="AI203" s="2384" t="s">
        <v>2142</v>
      </c>
      <c r="AJ203" s="2385"/>
      <c r="AK203" s="2386">
        <v>4</v>
      </c>
      <c r="AL203" s="2387"/>
      <c r="AM203" s="1178" t="s">
        <v>2093</v>
      </c>
      <c r="AN203" s="1179" t="str">
        <f t="shared" si="112"/>
        <v>⑥：午後Ａ（4ｈ）、</v>
      </c>
      <c r="AO203" s="1090" t="str">
        <f t="shared" si="113"/>
        <v>⑥</v>
      </c>
      <c r="AP203" s="1180"/>
      <c r="AQ203" s="1180">
        <v>1</v>
      </c>
      <c r="AR203" s="1181">
        <f t="shared" si="114"/>
        <v>1</v>
      </c>
      <c r="AU203" s="1159"/>
      <c r="AV203" s="1160"/>
    </row>
    <row r="204" spans="1:48" ht="15.9" customHeight="1">
      <c r="A204" s="989"/>
      <c r="E204" s="1161" t="s">
        <v>2143</v>
      </c>
      <c r="F204" s="2366">
        <f t="shared" si="105"/>
        <v>0</v>
      </c>
      <c r="G204" s="2367"/>
      <c r="I204" s="2368">
        <f t="shared" si="106"/>
        <v>0</v>
      </c>
      <c r="J204" s="2368"/>
      <c r="K204" s="2368">
        <f t="shared" si="107"/>
        <v>0</v>
      </c>
      <c r="L204" s="2368"/>
      <c r="M204" s="2369">
        <f t="shared" si="108"/>
        <v>0</v>
      </c>
      <c r="N204" s="2355"/>
      <c r="O204" s="1162" t="s">
        <v>2108</v>
      </c>
      <c r="P204" s="2355">
        <f t="shared" si="109"/>
        <v>0</v>
      </c>
      <c r="Q204" s="2356"/>
      <c r="S204" s="2370">
        <f t="shared" si="110"/>
        <v>0</v>
      </c>
      <c r="T204" s="2371"/>
      <c r="U204" s="1162" t="s">
        <v>2108</v>
      </c>
      <c r="V204" s="2355">
        <f t="shared" si="111"/>
        <v>0</v>
      </c>
      <c r="W204" s="2356"/>
      <c r="Y204" s="1151" t="s">
        <v>2144</v>
      </c>
      <c r="Z204" s="2380"/>
      <c r="AA204" s="2380"/>
      <c r="AB204" s="2380"/>
      <c r="AC204" s="1176" t="s">
        <v>2145</v>
      </c>
      <c r="AD204" s="2381" t="s">
        <v>2146</v>
      </c>
      <c r="AE204" s="2382"/>
      <c r="AF204" s="2383" t="s">
        <v>2147</v>
      </c>
      <c r="AG204" s="2384"/>
      <c r="AH204" s="1177" t="s">
        <v>2091</v>
      </c>
      <c r="AI204" s="2384" t="s">
        <v>2148</v>
      </c>
      <c r="AJ204" s="2385"/>
      <c r="AK204" s="2386">
        <v>7</v>
      </c>
      <c r="AL204" s="2387"/>
      <c r="AM204" s="1178" t="s">
        <v>2093</v>
      </c>
      <c r="AN204" s="1179" t="str">
        <f t="shared" si="112"/>
        <v>⑦：日勤Ｂ（7ｈ）、</v>
      </c>
      <c r="AO204" s="1090" t="str">
        <f t="shared" si="113"/>
        <v>⑦</v>
      </c>
      <c r="AP204" s="1180">
        <v>0.25</v>
      </c>
      <c r="AQ204" s="1180">
        <v>0.5</v>
      </c>
      <c r="AR204" s="1181">
        <f t="shared" si="114"/>
        <v>0.75</v>
      </c>
      <c r="AU204" s="1159"/>
      <c r="AV204" s="1160"/>
    </row>
    <row r="205" spans="1:48" ht="15.9" customHeight="1">
      <c r="A205" s="989"/>
      <c r="E205" s="1161" t="s">
        <v>2149</v>
      </c>
      <c r="F205" s="2366">
        <f t="shared" si="105"/>
        <v>0</v>
      </c>
      <c r="G205" s="2367"/>
      <c r="I205" s="2368">
        <f t="shared" si="106"/>
        <v>0</v>
      </c>
      <c r="J205" s="2368"/>
      <c r="K205" s="2368">
        <f t="shared" si="107"/>
        <v>0</v>
      </c>
      <c r="L205" s="2368"/>
      <c r="M205" s="2369">
        <f t="shared" si="108"/>
        <v>0</v>
      </c>
      <c r="N205" s="2355"/>
      <c r="O205" s="1162" t="s">
        <v>2108</v>
      </c>
      <c r="P205" s="2355">
        <f t="shared" si="109"/>
        <v>0</v>
      </c>
      <c r="Q205" s="2356"/>
      <c r="S205" s="2370">
        <f t="shared" si="110"/>
        <v>0</v>
      </c>
      <c r="T205" s="2371"/>
      <c r="U205" s="1162" t="s">
        <v>2108</v>
      </c>
      <c r="V205" s="2355">
        <f t="shared" si="111"/>
        <v>0</v>
      </c>
      <c r="W205" s="2356"/>
      <c r="Y205" s="1151" t="s">
        <v>2150</v>
      </c>
      <c r="Z205" s="2380"/>
      <c r="AA205" s="2380"/>
      <c r="AB205" s="2380"/>
      <c r="AC205" s="1176" t="s">
        <v>2151</v>
      </c>
      <c r="AD205" s="2381" t="s">
        <v>2152</v>
      </c>
      <c r="AE205" s="2382"/>
      <c r="AF205" s="2383" t="s">
        <v>2147</v>
      </c>
      <c r="AG205" s="2384"/>
      <c r="AH205" s="1177" t="s">
        <v>2091</v>
      </c>
      <c r="AI205" s="2384" t="s">
        <v>2153</v>
      </c>
      <c r="AJ205" s="2385"/>
      <c r="AK205" s="2386">
        <v>4</v>
      </c>
      <c r="AL205" s="2387"/>
      <c r="AM205" s="1178" t="s">
        <v>2093</v>
      </c>
      <c r="AN205" s="1179" t="str">
        <f t="shared" si="112"/>
        <v>⑧：午前Ｂ（4ｈ）、</v>
      </c>
      <c r="AO205" s="1090" t="str">
        <f t="shared" si="113"/>
        <v>⑧</v>
      </c>
      <c r="AP205" s="1180">
        <v>0.25</v>
      </c>
      <c r="AQ205" s="1180"/>
      <c r="AR205" s="1181">
        <f t="shared" si="114"/>
        <v>0.25</v>
      </c>
      <c r="AU205" s="1159"/>
      <c r="AV205" s="1160"/>
    </row>
    <row r="206" spans="1:48" ht="15.9" customHeight="1">
      <c r="A206" s="989"/>
      <c r="E206" s="1161" t="s">
        <v>2154</v>
      </c>
      <c r="F206" s="2366">
        <f t="shared" si="105"/>
        <v>0</v>
      </c>
      <c r="G206" s="2367"/>
      <c r="I206" s="2368">
        <f t="shared" si="106"/>
        <v>0</v>
      </c>
      <c r="J206" s="2368"/>
      <c r="K206" s="2368">
        <f t="shared" si="107"/>
        <v>0</v>
      </c>
      <c r="L206" s="2368"/>
      <c r="M206" s="2369">
        <f t="shared" si="108"/>
        <v>0</v>
      </c>
      <c r="N206" s="2355"/>
      <c r="O206" s="1162" t="s">
        <v>2108</v>
      </c>
      <c r="P206" s="2355">
        <f t="shared" si="109"/>
        <v>0</v>
      </c>
      <c r="Q206" s="2356"/>
      <c r="S206" s="2370">
        <f t="shared" si="110"/>
        <v>0</v>
      </c>
      <c r="T206" s="2371"/>
      <c r="U206" s="1162" t="s">
        <v>2108</v>
      </c>
      <c r="V206" s="2355">
        <f t="shared" si="111"/>
        <v>0</v>
      </c>
      <c r="W206" s="2356"/>
      <c r="Y206" s="1151" t="s">
        <v>2155</v>
      </c>
      <c r="Z206" s="2380"/>
      <c r="AA206" s="2380"/>
      <c r="AB206" s="2380"/>
      <c r="AC206" s="1176" t="s">
        <v>2156</v>
      </c>
      <c r="AD206" s="2381" t="s">
        <v>2157</v>
      </c>
      <c r="AE206" s="2382"/>
      <c r="AF206" s="2383" t="s">
        <v>2153</v>
      </c>
      <c r="AG206" s="2384"/>
      <c r="AH206" s="1177" t="s">
        <v>2091</v>
      </c>
      <c r="AI206" s="2384" t="s">
        <v>2148</v>
      </c>
      <c r="AJ206" s="2385"/>
      <c r="AK206" s="2386">
        <v>4</v>
      </c>
      <c r="AL206" s="2387"/>
      <c r="AM206" s="1178" t="s">
        <v>2093</v>
      </c>
      <c r="AN206" s="1179" t="str">
        <f t="shared" si="112"/>
        <v>⑨：午後Ｂ（4ｈ）、</v>
      </c>
      <c r="AO206" s="1090" t="str">
        <f t="shared" si="113"/>
        <v>⑨</v>
      </c>
      <c r="AP206" s="1180"/>
      <c r="AQ206" s="1180">
        <v>0.5</v>
      </c>
      <c r="AR206" s="1181">
        <f t="shared" si="114"/>
        <v>0.5</v>
      </c>
      <c r="AU206" s="1159"/>
      <c r="AV206" s="1160"/>
    </row>
    <row r="207" spans="1:48" ht="15.9" customHeight="1">
      <c r="A207" s="989"/>
      <c r="E207" s="1161" t="s">
        <v>2158</v>
      </c>
      <c r="F207" s="2366">
        <f t="shared" si="105"/>
        <v>0</v>
      </c>
      <c r="G207" s="2367"/>
      <c r="I207" s="2368">
        <f t="shared" si="106"/>
        <v>0</v>
      </c>
      <c r="J207" s="2368"/>
      <c r="K207" s="2368">
        <f t="shared" si="107"/>
        <v>0</v>
      </c>
      <c r="L207" s="2368"/>
      <c r="M207" s="2369">
        <f t="shared" si="108"/>
        <v>0</v>
      </c>
      <c r="N207" s="2355"/>
      <c r="O207" s="1162" t="s">
        <v>2108</v>
      </c>
      <c r="P207" s="2355">
        <f t="shared" si="109"/>
        <v>0</v>
      </c>
      <c r="Q207" s="2356"/>
      <c r="S207" s="2370">
        <f t="shared" si="110"/>
        <v>0</v>
      </c>
      <c r="T207" s="2371"/>
      <c r="U207" s="1162" t="s">
        <v>2108</v>
      </c>
      <c r="V207" s="2355">
        <f t="shared" si="111"/>
        <v>0</v>
      </c>
      <c r="W207" s="2356"/>
      <c r="Y207" s="1151" t="s">
        <v>2159</v>
      </c>
      <c r="Z207" s="2380"/>
      <c r="AA207" s="2380"/>
      <c r="AB207" s="2380"/>
      <c r="AC207" s="1176" t="s">
        <v>2160</v>
      </c>
      <c r="AD207" s="2381" t="s">
        <v>2161</v>
      </c>
      <c r="AE207" s="2382"/>
      <c r="AF207" s="2383" t="s">
        <v>2130</v>
      </c>
      <c r="AG207" s="2384"/>
      <c r="AH207" s="1177" t="s">
        <v>2091</v>
      </c>
      <c r="AI207" s="2384" t="s">
        <v>2162</v>
      </c>
      <c r="AJ207" s="2385"/>
      <c r="AK207" s="2386">
        <v>4</v>
      </c>
      <c r="AL207" s="2387"/>
      <c r="AM207" s="1178" t="s">
        <v>2093</v>
      </c>
      <c r="AN207" s="1179" t="str">
        <f t="shared" si="112"/>
        <v>⑩：午後Ｃ（4ｈ）、</v>
      </c>
      <c r="AO207" s="1090" t="str">
        <f t="shared" si="113"/>
        <v>⑩</v>
      </c>
      <c r="AP207" s="1180"/>
      <c r="AQ207" s="1180"/>
      <c r="AR207" s="1181">
        <f t="shared" si="114"/>
        <v>0</v>
      </c>
      <c r="AU207" s="1159"/>
      <c r="AV207" s="1160"/>
    </row>
    <row r="208" spans="1:48" ht="15.9" customHeight="1">
      <c r="A208" s="989"/>
      <c r="E208" s="1161" t="s">
        <v>2163</v>
      </c>
      <c r="F208" s="2366">
        <f t="shared" si="105"/>
        <v>0</v>
      </c>
      <c r="G208" s="2367"/>
      <c r="I208" s="2368">
        <f t="shared" si="106"/>
        <v>0</v>
      </c>
      <c r="J208" s="2368"/>
      <c r="K208" s="2368">
        <f t="shared" si="107"/>
        <v>0</v>
      </c>
      <c r="L208" s="2368"/>
      <c r="M208" s="2369">
        <f t="shared" si="108"/>
        <v>0</v>
      </c>
      <c r="N208" s="2355"/>
      <c r="O208" s="1162" t="s">
        <v>2108</v>
      </c>
      <c r="P208" s="2355">
        <f t="shared" si="109"/>
        <v>0</v>
      </c>
      <c r="Q208" s="2356"/>
      <c r="S208" s="2370">
        <f t="shared" si="110"/>
        <v>0</v>
      </c>
      <c r="T208" s="2371"/>
      <c r="U208" s="1162" t="s">
        <v>2108</v>
      </c>
      <c r="V208" s="2355">
        <f t="shared" si="111"/>
        <v>0</v>
      </c>
      <c r="W208" s="2356"/>
      <c r="Y208" s="1151" t="s">
        <v>2164</v>
      </c>
      <c r="Z208" s="2380"/>
      <c r="AA208" s="2380"/>
      <c r="AB208" s="2380"/>
      <c r="AC208" s="1176" t="s">
        <v>2165</v>
      </c>
      <c r="AD208" s="2381" t="s">
        <v>2166</v>
      </c>
      <c r="AE208" s="2382"/>
      <c r="AF208" s="2383" t="s">
        <v>2167</v>
      </c>
      <c r="AG208" s="2384"/>
      <c r="AH208" s="1177" t="s">
        <v>2091</v>
      </c>
      <c r="AI208" s="2384" t="s">
        <v>2131</v>
      </c>
      <c r="AJ208" s="2385"/>
      <c r="AK208" s="2386">
        <v>4</v>
      </c>
      <c r="AL208" s="2387"/>
      <c r="AM208" s="1178" t="s">
        <v>2093</v>
      </c>
      <c r="AN208" s="1179" t="str">
        <f t="shared" si="112"/>
        <v>⑪：午後Ｄ（4ｈ）、</v>
      </c>
      <c r="AO208" s="1090" t="str">
        <f t="shared" si="113"/>
        <v>⑪</v>
      </c>
      <c r="AP208" s="1180"/>
      <c r="AQ208" s="1180">
        <v>3.5</v>
      </c>
      <c r="AR208" s="1181">
        <f t="shared" si="114"/>
        <v>3.5</v>
      </c>
      <c r="AU208" s="1159"/>
      <c r="AV208" s="1160"/>
    </row>
    <row r="209" spans="1:48" ht="15.9" customHeight="1">
      <c r="A209" s="989"/>
      <c r="E209" s="1161" t="s">
        <v>2168</v>
      </c>
      <c r="F209" s="2366">
        <f t="shared" si="105"/>
        <v>0</v>
      </c>
      <c r="G209" s="2367"/>
      <c r="I209" s="2368">
        <f t="shared" si="106"/>
        <v>0</v>
      </c>
      <c r="J209" s="2368"/>
      <c r="K209" s="2368">
        <f t="shared" si="107"/>
        <v>0</v>
      </c>
      <c r="L209" s="2368"/>
      <c r="M209" s="2369">
        <f t="shared" si="108"/>
        <v>0</v>
      </c>
      <c r="N209" s="2355"/>
      <c r="O209" s="1162" t="s">
        <v>2108</v>
      </c>
      <c r="P209" s="2355">
        <f t="shared" si="109"/>
        <v>0</v>
      </c>
      <c r="Q209" s="2356"/>
      <c r="S209" s="2370">
        <f t="shared" si="110"/>
        <v>0</v>
      </c>
      <c r="T209" s="2371"/>
      <c r="U209" s="1162" t="s">
        <v>2108</v>
      </c>
      <c r="V209" s="2355">
        <f t="shared" si="111"/>
        <v>0</v>
      </c>
      <c r="W209" s="2356"/>
      <c r="Y209" s="1151" t="s">
        <v>2169</v>
      </c>
      <c r="Z209" s="2380"/>
      <c r="AA209" s="2380"/>
      <c r="AB209" s="2380"/>
      <c r="AC209" s="1176" t="s">
        <v>2170</v>
      </c>
      <c r="AD209" s="2381" t="s">
        <v>2171</v>
      </c>
      <c r="AE209" s="2382"/>
      <c r="AF209" s="2383" t="s">
        <v>2120</v>
      </c>
      <c r="AG209" s="2384"/>
      <c r="AH209" s="1177" t="s">
        <v>2091</v>
      </c>
      <c r="AI209" s="2384" t="s">
        <v>2148</v>
      </c>
      <c r="AJ209" s="2385"/>
      <c r="AK209" s="2386">
        <v>7.5</v>
      </c>
      <c r="AL209" s="2387"/>
      <c r="AM209" s="1178" t="s">
        <v>2093</v>
      </c>
      <c r="AN209" s="1179" t="str">
        <f t="shared" si="112"/>
        <v>⑱：日勤Ｃ（7.5ｈ）、</v>
      </c>
      <c r="AO209" s="1090" t="str">
        <f t="shared" si="113"/>
        <v>⑱</v>
      </c>
      <c r="AP209" s="1180">
        <v>0.57999999999999996</v>
      </c>
      <c r="AQ209" s="1180">
        <v>0.5</v>
      </c>
      <c r="AR209" s="1181">
        <f t="shared" si="114"/>
        <v>1.08</v>
      </c>
      <c r="AU209" s="1159"/>
      <c r="AV209" s="1160"/>
    </row>
    <row r="210" spans="1:48" ht="15.9" customHeight="1">
      <c r="A210" s="989"/>
      <c r="E210" s="1161" t="s">
        <v>2172</v>
      </c>
      <c r="F210" s="2366">
        <f t="shared" si="105"/>
        <v>0</v>
      </c>
      <c r="G210" s="2367"/>
      <c r="I210" s="2368">
        <f t="shared" si="106"/>
        <v>0</v>
      </c>
      <c r="J210" s="2368"/>
      <c r="K210" s="2368">
        <f t="shared" si="107"/>
        <v>0</v>
      </c>
      <c r="L210" s="2368"/>
      <c r="M210" s="2369">
        <f t="shared" si="108"/>
        <v>0</v>
      </c>
      <c r="N210" s="2355"/>
      <c r="O210" s="1162" t="s">
        <v>2108</v>
      </c>
      <c r="P210" s="2355">
        <f t="shared" si="109"/>
        <v>0</v>
      </c>
      <c r="Q210" s="2356"/>
      <c r="S210" s="2370">
        <f t="shared" si="110"/>
        <v>0</v>
      </c>
      <c r="T210" s="2371"/>
      <c r="U210" s="1162" t="s">
        <v>2108</v>
      </c>
      <c r="V210" s="2355">
        <f t="shared" si="111"/>
        <v>0</v>
      </c>
      <c r="W210" s="2356"/>
      <c r="Y210" s="1151" t="s">
        <v>2173</v>
      </c>
      <c r="Z210" s="2380"/>
      <c r="AA210" s="2380"/>
      <c r="AB210" s="2380"/>
      <c r="AC210" s="1176" t="s">
        <v>2174</v>
      </c>
      <c r="AD210" s="2381" t="s">
        <v>2175</v>
      </c>
      <c r="AE210" s="2382"/>
      <c r="AF210" s="2383" t="s">
        <v>2147</v>
      </c>
      <c r="AG210" s="2384"/>
      <c r="AH210" s="1177" t="s">
        <v>2091</v>
      </c>
      <c r="AI210" s="2384" t="s">
        <v>2153</v>
      </c>
      <c r="AJ210" s="2385"/>
      <c r="AK210" s="2386">
        <v>4</v>
      </c>
      <c r="AL210" s="2387"/>
      <c r="AM210" s="1178" t="s">
        <v>2093</v>
      </c>
      <c r="AN210" s="1179" t="str">
        <f t="shared" si="112"/>
        <v>⑲：午前Ｃ（4ｈ）、</v>
      </c>
      <c r="AO210" s="1090" t="str">
        <f t="shared" si="113"/>
        <v>⑲</v>
      </c>
      <c r="AP210" s="1180">
        <v>0.25</v>
      </c>
      <c r="AQ210" s="1180"/>
      <c r="AR210" s="1181">
        <f t="shared" si="114"/>
        <v>0.25</v>
      </c>
      <c r="AU210" s="1159"/>
      <c r="AV210" s="1160"/>
    </row>
    <row r="211" spans="1:48" ht="15.9" customHeight="1">
      <c r="A211" s="989"/>
      <c r="E211" s="1161" t="s">
        <v>2176</v>
      </c>
      <c r="F211" s="2366">
        <f t="shared" si="105"/>
        <v>0</v>
      </c>
      <c r="G211" s="2367"/>
      <c r="I211" s="2368">
        <f t="shared" si="106"/>
        <v>0</v>
      </c>
      <c r="J211" s="2368"/>
      <c r="K211" s="2368">
        <f t="shared" si="107"/>
        <v>0</v>
      </c>
      <c r="L211" s="2368"/>
      <c r="M211" s="2369">
        <f t="shared" si="108"/>
        <v>0</v>
      </c>
      <c r="N211" s="2355"/>
      <c r="O211" s="1162" t="s">
        <v>2108</v>
      </c>
      <c r="P211" s="2355">
        <f t="shared" si="109"/>
        <v>0</v>
      </c>
      <c r="Q211" s="2356"/>
      <c r="S211" s="2370">
        <f t="shared" si="110"/>
        <v>0</v>
      </c>
      <c r="T211" s="2371"/>
      <c r="U211" s="1162" t="s">
        <v>2108</v>
      </c>
      <c r="V211" s="2355">
        <f t="shared" si="111"/>
        <v>0</v>
      </c>
      <c r="W211" s="2356"/>
      <c r="Y211" s="1151" t="s">
        <v>2177</v>
      </c>
      <c r="Z211" s="2380"/>
      <c r="AA211" s="2380"/>
      <c r="AB211" s="2380"/>
      <c r="AC211" s="1176" t="s">
        <v>2178</v>
      </c>
      <c r="AD211" s="2381" t="s">
        <v>2179</v>
      </c>
      <c r="AE211" s="2382"/>
      <c r="AF211" s="2383" t="s">
        <v>2125</v>
      </c>
      <c r="AG211" s="2384"/>
      <c r="AH211" s="1177" t="s">
        <v>2091</v>
      </c>
      <c r="AI211" s="2384" t="s">
        <v>2180</v>
      </c>
      <c r="AJ211" s="2385"/>
      <c r="AK211" s="2386">
        <v>4</v>
      </c>
      <c r="AL211" s="2387"/>
      <c r="AM211" s="1178" t="s">
        <v>2093</v>
      </c>
      <c r="AN211" s="1179" t="str">
        <f t="shared" si="112"/>
        <v>⑳：午前Ｄ（4ｈ）、</v>
      </c>
      <c r="AO211" s="1090" t="str">
        <f t="shared" si="113"/>
        <v>⑳</v>
      </c>
      <c r="AP211" s="1180">
        <v>2.08</v>
      </c>
      <c r="AQ211" s="1180"/>
      <c r="AR211" s="1181">
        <f t="shared" si="114"/>
        <v>2.08</v>
      </c>
      <c r="AU211" s="1159"/>
      <c r="AV211" s="1160"/>
    </row>
    <row r="212" spans="1:48" ht="15.9" customHeight="1">
      <c r="A212" s="989"/>
      <c r="E212" s="1161" t="s">
        <v>2181</v>
      </c>
      <c r="F212" s="2366">
        <f t="shared" si="105"/>
        <v>0</v>
      </c>
      <c r="G212" s="2367"/>
      <c r="I212" s="2368">
        <f t="shared" si="106"/>
        <v>0</v>
      </c>
      <c r="J212" s="2368"/>
      <c r="K212" s="2368">
        <f t="shared" si="107"/>
        <v>0</v>
      </c>
      <c r="L212" s="2368"/>
      <c r="M212" s="2369">
        <f t="shared" si="108"/>
        <v>0</v>
      </c>
      <c r="N212" s="2355"/>
      <c r="O212" s="1162" t="s">
        <v>2108</v>
      </c>
      <c r="P212" s="2355">
        <f t="shared" si="109"/>
        <v>0</v>
      </c>
      <c r="Q212" s="2356"/>
      <c r="S212" s="2370">
        <f t="shared" si="110"/>
        <v>0</v>
      </c>
      <c r="T212" s="2371"/>
      <c r="U212" s="1162" t="s">
        <v>2108</v>
      </c>
      <c r="V212" s="2355">
        <f t="shared" si="111"/>
        <v>0</v>
      </c>
      <c r="W212" s="2356"/>
      <c r="Y212" s="1151" t="s">
        <v>2182</v>
      </c>
      <c r="Z212" s="2380"/>
      <c r="AA212" s="2380"/>
      <c r="AB212" s="2380"/>
      <c r="AC212" s="1176" t="s">
        <v>2183</v>
      </c>
      <c r="AD212" s="2381" t="s">
        <v>2184</v>
      </c>
      <c r="AE212" s="2382"/>
      <c r="AF212" s="2383"/>
      <c r="AG212" s="2384"/>
      <c r="AH212" s="1177" t="s">
        <v>2091</v>
      </c>
      <c r="AI212" s="2384"/>
      <c r="AJ212" s="2385"/>
      <c r="AK212" s="2386"/>
      <c r="AL212" s="2387"/>
      <c r="AM212" s="1178" t="s">
        <v>2093</v>
      </c>
      <c r="AN212" s="1179" t="str">
        <f t="shared" si="112"/>
        <v>公：公休（ｈ）、</v>
      </c>
      <c r="AO212" s="1090" t="str">
        <f t="shared" si="113"/>
        <v>公</v>
      </c>
      <c r="AP212" s="1180"/>
      <c r="AQ212" s="1180"/>
      <c r="AR212" s="1181">
        <f t="shared" si="114"/>
        <v>0</v>
      </c>
      <c r="AU212" s="1159"/>
      <c r="AV212" s="1160"/>
    </row>
    <row r="213" spans="1:48" ht="15.9" customHeight="1">
      <c r="A213" s="989"/>
      <c r="E213" s="1161" t="s">
        <v>2185</v>
      </c>
      <c r="F213" s="2366">
        <f t="shared" si="105"/>
        <v>0</v>
      </c>
      <c r="G213" s="2367"/>
      <c r="I213" s="2368">
        <f t="shared" si="106"/>
        <v>0</v>
      </c>
      <c r="J213" s="2368"/>
      <c r="K213" s="2368">
        <f t="shared" si="107"/>
        <v>0</v>
      </c>
      <c r="L213" s="2368"/>
      <c r="M213" s="2369">
        <f t="shared" si="108"/>
        <v>0</v>
      </c>
      <c r="N213" s="2355"/>
      <c r="O213" s="1162" t="s">
        <v>2108</v>
      </c>
      <c r="P213" s="2355">
        <f t="shared" si="109"/>
        <v>0</v>
      </c>
      <c r="Q213" s="2356"/>
      <c r="S213" s="2370">
        <f t="shared" si="110"/>
        <v>0</v>
      </c>
      <c r="T213" s="2371"/>
      <c r="U213" s="1162" t="s">
        <v>2108</v>
      </c>
      <c r="V213" s="2355">
        <f t="shared" si="111"/>
        <v>0</v>
      </c>
      <c r="W213" s="2356"/>
      <c r="Y213" s="1151" t="s">
        <v>2186</v>
      </c>
      <c r="Z213" s="2380"/>
      <c r="AA213" s="2380"/>
      <c r="AB213" s="2380"/>
      <c r="AC213" s="1176" t="s">
        <v>2187</v>
      </c>
      <c r="AD213" s="2381" t="s">
        <v>2188</v>
      </c>
      <c r="AE213" s="2382"/>
      <c r="AF213" s="2383"/>
      <c r="AG213" s="2384"/>
      <c r="AH213" s="1177" t="s">
        <v>2091</v>
      </c>
      <c r="AI213" s="2384"/>
      <c r="AJ213" s="2385"/>
      <c r="AK213" s="2386"/>
      <c r="AL213" s="2387"/>
      <c r="AM213" s="1178" t="s">
        <v>2093</v>
      </c>
      <c r="AN213" s="1179" t="str">
        <f t="shared" si="112"/>
        <v>有：有休（ｈ）、</v>
      </c>
      <c r="AO213" s="1090" t="str">
        <f t="shared" si="113"/>
        <v>有</v>
      </c>
      <c r="AP213" s="1180"/>
      <c r="AQ213" s="1180"/>
      <c r="AR213" s="1181">
        <f t="shared" si="114"/>
        <v>0</v>
      </c>
      <c r="AU213" s="1159"/>
      <c r="AV213" s="1160"/>
    </row>
    <row r="214" spans="1:48" ht="15.9" customHeight="1">
      <c r="A214" s="989"/>
      <c r="E214" s="1161" t="s">
        <v>2189</v>
      </c>
      <c r="F214" s="2366">
        <f t="shared" si="105"/>
        <v>0</v>
      </c>
      <c r="G214" s="2367"/>
      <c r="I214" s="2368">
        <f t="shared" si="106"/>
        <v>0</v>
      </c>
      <c r="J214" s="2368"/>
      <c r="K214" s="2368">
        <f t="shared" si="107"/>
        <v>0</v>
      </c>
      <c r="L214" s="2368"/>
      <c r="M214" s="2369">
        <f t="shared" si="108"/>
        <v>0</v>
      </c>
      <c r="N214" s="2355"/>
      <c r="O214" s="1162" t="s">
        <v>2108</v>
      </c>
      <c r="P214" s="2355">
        <f t="shared" si="109"/>
        <v>0</v>
      </c>
      <c r="Q214" s="2356"/>
      <c r="S214" s="2370">
        <f t="shared" si="110"/>
        <v>0</v>
      </c>
      <c r="T214" s="2371"/>
      <c r="U214" s="1162" t="s">
        <v>2108</v>
      </c>
      <c r="V214" s="2355">
        <f t="shared" si="111"/>
        <v>0</v>
      </c>
      <c r="W214" s="2356"/>
      <c r="Y214" s="1151" t="s">
        <v>2190</v>
      </c>
      <c r="Z214" s="2380"/>
      <c r="AA214" s="2380"/>
      <c r="AB214" s="2380"/>
      <c r="AC214" s="1176" t="s">
        <v>2191</v>
      </c>
      <c r="AD214" s="2381" t="s">
        <v>2192</v>
      </c>
      <c r="AE214" s="2382"/>
      <c r="AF214" s="2383"/>
      <c r="AG214" s="2384"/>
      <c r="AH214" s="1177" t="s">
        <v>2091</v>
      </c>
      <c r="AI214" s="2384"/>
      <c r="AJ214" s="2385"/>
      <c r="AK214" s="2386"/>
      <c r="AL214" s="2387"/>
      <c r="AM214" s="1178" t="s">
        <v>2093</v>
      </c>
      <c r="AN214" s="1179" t="str">
        <f t="shared" si="112"/>
        <v>欠：欠勤（ｈ）、</v>
      </c>
      <c r="AO214" s="1090" t="str">
        <f t="shared" si="113"/>
        <v>欠</v>
      </c>
      <c r="AP214" s="1180"/>
      <c r="AQ214" s="1180"/>
      <c r="AR214" s="1181">
        <f t="shared" si="114"/>
        <v>0</v>
      </c>
      <c r="AU214" s="1159"/>
      <c r="AV214" s="1160"/>
    </row>
    <row r="215" spans="1:48" ht="15.9" customHeight="1">
      <c r="A215" s="989"/>
      <c r="E215" s="1161"/>
      <c r="F215" s="2366" t="str">
        <f t="shared" si="105"/>
        <v/>
      </c>
      <c r="G215" s="2367"/>
      <c r="I215" s="2368">
        <f t="shared" si="106"/>
        <v>0</v>
      </c>
      <c r="J215" s="2368"/>
      <c r="K215" s="2368">
        <f t="shared" si="107"/>
        <v>0</v>
      </c>
      <c r="L215" s="2368"/>
      <c r="M215" s="2369">
        <f t="shared" si="108"/>
        <v>0</v>
      </c>
      <c r="N215" s="2355"/>
      <c r="O215" s="1162" t="s">
        <v>2108</v>
      </c>
      <c r="P215" s="2355">
        <f t="shared" si="109"/>
        <v>0</v>
      </c>
      <c r="Q215" s="2356"/>
      <c r="S215" s="2370">
        <f t="shared" si="110"/>
        <v>0</v>
      </c>
      <c r="T215" s="2371"/>
      <c r="U215" s="1162" t="s">
        <v>2108</v>
      </c>
      <c r="V215" s="2355">
        <f t="shared" si="111"/>
        <v>0</v>
      </c>
      <c r="W215" s="2356"/>
      <c r="Y215" s="1151" t="s">
        <v>2193</v>
      </c>
      <c r="Z215" s="2380"/>
      <c r="AA215" s="2380"/>
      <c r="AB215" s="2380"/>
      <c r="AC215" s="1176" t="s">
        <v>2194</v>
      </c>
      <c r="AD215" s="2381" t="s">
        <v>2195</v>
      </c>
      <c r="AE215" s="2382"/>
      <c r="AF215" s="2383"/>
      <c r="AG215" s="2384"/>
      <c r="AH215" s="1177" t="s">
        <v>2091</v>
      </c>
      <c r="AI215" s="2384"/>
      <c r="AJ215" s="2385"/>
      <c r="AK215" s="2386"/>
      <c r="AL215" s="2387"/>
      <c r="AM215" s="1178" t="s">
        <v>2093</v>
      </c>
      <c r="AN215" s="1179" t="str">
        <f t="shared" si="112"/>
        <v>特：特休（ｈ）、</v>
      </c>
      <c r="AO215" s="1090" t="str">
        <f t="shared" si="113"/>
        <v>特</v>
      </c>
      <c r="AP215" s="1180"/>
      <c r="AQ215" s="1180"/>
      <c r="AR215" s="1181">
        <f t="shared" si="114"/>
        <v>0</v>
      </c>
      <c r="AU215" s="1159"/>
      <c r="AV215" s="1160"/>
    </row>
    <row r="216" spans="1:48" ht="15.9" customHeight="1">
      <c r="A216" s="989"/>
      <c r="E216" s="1161"/>
      <c r="F216" s="2366" t="str">
        <f t="shared" si="105"/>
        <v/>
      </c>
      <c r="G216" s="2367"/>
      <c r="I216" s="2368">
        <f t="shared" si="106"/>
        <v>0</v>
      </c>
      <c r="J216" s="2368"/>
      <c r="K216" s="2368">
        <f t="shared" si="107"/>
        <v>0</v>
      </c>
      <c r="L216" s="2368"/>
      <c r="M216" s="2369">
        <f t="shared" si="108"/>
        <v>0</v>
      </c>
      <c r="N216" s="2355"/>
      <c r="O216" s="1162" t="s">
        <v>2108</v>
      </c>
      <c r="P216" s="2355">
        <f t="shared" si="109"/>
        <v>0</v>
      </c>
      <c r="Q216" s="2356"/>
      <c r="S216" s="2370">
        <f t="shared" si="110"/>
        <v>0</v>
      </c>
      <c r="T216" s="2371"/>
      <c r="U216" s="1162" t="s">
        <v>2108</v>
      </c>
      <c r="V216" s="2355">
        <f t="shared" si="111"/>
        <v>0</v>
      </c>
      <c r="W216" s="2356"/>
      <c r="Y216" s="1151" t="s">
        <v>2196</v>
      </c>
      <c r="Z216" s="2380"/>
      <c r="AA216" s="2380"/>
      <c r="AB216" s="2380"/>
      <c r="AC216" s="1176" t="s">
        <v>2197</v>
      </c>
      <c r="AD216" s="2381"/>
      <c r="AE216" s="2382"/>
      <c r="AF216" s="2383"/>
      <c r="AG216" s="2384"/>
      <c r="AH216" s="1177" t="s">
        <v>2091</v>
      </c>
      <c r="AI216" s="2384"/>
      <c r="AJ216" s="2385"/>
      <c r="AK216" s="2386"/>
      <c r="AL216" s="2387"/>
      <c r="AM216" s="1178" t="s">
        <v>2093</v>
      </c>
      <c r="AN216" s="1179" t="str">
        <f t="shared" si="112"/>
        <v>-：（ｈ）、</v>
      </c>
      <c r="AO216" s="1090" t="str">
        <f t="shared" si="113"/>
        <v>-</v>
      </c>
      <c r="AP216" s="1180"/>
      <c r="AQ216" s="1180"/>
      <c r="AR216" s="1181">
        <f t="shared" si="114"/>
        <v>0</v>
      </c>
      <c r="AU216" s="1159"/>
      <c r="AV216" s="1160"/>
    </row>
    <row r="217" spans="1:48" ht="15.9" customHeight="1">
      <c r="A217" s="989"/>
      <c r="E217" s="1161"/>
      <c r="F217" s="2366" t="str">
        <f t="shared" si="105"/>
        <v/>
      </c>
      <c r="G217" s="2367"/>
      <c r="I217" s="2368">
        <f t="shared" si="106"/>
        <v>0</v>
      </c>
      <c r="J217" s="2368"/>
      <c r="K217" s="2368">
        <f t="shared" si="107"/>
        <v>0</v>
      </c>
      <c r="L217" s="2368"/>
      <c r="M217" s="2369">
        <f t="shared" si="108"/>
        <v>0</v>
      </c>
      <c r="N217" s="2355"/>
      <c r="O217" s="1162" t="s">
        <v>2108</v>
      </c>
      <c r="P217" s="2355">
        <f t="shared" si="109"/>
        <v>0</v>
      </c>
      <c r="Q217" s="2356"/>
      <c r="S217" s="2370">
        <f t="shared" si="110"/>
        <v>0</v>
      </c>
      <c r="T217" s="2371"/>
      <c r="U217" s="1162" t="s">
        <v>2108</v>
      </c>
      <c r="V217" s="2355">
        <f t="shared" si="111"/>
        <v>0</v>
      </c>
      <c r="W217" s="2356"/>
      <c r="Y217" s="1151" t="s">
        <v>2198</v>
      </c>
      <c r="Z217" s="2380"/>
      <c r="AA217" s="2380"/>
      <c r="AB217" s="2380"/>
      <c r="AC217" s="1176" t="s">
        <v>2197</v>
      </c>
      <c r="AD217" s="2381"/>
      <c r="AE217" s="2382"/>
      <c r="AF217" s="2383"/>
      <c r="AG217" s="2384"/>
      <c r="AH217" s="1177" t="s">
        <v>2091</v>
      </c>
      <c r="AI217" s="2384"/>
      <c r="AJ217" s="2385"/>
      <c r="AK217" s="2386"/>
      <c r="AL217" s="2387"/>
      <c r="AM217" s="1178" t="s">
        <v>2093</v>
      </c>
      <c r="AN217" s="1179" t="str">
        <f t="shared" si="112"/>
        <v>-：（ｈ）、</v>
      </c>
      <c r="AO217" s="1090" t="str">
        <f t="shared" si="113"/>
        <v>-</v>
      </c>
      <c r="AP217" s="1180"/>
      <c r="AQ217" s="1180"/>
      <c r="AR217" s="1181">
        <f t="shared" si="114"/>
        <v>0</v>
      </c>
      <c r="AU217" s="1159"/>
      <c r="AV217" s="1160"/>
    </row>
    <row r="218" spans="1:48" ht="15.9" customHeight="1">
      <c r="A218" s="989"/>
      <c r="E218" s="1161"/>
      <c r="F218" s="2366" t="str">
        <f t="shared" si="105"/>
        <v/>
      </c>
      <c r="G218" s="2367"/>
      <c r="I218" s="2368">
        <f t="shared" si="106"/>
        <v>0</v>
      </c>
      <c r="J218" s="2368"/>
      <c r="K218" s="2368">
        <f t="shared" si="107"/>
        <v>0</v>
      </c>
      <c r="L218" s="2368"/>
      <c r="M218" s="2369">
        <f t="shared" si="108"/>
        <v>0</v>
      </c>
      <c r="N218" s="2355"/>
      <c r="O218" s="1162" t="s">
        <v>2108</v>
      </c>
      <c r="P218" s="2355">
        <f t="shared" si="109"/>
        <v>0</v>
      </c>
      <c r="Q218" s="2356"/>
      <c r="S218" s="2370">
        <f t="shared" si="110"/>
        <v>0</v>
      </c>
      <c r="T218" s="2371"/>
      <c r="U218" s="1162" t="s">
        <v>2108</v>
      </c>
      <c r="V218" s="2355">
        <f t="shared" si="111"/>
        <v>0</v>
      </c>
      <c r="W218" s="2356"/>
      <c r="Y218" s="1151" t="s">
        <v>2199</v>
      </c>
      <c r="Z218" s="2380"/>
      <c r="AA218" s="2380"/>
      <c r="AB218" s="2380"/>
      <c r="AC218" s="1176" t="s">
        <v>2197</v>
      </c>
      <c r="AD218" s="2381"/>
      <c r="AE218" s="2382"/>
      <c r="AF218" s="2383"/>
      <c r="AG218" s="2384"/>
      <c r="AH218" s="1177" t="s">
        <v>2091</v>
      </c>
      <c r="AI218" s="2384"/>
      <c r="AJ218" s="2385"/>
      <c r="AK218" s="2386"/>
      <c r="AL218" s="2387"/>
      <c r="AM218" s="1178" t="s">
        <v>2093</v>
      </c>
      <c r="AN218" s="1179" t="str">
        <f t="shared" si="112"/>
        <v>-：（ｈ）、</v>
      </c>
      <c r="AO218" s="1090" t="str">
        <f t="shared" si="113"/>
        <v>-</v>
      </c>
      <c r="AP218" s="1180"/>
      <c r="AQ218" s="1180"/>
      <c r="AR218" s="1181">
        <f t="shared" si="114"/>
        <v>0</v>
      </c>
      <c r="AU218" s="1159"/>
      <c r="AV218" s="1160"/>
    </row>
    <row r="219" spans="1:48" ht="15.9" customHeight="1">
      <c r="A219" s="989"/>
      <c r="E219" s="1161"/>
      <c r="F219" s="2366" t="str">
        <f t="shared" si="105"/>
        <v/>
      </c>
      <c r="G219" s="2367"/>
      <c r="I219" s="2368">
        <f t="shared" si="106"/>
        <v>0</v>
      </c>
      <c r="J219" s="2368"/>
      <c r="K219" s="2368">
        <f t="shared" si="107"/>
        <v>0</v>
      </c>
      <c r="L219" s="2368"/>
      <c r="M219" s="2369">
        <f t="shared" si="108"/>
        <v>0</v>
      </c>
      <c r="N219" s="2355"/>
      <c r="O219" s="1162" t="s">
        <v>2108</v>
      </c>
      <c r="P219" s="2355">
        <f t="shared" si="109"/>
        <v>0</v>
      </c>
      <c r="Q219" s="2356"/>
      <c r="S219" s="2370">
        <f t="shared" si="110"/>
        <v>0</v>
      </c>
      <c r="T219" s="2371"/>
      <c r="U219" s="1162" t="s">
        <v>2108</v>
      </c>
      <c r="V219" s="2355">
        <f t="shared" si="111"/>
        <v>0</v>
      </c>
      <c r="W219" s="2356"/>
      <c r="Y219" s="1151" t="s">
        <v>2200</v>
      </c>
      <c r="Z219" s="2380"/>
      <c r="AA219" s="2380"/>
      <c r="AB219" s="2380"/>
      <c r="AC219" s="1176" t="s">
        <v>2197</v>
      </c>
      <c r="AD219" s="2381"/>
      <c r="AE219" s="2382"/>
      <c r="AF219" s="2383"/>
      <c r="AG219" s="2384"/>
      <c r="AH219" s="1177" t="s">
        <v>2091</v>
      </c>
      <c r="AI219" s="2384"/>
      <c r="AJ219" s="2385"/>
      <c r="AK219" s="2386"/>
      <c r="AL219" s="2387"/>
      <c r="AM219" s="1178" t="s">
        <v>2093</v>
      </c>
      <c r="AN219" s="1179" t="str">
        <f t="shared" si="112"/>
        <v>-：（ｈ）、</v>
      </c>
      <c r="AO219" s="1090" t="str">
        <f t="shared" si="113"/>
        <v>-</v>
      </c>
      <c r="AP219" s="1180"/>
      <c r="AQ219" s="1180"/>
      <c r="AR219" s="1181">
        <f t="shared" si="114"/>
        <v>0</v>
      </c>
      <c r="AU219" s="1159"/>
      <c r="AV219" s="1160"/>
    </row>
    <row r="220" spans="1:48" ht="15.9" customHeight="1">
      <c r="A220" s="989"/>
      <c r="E220" s="1183"/>
      <c r="F220" s="2366" t="str">
        <f t="shared" si="105"/>
        <v/>
      </c>
      <c r="G220" s="2367"/>
      <c r="I220" s="2368">
        <f t="shared" si="106"/>
        <v>0</v>
      </c>
      <c r="J220" s="2368"/>
      <c r="K220" s="2368">
        <f t="shared" si="107"/>
        <v>0</v>
      </c>
      <c r="L220" s="2368"/>
      <c r="M220" s="2369">
        <f t="shared" si="108"/>
        <v>0</v>
      </c>
      <c r="N220" s="2355"/>
      <c r="O220" s="1162" t="s">
        <v>2108</v>
      </c>
      <c r="P220" s="2355">
        <f t="shared" si="109"/>
        <v>0</v>
      </c>
      <c r="Q220" s="2356"/>
      <c r="S220" s="2370">
        <f t="shared" si="110"/>
        <v>0</v>
      </c>
      <c r="T220" s="2371"/>
      <c r="U220" s="1162" t="s">
        <v>2108</v>
      </c>
      <c r="V220" s="2355">
        <f t="shared" si="111"/>
        <v>0</v>
      </c>
      <c r="W220" s="2356"/>
      <c r="Y220" s="1151" t="s">
        <v>2201</v>
      </c>
      <c r="Z220" s="2380"/>
      <c r="AA220" s="2380"/>
      <c r="AB220" s="2380"/>
      <c r="AC220" s="1176" t="s">
        <v>2197</v>
      </c>
      <c r="AD220" s="2381"/>
      <c r="AE220" s="2382"/>
      <c r="AF220" s="2383"/>
      <c r="AG220" s="2384"/>
      <c r="AH220" s="1177" t="s">
        <v>2091</v>
      </c>
      <c r="AI220" s="2384"/>
      <c r="AJ220" s="2385"/>
      <c r="AK220" s="2386"/>
      <c r="AL220" s="2387"/>
      <c r="AM220" s="1178" t="s">
        <v>2093</v>
      </c>
      <c r="AN220" s="1179" t="str">
        <f t="shared" si="112"/>
        <v>-：（ｈ）、</v>
      </c>
      <c r="AO220" s="1090" t="str">
        <f t="shared" si="113"/>
        <v>-</v>
      </c>
      <c r="AP220" s="1180"/>
      <c r="AQ220" s="1180"/>
      <c r="AR220" s="1181">
        <f t="shared" si="114"/>
        <v>0</v>
      </c>
      <c r="AU220" s="1159"/>
      <c r="AV220" s="1160"/>
    </row>
    <row r="221" spans="1:48" ht="15.9" customHeight="1">
      <c r="A221" s="989"/>
      <c r="E221" s="1184"/>
      <c r="F221" s="2399" t="str">
        <f t="shared" si="105"/>
        <v/>
      </c>
      <c r="G221" s="2400"/>
      <c r="I221" s="2401">
        <f t="shared" si="106"/>
        <v>0</v>
      </c>
      <c r="J221" s="2401"/>
      <c r="K221" s="2401">
        <f t="shared" si="107"/>
        <v>0</v>
      </c>
      <c r="L221" s="2401"/>
      <c r="M221" s="2402">
        <f t="shared" si="108"/>
        <v>0</v>
      </c>
      <c r="N221" s="2389"/>
      <c r="O221" s="1185" t="s">
        <v>2108</v>
      </c>
      <c r="P221" s="2389">
        <f t="shared" si="109"/>
        <v>0</v>
      </c>
      <c r="Q221" s="2390"/>
      <c r="S221" s="2403">
        <f t="shared" si="110"/>
        <v>0</v>
      </c>
      <c r="T221" s="2404"/>
      <c r="U221" s="1185" t="s">
        <v>2108</v>
      </c>
      <c r="V221" s="2389">
        <f t="shared" si="111"/>
        <v>0</v>
      </c>
      <c r="W221" s="2390"/>
      <c r="Y221" s="1151" t="s">
        <v>2202</v>
      </c>
      <c r="Z221" s="2391"/>
      <c r="AA221" s="2391"/>
      <c r="AB221" s="2391"/>
      <c r="AC221" s="1186" t="s">
        <v>2197</v>
      </c>
      <c r="AD221" s="2392"/>
      <c r="AE221" s="2393"/>
      <c r="AF221" s="2394"/>
      <c r="AG221" s="2395"/>
      <c r="AH221" s="1187" t="s">
        <v>2091</v>
      </c>
      <c r="AI221" s="2395"/>
      <c r="AJ221" s="2396"/>
      <c r="AK221" s="2397"/>
      <c r="AL221" s="2398"/>
      <c r="AM221" s="1188" t="s">
        <v>2093</v>
      </c>
      <c r="AN221" s="1189" t="str">
        <f t="shared" si="112"/>
        <v>-：（ｈ）、</v>
      </c>
      <c r="AO221" s="1090" t="str">
        <f t="shared" si="113"/>
        <v>-</v>
      </c>
      <c r="AP221" s="1190"/>
      <c r="AQ221" s="1190"/>
      <c r="AR221" s="1191">
        <f t="shared" si="114"/>
        <v>0</v>
      </c>
      <c r="AU221" s="1159"/>
      <c r="AV221" s="1160"/>
    </row>
    <row r="222" spans="1:48">
      <c r="A222" s="989"/>
      <c r="AF222" s="2388" t="s">
        <v>2203</v>
      </c>
      <c r="AG222" s="2388"/>
      <c r="AH222" s="2388"/>
      <c r="AI222" s="2388"/>
      <c r="AJ222" s="2388"/>
    </row>
    <row r="223" spans="1:48">
      <c r="A223" s="989"/>
    </row>
    <row r="224" spans="1:48">
      <c r="A224" s="989"/>
      <c r="T224" s="994"/>
    </row>
  </sheetData>
  <mergeCells count="672">
    <mergeCell ref="AF222:AJ222"/>
    <mergeCell ref="V221:W221"/>
    <mergeCell ref="Z221:AB221"/>
    <mergeCell ref="AD221:AE221"/>
    <mergeCell ref="AF221:AG221"/>
    <mergeCell ref="AI221:AJ221"/>
    <mergeCell ref="AK221:AL221"/>
    <mergeCell ref="F221:G221"/>
    <mergeCell ref="I221:J221"/>
    <mergeCell ref="K221:L221"/>
    <mergeCell ref="M221:N221"/>
    <mergeCell ref="P221:Q221"/>
    <mergeCell ref="S221:T221"/>
    <mergeCell ref="V220:W220"/>
    <mergeCell ref="Z220:AB220"/>
    <mergeCell ref="AD220:AE220"/>
    <mergeCell ref="AF220:AG220"/>
    <mergeCell ref="AI220:AJ220"/>
    <mergeCell ref="AK220:AL220"/>
    <mergeCell ref="F220:G220"/>
    <mergeCell ref="I220:J220"/>
    <mergeCell ref="K220:L220"/>
    <mergeCell ref="M220:N220"/>
    <mergeCell ref="P220:Q220"/>
    <mergeCell ref="S220:T220"/>
    <mergeCell ref="V219:W219"/>
    <mergeCell ref="Z219:AB219"/>
    <mergeCell ref="AD219:AE219"/>
    <mergeCell ref="AF219:AG219"/>
    <mergeCell ref="AI219:AJ219"/>
    <mergeCell ref="AK219:AL219"/>
    <mergeCell ref="F219:G219"/>
    <mergeCell ref="I219:J219"/>
    <mergeCell ref="K219:L219"/>
    <mergeCell ref="M219:N219"/>
    <mergeCell ref="P219:Q219"/>
    <mergeCell ref="S219:T219"/>
    <mergeCell ref="V218:W218"/>
    <mergeCell ref="Z218:AB218"/>
    <mergeCell ref="AD218:AE218"/>
    <mergeCell ref="AF218:AG218"/>
    <mergeCell ref="AI218:AJ218"/>
    <mergeCell ref="AK218:AL218"/>
    <mergeCell ref="F218:G218"/>
    <mergeCell ref="I218:J218"/>
    <mergeCell ref="K218:L218"/>
    <mergeCell ref="M218:N218"/>
    <mergeCell ref="P218:Q218"/>
    <mergeCell ref="S218:T218"/>
    <mergeCell ref="V217:W217"/>
    <mergeCell ref="Z217:AB217"/>
    <mergeCell ref="AD217:AE217"/>
    <mergeCell ref="AF217:AG217"/>
    <mergeCell ref="AI217:AJ217"/>
    <mergeCell ref="AK217:AL217"/>
    <mergeCell ref="F217:G217"/>
    <mergeCell ref="I217:J217"/>
    <mergeCell ref="K217:L217"/>
    <mergeCell ref="M217:N217"/>
    <mergeCell ref="P217:Q217"/>
    <mergeCell ref="S217:T217"/>
    <mergeCell ref="V216:W216"/>
    <mergeCell ref="Z216:AB216"/>
    <mergeCell ref="AD216:AE216"/>
    <mergeCell ref="AF216:AG216"/>
    <mergeCell ref="AI216:AJ216"/>
    <mergeCell ref="AK216:AL216"/>
    <mergeCell ref="F216:G216"/>
    <mergeCell ref="I216:J216"/>
    <mergeCell ref="K216:L216"/>
    <mergeCell ref="M216:N216"/>
    <mergeCell ref="P216:Q216"/>
    <mergeCell ref="S216:T216"/>
    <mergeCell ref="V215:W215"/>
    <mergeCell ref="Z215:AB215"/>
    <mergeCell ref="AD215:AE215"/>
    <mergeCell ref="AF215:AG215"/>
    <mergeCell ref="AI215:AJ215"/>
    <mergeCell ref="AK215:AL215"/>
    <mergeCell ref="F215:G215"/>
    <mergeCell ref="I215:J215"/>
    <mergeCell ref="K215:L215"/>
    <mergeCell ref="M215:N215"/>
    <mergeCell ref="P215:Q215"/>
    <mergeCell ref="S215:T215"/>
    <mergeCell ref="V214:W214"/>
    <mergeCell ref="Z214:AB214"/>
    <mergeCell ref="AD214:AE214"/>
    <mergeCell ref="AF214:AG214"/>
    <mergeCell ref="AI214:AJ214"/>
    <mergeCell ref="AK214:AL214"/>
    <mergeCell ref="F214:G214"/>
    <mergeCell ref="I214:J214"/>
    <mergeCell ref="K214:L214"/>
    <mergeCell ref="M214:N214"/>
    <mergeCell ref="P214:Q214"/>
    <mergeCell ref="S214:T214"/>
    <mergeCell ref="V213:W213"/>
    <mergeCell ref="Z213:AB213"/>
    <mergeCell ref="AD213:AE213"/>
    <mergeCell ref="AF213:AG213"/>
    <mergeCell ref="AI213:AJ213"/>
    <mergeCell ref="AK213:AL213"/>
    <mergeCell ref="F213:G213"/>
    <mergeCell ref="I213:J213"/>
    <mergeCell ref="K213:L213"/>
    <mergeCell ref="M213:N213"/>
    <mergeCell ref="P213:Q213"/>
    <mergeCell ref="S213:T213"/>
    <mergeCell ref="V212:W212"/>
    <mergeCell ref="Z212:AB212"/>
    <mergeCell ref="AD212:AE212"/>
    <mergeCell ref="AF212:AG212"/>
    <mergeCell ref="AI212:AJ212"/>
    <mergeCell ref="AK212:AL212"/>
    <mergeCell ref="F212:G212"/>
    <mergeCell ref="I212:J212"/>
    <mergeCell ref="K212:L212"/>
    <mergeCell ref="M212:N212"/>
    <mergeCell ref="P212:Q212"/>
    <mergeCell ref="S212:T212"/>
    <mergeCell ref="V211:W211"/>
    <mergeCell ref="Z211:AB211"/>
    <mergeCell ref="AD211:AE211"/>
    <mergeCell ref="AF211:AG211"/>
    <mergeCell ref="AI211:AJ211"/>
    <mergeCell ref="AK211:AL211"/>
    <mergeCell ref="F211:G211"/>
    <mergeCell ref="I211:J211"/>
    <mergeCell ref="K211:L211"/>
    <mergeCell ref="M211:N211"/>
    <mergeCell ref="P211:Q211"/>
    <mergeCell ref="S211:T211"/>
    <mergeCell ref="V210:W210"/>
    <mergeCell ref="Z210:AB210"/>
    <mergeCell ref="AD210:AE210"/>
    <mergeCell ref="AF210:AG210"/>
    <mergeCell ref="AI210:AJ210"/>
    <mergeCell ref="AK210:AL210"/>
    <mergeCell ref="F210:G210"/>
    <mergeCell ref="I210:J210"/>
    <mergeCell ref="K210:L210"/>
    <mergeCell ref="M210:N210"/>
    <mergeCell ref="P210:Q210"/>
    <mergeCell ref="S210:T210"/>
    <mergeCell ref="V209:W209"/>
    <mergeCell ref="Z209:AB209"/>
    <mergeCell ref="AD209:AE209"/>
    <mergeCell ref="AF209:AG209"/>
    <mergeCell ref="AI209:AJ209"/>
    <mergeCell ref="AK209:AL209"/>
    <mergeCell ref="F209:G209"/>
    <mergeCell ref="I209:J209"/>
    <mergeCell ref="K209:L209"/>
    <mergeCell ref="M209:N209"/>
    <mergeCell ref="P209:Q209"/>
    <mergeCell ref="S209:T209"/>
    <mergeCell ref="V208:W208"/>
    <mergeCell ref="Z208:AB208"/>
    <mergeCell ref="AD208:AE208"/>
    <mergeCell ref="AF208:AG208"/>
    <mergeCell ref="AI208:AJ208"/>
    <mergeCell ref="AK208:AL208"/>
    <mergeCell ref="F208:G208"/>
    <mergeCell ref="I208:J208"/>
    <mergeCell ref="K208:L208"/>
    <mergeCell ref="M208:N208"/>
    <mergeCell ref="P208:Q208"/>
    <mergeCell ref="S208:T208"/>
    <mergeCell ref="V207:W207"/>
    <mergeCell ref="Z207:AB207"/>
    <mergeCell ref="AD207:AE207"/>
    <mergeCell ref="AF207:AG207"/>
    <mergeCell ref="AI207:AJ207"/>
    <mergeCell ref="AK207:AL207"/>
    <mergeCell ref="F207:G207"/>
    <mergeCell ref="I207:J207"/>
    <mergeCell ref="K207:L207"/>
    <mergeCell ref="M207:N207"/>
    <mergeCell ref="P207:Q207"/>
    <mergeCell ref="S207:T207"/>
    <mergeCell ref="V206:W206"/>
    <mergeCell ref="Z206:AB206"/>
    <mergeCell ref="AD206:AE206"/>
    <mergeCell ref="AF206:AG206"/>
    <mergeCell ref="AI206:AJ206"/>
    <mergeCell ref="AK206:AL206"/>
    <mergeCell ref="F206:G206"/>
    <mergeCell ref="I206:J206"/>
    <mergeCell ref="K206:L206"/>
    <mergeCell ref="M206:N206"/>
    <mergeCell ref="P206:Q206"/>
    <mergeCell ref="S206:T206"/>
    <mergeCell ref="V205:W205"/>
    <mergeCell ref="Z205:AB205"/>
    <mergeCell ref="AD205:AE205"/>
    <mergeCell ref="AF205:AG205"/>
    <mergeCell ref="AI205:AJ205"/>
    <mergeCell ref="AK205:AL205"/>
    <mergeCell ref="F205:G205"/>
    <mergeCell ref="I205:J205"/>
    <mergeCell ref="K205:L205"/>
    <mergeCell ref="M205:N205"/>
    <mergeCell ref="P205:Q205"/>
    <mergeCell ref="S205:T205"/>
    <mergeCell ref="V204:W204"/>
    <mergeCell ref="Z204:AB204"/>
    <mergeCell ref="AD204:AE204"/>
    <mergeCell ref="AF204:AG204"/>
    <mergeCell ref="AI204:AJ204"/>
    <mergeCell ref="AK204:AL204"/>
    <mergeCell ref="F204:G204"/>
    <mergeCell ref="I204:J204"/>
    <mergeCell ref="K204:L204"/>
    <mergeCell ref="M204:N204"/>
    <mergeCell ref="P204:Q204"/>
    <mergeCell ref="S204:T204"/>
    <mergeCell ref="V203:W203"/>
    <mergeCell ref="Z203:AB203"/>
    <mergeCell ref="AD203:AE203"/>
    <mergeCell ref="AF203:AG203"/>
    <mergeCell ref="AI203:AJ203"/>
    <mergeCell ref="AK203:AL203"/>
    <mergeCell ref="F203:G203"/>
    <mergeCell ref="I203:J203"/>
    <mergeCell ref="K203:L203"/>
    <mergeCell ref="M203:N203"/>
    <mergeCell ref="P203:Q203"/>
    <mergeCell ref="S203:T203"/>
    <mergeCell ref="V202:W202"/>
    <mergeCell ref="Z202:AB202"/>
    <mergeCell ref="AD202:AE202"/>
    <mergeCell ref="AF202:AG202"/>
    <mergeCell ref="AI202:AJ202"/>
    <mergeCell ref="AK202:AL202"/>
    <mergeCell ref="F202:G202"/>
    <mergeCell ref="I202:J202"/>
    <mergeCell ref="K202:L202"/>
    <mergeCell ref="M202:N202"/>
    <mergeCell ref="P202:Q202"/>
    <mergeCell ref="S202:T202"/>
    <mergeCell ref="V201:W201"/>
    <mergeCell ref="Z201:AB201"/>
    <mergeCell ref="AD201:AE201"/>
    <mergeCell ref="AF201:AG201"/>
    <mergeCell ref="AI201:AJ201"/>
    <mergeCell ref="AK201:AL201"/>
    <mergeCell ref="F201:G201"/>
    <mergeCell ref="I201:J201"/>
    <mergeCell ref="K201:L201"/>
    <mergeCell ref="M201:N201"/>
    <mergeCell ref="P201:Q201"/>
    <mergeCell ref="S201:T201"/>
    <mergeCell ref="V200:W200"/>
    <mergeCell ref="Z200:AB200"/>
    <mergeCell ref="AD200:AE200"/>
    <mergeCell ref="AF200:AG200"/>
    <mergeCell ref="AI200:AJ200"/>
    <mergeCell ref="AK200:AL200"/>
    <mergeCell ref="F200:G200"/>
    <mergeCell ref="I200:J200"/>
    <mergeCell ref="K200:L200"/>
    <mergeCell ref="M200:N200"/>
    <mergeCell ref="P200:Q200"/>
    <mergeCell ref="S200:T200"/>
    <mergeCell ref="V199:W199"/>
    <mergeCell ref="Z199:AB199"/>
    <mergeCell ref="AD199:AE199"/>
    <mergeCell ref="AF199:AG199"/>
    <mergeCell ref="AI199:AJ199"/>
    <mergeCell ref="AK199:AL199"/>
    <mergeCell ref="F199:G199"/>
    <mergeCell ref="I199:J199"/>
    <mergeCell ref="K199:L199"/>
    <mergeCell ref="M199:N199"/>
    <mergeCell ref="P199:Q199"/>
    <mergeCell ref="S199:T199"/>
    <mergeCell ref="V198:W198"/>
    <mergeCell ref="Z198:AB198"/>
    <mergeCell ref="AD198:AE198"/>
    <mergeCell ref="AF198:AG198"/>
    <mergeCell ref="AI198:AJ198"/>
    <mergeCell ref="AK198:AL198"/>
    <mergeCell ref="F198:G198"/>
    <mergeCell ref="I198:J198"/>
    <mergeCell ref="K198:L198"/>
    <mergeCell ref="M198:N198"/>
    <mergeCell ref="P198:Q198"/>
    <mergeCell ref="S198:T198"/>
    <mergeCell ref="V197:W197"/>
    <mergeCell ref="Z197:AB197"/>
    <mergeCell ref="AD197:AE197"/>
    <mergeCell ref="AF197:AG197"/>
    <mergeCell ref="AI197:AJ197"/>
    <mergeCell ref="AK197:AL197"/>
    <mergeCell ref="F197:G197"/>
    <mergeCell ref="I197:J197"/>
    <mergeCell ref="K197:L197"/>
    <mergeCell ref="M197:N197"/>
    <mergeCell ref="P197:Q197"/>
    <mergeCell ref="S197:T197"/>
    <mergeCell ref="S196:W196"/>
    <mergeCell ref="Z196:AB196"/>
    <mergeCell ref="AC196:AE196"/>
    <mergeCell ref="AF196:AJ196"/>
    <mergeCell ref="AK196:AM196"/>
    <mergeCell ref="AP196:AR196"/>
    <mergeCell ref="L193:M193"/>
    <mergeCell ref="N193:O193"/>
    <mergeCell ref="F196:G196"/>
    <mergeCell ref="I196:J196"/>
    <mergeCell ref="K196:L196"/>
    <mergeCell ref="M196:Q196"/>
    <mergeCell ref="AD192:AE193"/>
    <mergeCell ref="AF192:AG193"/>
    <mergeCell ref="AH192:AH193"/>
    <mergeCell ref="AI192:AJ193"/>
    <mergeCell ref="AK192:AL193"/>
    <mergeCell ref="AM192:AM193"/>
    <mergeCell ref="AI176:AM176"/>
    <mergeCell ref="AN176:AO176"/>
    <mergeCell ref="C192:E193"/>
    <mergeCell ref="G192:H192"/>
    <mergeCell ref="I192:J192"/>
    <mergeCell ref="L192:M192"/>
    <mergeCell ref="N192:O192"/>
    <mergeCell ref="Q192:R192"/>
    <mergeCell ref="Z192:AB193"/>
    <mergeCell ref="AC192:AC193"/>
    <mergeCell ref="C173:E173"/>
    <mergeCell ref="AN173:AO173"/>
    <mergeCell ref="C174:E174"/>
    <mergeCell ref="AN174:AO174"/>
    <mergeCell ref="C175:E175"/>
    <mergeCell ref="AN175:AO175"/>
    <mergeCell ref="C170:E170"/>
    <mergeCell ref="AN170:AO170"/>
    <mergeCell ref="C171:E171"/>
    <mergeCell ref="AN171:AO171"/>
    <mergeCell ref="C172:E172"/>
    <mergeCell ref="AN172:AO172"/>
    <mergeCell ref="C167:E167"/>
    <mergeCell ref="AN167:AO167"/>
    <mergeCell ref="C168:E168"/>
    <mergeCell ref="AN168:AO168"/>
    <mergeCell ref="C169:E169"/>
    <mergeCell ref="AN169:AO169"/>
    <mergeCell ref="C164:E164"/>
    <mergeCell ref="AN164:AO164"/>
    <mergeCell ref="C165:E165"/>
    <mergeCell ref="AN165:AO165"/>
    <mergeCell ref="C166:E166"/>
    <mergeCell ref="AN166:AO166"/>
    <mergeCell ref="C161:E161"/>
    <mergeCell ref="AN161:AO161"/>
    <mergeCell ref="C162:E162"/>
    <mergeCell ref="AN162:AO162"/>
    <mergeCell ref="C163:E163"/>
    <mergeCell ref="AN163:AO163"/>
    <mergeCell ref="C158:E158"/>
    <mergeCell ref="AN158:AO158"/>
    <mergeCell ref="C159:E159"/>
    <mergeCell ref="AN159:AO159"/>
    <mergeCell ref="C160:E160"/>
    <mergeCell ref="AN160:AO160"/>
    <mergeCell ref="C155:E155"/>
    <mergeCell ref="AN155:AO155"/>
    <mergeCell ref="C156:E156"/>
    <mergeCell ref="AN156:AO156"/>
    <mergeCell ref="C157:E157"/>
    <mergeCell ref="AN157:AO157"/>
    <mergeCell ref="C152:E152"/>
    <mergeCell ref="AN152:AO152"/>
    <mergeCell ref="C153:E153"/>
    <mergeCell ref="AN153:AO153"/>
    <mergeCell ref="C154:E154"/>
    <mergeCell ref="AN154:AO154"/>
    <mergeCell ref="AG148:AH148"/>
    <mergeCell ref="AJ148:AK148"/>
    <mergeCell ref="AN149:AO149"/>
    <mergeCell ref="C150:F150"/>
    <mergeCell ref="AN150:AO150"/>
    <mergeCell ref="C151:E151"/>
    <mergeCell ref="AN151:AO151"/>
    <mergeCell ref="G148:I148"/>
    <mergeCell ref="M148:N148"/>
    <mergeCell ref="Q148:R148"/>
    <mergeCell ref="U148:V148"/>
    <mergeCell ref="Y148:AA148"/>
    <mergeCell ref="AD148:AE148"/>
    <mergeCell ref="C140:C141"/>
    <mergeCell ref="D140:D141"/>
    <mergeCell ref="E140:E141"/>
    <mergeCell ref="C143:E143"/>
    <mergeCell ref="Y146:AB146"/>
    <mergeCell ref="AD146:AL147"/>
    <mergeCell ref="F147:I147"/>
    <mergeCell ref="L147:O147"/>
    <mergeCell ref="S147:W147"/>
    <mergeCell ref="Y147:AB147"/>
    <mergeCell ref="B136:B137"/>
    <mergeCell ref="C136:C137"/>
    <mergeCell ref="D136:D137"/>
    <mergeCell ref="E136:E137"/>
    <mergeCell ref="B138:B139"/>
    <mergeCell ref="C138:C139"/>
    <mergeCell ref="D138:D139"/>
    <mergeCell ref="E138:E139"/>
    <mergeCell ref="B132:B133"/>
    <mergeCell ref="C132:C133"/>
    <mergeCell ref="D132:D133"/>
    <mergeCell ref="E132:E133"/>
    <mergeCell ref="B134:B135"/>
    <mergeCell ref="C134:C135"/>
    <mergeCell ref="D134:D135"/>
    <mergeCell ref="E134:E135"/>
    <mergeCell ref="B128:B129"/>
    <mergeCell ref="C128:C129"/>
    <mergeCell ref="D128:D129"/>
    <mergeCell ref="E128:E129"/>
    <mergeCell ref="B130:B131"/>
    <mergeCell ref="C130:C131"/>
    <mergeCell ref="D130:D131"/>
    <mergeCell ref="E130:E131"/>
    <mergeCell ref="B124:B125"/>
    <mergeCell ref="C124:C125"/>
    <mergeCell ref="D124:D125"/>
    <mergeCell ref="E124:E125"/>
    <mergeCell ref="B126:B127"/>
    <mergeCell ref="C126:C127"/>
    <mergeCell ref="D126:D127"/>
    <mergeCell ref="E126:E127"/>
    <mergeCell ref="B120:B121"/>
    <mergeCell ref="C120:C121"/>
    <mergeCell ref="D120:D121"/>
    <mergeCell ref="E120:E121"/>
    <mergeCell ref="B122:B123"/>
    <mergeCell ref="C122:C123"/>
    <mergeCell ref="D122:D123"/>
    <mergeCell ref="E122:E123"/>
    <mergeCell ref="B116:B117"/>
    <mergeCell ref="C116:C117"/>
    <mergeCell ref="D116:D117"/>
    <mergeCell ref="E116:E117"/>
    <mergeCell ref="B118:B119"/>
    <mergeCell ref="C118:C119"/>
    <mergeCell ref="D118:D119"/>
    <mergeCell ref="E118:E119"/>
    <mergeCell ref="B112:B113"/>
    <mergeCell ref="C112:C113"/>
    <mergeCell ref="D112:D113"/>
    <mergeCell ref="E112:E113"/>
    <mergeCell ref="B114:B115"/>
    <mergeCell ref="C114:C115"/>
    <mergeCell ref="D114:D115"/>
    <mergeCell ref="E114:E115"/>
    <mergeCell ref="B108:B109"/>
    <mergeCell ref="C108:C109"/>
    <mergeCell ref="D108:D109"/>
    <mergeCell ref="E108:E109"/>
    <mergeCell ref="B110:B111"/>
    <mergeCell ref="C110:C111"/>
    <mergeCell ref="D110:D111"/>
    <mergeCell ref="E110:E111"/>
    <mergeCell ref="B104:B105"/>
    <mergeCell ref="C104:C105"/>
    <mergeCell ref="D104:D105"/>
    <mergeCell ref="E104:E105"/>
    <mergeCell ref="B106:B107"/>
    <mergeCell ref="C106:C107"/>
    <mergeCell ref="D106:D107"/>
    <mergeCell ref="E106:E107"/>
    <mergeCell ref="B100:B101"/>
    <mergeCell ref="C100:C101"/>
    <mergeCell ref="D100:D101"/>
    <mergeCell ref="E100:E101"/>
    <mergeCell ref="B102:B103"/>
    <mergeCell ref="C102:C103"/>
    <mergeCell ref="D102:D103"/>
    <mergeCell ref="E102:E103"/>
    <mergeCell ref="B96:B97"/>
    <mergeCell ref="C96:C97"/>
    <mergeCell ref="D96:D97"/>
    <mergeCell ref="E96:E97"/>
    <mergeCell ref="B98:B99"/>
    <mergeCell ref="C98:C99"/>
    <mergeCell ref="D98:D99"/>
    <mergeCell ref="E98:E99"/>
    <mergeCell ref="B92:B93"/>
    <mergeCell ref="C92:C93"/>
    <mergeCell ref="D92:D93"/>
    <mergeCell ref="E92:E93"/>
    <mergeCell ref="B94:B95"/>
    <mergeCell ref="C94:C95"/>
    <mergeCell ref="D94:D95"/>
    <mergeCell ref="E94:E95"/>
    <mergeCell ref="B88:B89"/>
    <mergeCell ref="C88:C89"/>
    <mergeCell ref="D88:D89"/>
    <mergeCell ref="E88:E89"/>
    <mergeCell ref="B90:B91"/>
    <mergeCell ref="C90:C91"/>
    <mergeCell ref="D90:D91"/>
    <mergeCell ref="E90:E91"/>
    <mergeCell ref="B84:B85"/>
    <mergeCell ref="C84:C85"/>
    <mergeCell ref="D84:D85"/>
    <mergeCell ref="E84:E85"/>
    <mergeCell ref="B86:B87"/>
    <mergeCell ref="C86:C87"/>
    <mergeCell ref="D86:D87"/>
    <mergeCell ref="E86:E87"/>
    <mergeCell ref="B80:B81"/>
    <mergeCell ref="C80:C81"/>
    <mergeCell ref="D80:D81"/>
    <mergeCell ref="E80:E81"/>
    <mergeCell ref="B82:B83"/>
    <mergeCell ref="C82:C83"/>
    <mergeCell ref="D82:D83"/>
    <mergeCell ref="E82:E83"/>
    <mergeCell ref="B76:B77"/>
    <mergeCell ref="C76:C77"/>
    <mergeCell ref="D76:D77"/>
    <mergeCell ref="E76:E77"/>
    <mergeCell ref="B78:B79"/>
    <mergeCell ref="C78:C79"/>
    <mergeCell ref="D78:D79"/>
    <mergeCell ref="E78:E79"/>
    <mergeCell ref="B72:B73"/>
    <mergeCell ref="C72:C73"/>
    <mergeCell ref="D72:D73"/>
    <mergeCell ref="E72:E73"/>
    <mergeCell ref="B74:B75"/>
    <mergeCell ref="C74:C75"/>
    <mergeCell ref="D74:D75"/>
    <mergeCell ref="E74:E75"/>
    <mergeCell ref="B68:B69"/>
    <mergeCell ref="C68:C69"/>
    <mergeCell ref="D68:D69"/>
    <mergeCell ref="E68:E69"/>
    <mergeCell ref="B70:B71"/>
    <mergeCell ref="C70:C71"/>
    <mergeCell ref="D70:D71"/>
    <mergeCell ref="E70:E71"/>
    <mergeCell ref="B64:B65"/>
    <mergeCell ref="C64:C65"/>
    <mergeCell ref="D64:D65"/>
    <mergeCell ref="E64:E65"/>
    <mergeCell ref="B66:B67"/>
    <mergeCell ref="C66:C67"/>
    <mergeCell ref="D66:D67"/>
    <mergeCell ref="E66:E67"/>
    <mergeCell ref="B60:B61"/>
    <mergeCell ref="C60:C61"/>
    <mergeCell ref="D60:D61"/>
    <mergeCell ref="E60:E61"/>
    <mergeCell ref="B62:B63"/>
    <mergeCell ref="C62:C63"/>
    <mergeCell ref="D62:D63"/>
    <mergeCell ref="E62:E63"/>
    <mergeCell ref="B56:B57"/>
    <mergeCell ref="C56:C57"/>
    <mergeCell ref="D56:D57"/>
    <mergeCell ref="E56:E57"/>
    <mergeCell ref="B58:B59"/>
    <mergeCell ref="C58:C59"/>
    <mergeCell ref="D58:D59"/>
    <mergeCell ref="E58:E59"/>
    <mergeCell ref="B52:B53"/>
    <mergeCell ref="C52:C53"/>
    <mergeCell ref="D52:D53"/>
    <mergeCell ref="E52:E53"/>
    <mergeCell ref="B54:B55"/>
    <mergeCell ref="C54:C55"/>
    <mergeCell ref="D54:D55"/>
    <mergeCell ref="E54:E55"/>
    <mergeCell ref="B48:B49"/>
    <mergeCell ref="C48:C49"/>
    <mergeCell ref="D48:D49"/>
    <mergeCell ref="E48:E49"/>
    <mergeCell ref="B50:B51"/>
    <mergeCell ref="C50:C51"/>
    <mergeCell ref="D50:D51"/>
    <mergeCell ref="E50:E51"/>
    <mergeCell ref="B44:B45"/>
    <mergeCell ref="C44:C45"/>
    <mergeCell ref="D44:D45"/>
    <mergeCell ref="E44:E45"/>
    <mergeCell ref="B46:B47"/>
    <mergeCell ref="C46:C47"/>
    <mergeCell ref="D46:D47"/>
    <mergeCell ref="E46:E47"/>
    <mergeCell ref="B40:B41"/>
    <mergeCell ref="C40:C41"/>
    <mergeCell ref="D40:D41"/>
    <mergeCell ref="E40:E41"/>
    <mergeCell ref="B42:B43"/>
    <mergeCell ref="C42:C43"/>
    <mergeCell ref="D42:D43"/>
    <mergeCell ref="E42:E43"/>
    <mergeCell ref="B36:B37"/>
    <mergeCell ref="C36:C37"/>
    <mergeCell ref="D36:D37"/>
    <mergeCell ref="E36:E37"/>
    <mergeCell ref="B38:B39"/>
    <mergeCell ref="C38:C39"/>
    <mergeCell ref="D38:D39"/>
    <mergeCell ref="E38:E39"/>
    <mergeCell ref="B32:B33"/>
    <mergeCell ref="C32:C33"/>
    <mergeCell ref="D32:D33"/>
    <mergeCell ref="E32:E33"/>
    <mergeCell ref="B34:B35"/>
    <mergeCell ref="C34:C35"/>
    <mergeCell ref="D34:D35"/>
    <mergeCell ref="E34:E35"/>
    <mergeCell ref="B28:B29"/>
    <mergeCell ref="C28:C29"/>
    <mergeCell ref="D28:D29"/>
    <mergeCell ref="E28:E29"/>
    <mergeCell ref="B30:B31"/>
    <mergeCell ref="C30:C31"/>
    <mergeCell ref="D30:D31"/>
    <mergeCell ref="E30:E31"/>
    <mergeCell ref="B24:B25"/>
    <mergeCell ref="C24:C25"/>
    <mergeCell ref="D24:D25"/>
    <mergeCell ref="E24:E25"/>
    <mergeCell ref="B26:B27"/>
    <mergeCell ref="C26:C27"/>
    <mergeCell ref="D26:D27"/>
    <mergeCell ref="E26:E27"/>
    <mergeCell ref="B20:B21"/>
    <mergeCell ref="C20:C21"/>
    <mergeCell ref="D20:D21"/>
    <mergeCell ref="E20:E21"/>
    <mergeCell ref="B22:B23"/>
    <mergeCell ref="C22:C23"/>
    <mergeCell ref="D22:D23"/>
    <mergeCell ref="E22:E23"/>
    <mergeCell ref="B16:B17"/>
    <mergeCell ref="C16:C17"/>
    <mergeCell ref="D16:D17"/>
    <mergeCell ref="E16:E17"/>
    <mergeCell ref="B18:B19"/>
    <mergeCell ref="C18:C19"/>
    <mergeCell ref="D18:D19"/>
    <mergeCell ref="E18:E19"/>
    <mergeCell ref="B12:B13"/>
    <mergeCell ref="C12:C13"/>
    <mergeCell ref="D12:D13"/>
    <mergeCell ref="E12:E13"/>
    <mergeCell ref="B14:B15"/>
    <mergeCell ref="C14:C15"/>
    <mergeCell ref="D14:D15"/>
    <mergeCell ref="E14:E15"/>
    <mergeCell ref="AL7:AL9"/>
    <mergeCell ref="AN7:AR8"/>
    <mergeCell ref="B10:B11"/>
    <mergeCell ref="C10:C11"/>
    <mergeCell ref="D10:D11"/>
    <mergeCell ref="E10:E11"/>
    <mergeCell ref="AQ1:AR1"/>
    <mergeCell ref="J2:K2"/>
    <mergeCell ref="O2:P2"/>
    <mergeCell ref="E4:AK5"/>
    <mergeCell ref="D7:D9"/>
    <mergeCell ref="G7:M7"/>
    <mergeCell ref="N7:T7"/>
    <mergeCell ref="U7:AA7"/>
    <mergeCell ref="AB7:AH7"/>
    <mergeCell ref="AI7:AK7"/>
  </mergeCells>
  <phoneticPr fontId="3"/>
  <dataValidations count="3">
    <dataValidation type="list" allowBlank="1" showInputMessage="1" showErrorMessage="1" sqref="D140 D118 D116 D114 D94 D58 D88 D84 D92 D86 D72 D68 D60 D102 D100 D104 D106 D98 D96 D112 D110 D108 D120 D122 D124 D126 D128 D130 D132 D134 D136 D138 D70 D78 D18 D20 D22 D24 D16 D74 D28 D26 D30 D34 D38 D36 D32 D44 D46 D42 D40 D82 D80 D54 D52 D50 D48 D90 D56 D64 D983204:D983223 D917668:D917687 D852132:D852151 D786596:D786615 D721060:D721079 D655524:D655543 D589988:D590007 D524452:D524471 D458916:D458935 D393380:D393399 D327844:D327863 D262308:D262327 D196772:D196791 D131236:D131255 D65700:D65719 D10 D76 D62 D66 D12 D14" xr:uid="{BB3636D5-E021-488F-B252-38C2D46AFC68}">
      <formula1>$AU$2:$AU$6</formula1>
    </dataValidation>
    <dataValidation type="list" allowBlank="1" showInputMessage="1" showErrorMessage="1" sqref="G12:AK12 G10:AK10 G138:AK138 G136:AK136 G134:AK134 G132:AK132 G130:AK130 G128:AK128 G126:AK126 G124:AK124 G122:AK122 G140:AK140 G120:AK120 G112:AK112 G114:AK114 G116:AK116 G88:AK88 G90:AK90 G92:AK92 G94:AK94 G80:AK80 G82:AK82 G84:AK84 G86:AK86 G104:AK104 G106:AK106 G108:AK108 G110:AK110 G96:AK96 G98:AK98 G100:AK100 G102:AK102 G64:AK64 G54:AK54 G66:AK66 G30:AK30 G44:AK44 G46:AK46 G52:AK52 G56:AK56 G14:AK14 G72:AK72 G58:AK58 G76:AK76 G78:AK78 G118:AK118 G60:AK60 G62:AK62 G68:AK68 G70:AK70 G24:AK24 G26:AK26 G28:AK28 G38:AK38 G16:AK16 G18:AK18 G20:AK20 G22:AK22 G40:AK40 G42:AK42 G48:AK48 G50:AK50 G32:AK32 G34:AK34 G36:AK36 G74:AK74" xr:uid="{78A62AEB-6E9E-412B-AE1E-4E7CEC47B483}">
      <formula1>$AC$197:$AC$221</formula1>
    </dataValidation>
    <dataValidation type="list" allowBlank="1" showInputMessage="1" showErrorMessage="1" sqref="C10:C141" xr:uid="{958384B9-8EFF-4A7C-BD6A-79BAA54FD5A1}">
      <formula1>$E$197:$E$221</formula1>
    </dataValidation>
  </dataValidations>
  <printOptions horizontalCentered="1"/>
  <pageMargins left="0.19685039370078741" right="0.19685039370078741" top="0.78740157480314965" bottom="0.78740157480314965" header="0.31496062992125984" footer="0.31496062992125984"/>
  <pageSetup paperSize="9" scale="74" orientation="landscape" r:id="rId1"/>
  <rowBreaks count="3" manualBreakCount="3">
    <brk id="43" max="44" man="1"/>
    <brk id="144" max="44" man="1"/>
    <brk id="177" max="44"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39D8F-2C40-418E-9E56-90D687D3CBA6}">
  <dimension ref="A1:AV224"/>
  <sheetViews>
    <sheetView view="pageBreakPreview" zoomScale="85" zoomScaleNormal="100" zoomScaleSheetLayoutView="85" workbookViewId="0">
      <selection activeCell="AJ190" sqref="AJ190"/>
    </sheetView>
  </sheetViews>
  <sheetFormatPr defaultColWidth="9" defaultRowHeight="12"/>
  <cols>
    <col min="1" max="1" width="1.77734375" style="994" customWidth="1"/>
    <col min="2" max="2" width="3.44140625" style="989" customWidth="1"/>
    <col min="3" max="3" width="12.88671875" style="989" customWidth="1"/>
    <col min="4" max="4" width="3.44140625" style="989" customWidth="1"/>
    <col min="5" max="5" width="12" style="989" customWidth="1"/>
    <col min="6" max="6" width="3.88671875" style="989" customWidth="1"/>
    <col min="7" max="37" width="3.77734375" style="989" customWidth="1"/>
    <col min="38" max="38" width="8.33203125" style="989" customWidth="1"/>
    <col min="39" max="40" width="5.88671875" style="989" customWidth="1"/>
    <col min="41" max="41" width="2.6640625" style="989" bestFit="1" customWidth="1"/>
    <col min="42" max="42" width="5.21875" style="989" bestFit="1" customWidth="1"/>
    <col min="43" max="43" width="4.88671875" style="989" bestFit="1" customWidth="1"/>
    <col min="44" max="44" width="5.109375" style="989" bestFit="1" customWidth="1"/>
    <col min="45" max="46" width="1.88671875" style="989" customWidth="1"/>
    <col min="47" max="47" width="3.109375" style="989" bestFit="1" customWidth="1"/>
    <col min="48" max="48" width="3.21875" style="989" customWidth="1"/>
    <col min="49" max="16384" width="9" style="994"/>
  </cols>
  <sheetData>
    <row r="1" spans="1:48" ht="15" thickBot="1">
      <c r="A1" s="989"/>
      <c r="C1" s="990" t="s">
        <v>1926</v>
      </c>
      <c r="R1" s="991" t="s">
        <v>1927</v>
      </c>
      <c r="AM1" s="992"/>
      <c r="AN1" s="992"/>
      <c r="AO1" s="992"/>
      <c r="AP1" s="992"/>
      <c r="AQ1" s="2245" t="s">
        <v>1928</v>
      </c>
      <c r="AR1" s="2245"/>
      <c r="AS1" s="993"/>
    </row>
    <row r="2" spans="1:48" ht="14.4">
      <c r="A2" s="989"/>
      <c r="C2" s="994"/>
      <c r="J2" s="2246" t="s">
        <v>1929</v>
      </c>
      <c r="K2" s="2246"/>
      <c r="L2" s="995"/>
      <c r="M2" s="996" t="s">
        <v>1930</v>
      </c>
      <c r="N2" s="997"/>
      <c r="O2" s="2247" t="s">
        <v>1931</v>
      </c>
      <c r="P2" s="2247"/>
      <c r="Q2" s="994"/>
      <c r="T2" s="998"/>
      <c r="U2" s="998"/>
      <c r="AA2" s="999"/>
      <c r="AB2" s="999"/>
      <c r="AC2" s="999"/>
      <c r="AD2" s="999"/>
      <c r="AE2" s="1000"/>
      <c r="AF2" s="1000"/>
      <c r="AG2" s="1000"/>
      <c r="AH2" s="1000"/>
      <c r="AI2" s="1000"/>
      <c r="AJ2" s="1000"/>
      <c r="AK2" s="1000"/>
      <c r="AL2" s="1000"/>
      <c r="AM2" s="1000"/>
      <c r="AN2" s="1000"/>
      <c r="AO2" s="1000"/>
      <c r="AP2" s="1000"/>
      <c r="AQ2" s="1001"/>
      <c r="AR2" s="1001"/>
      <c r="AU2" s="1002" t="s">
        <v>1932</v>
      </c>
      <c r="AV2" s="1003">
        <v>1</v>
      </c>
    </row>
    <row r="3" spans="1:48" ht="12.75" customHeight="1" thickBot="1">
      <c r="A3" s="989"/>
      <c r="C3" s="1004" t="s">
        <v>1933</v>
      </c>
      <c r="D3" s="1005"/>
      <c r="E3" s="994"/>
      <c r="G3" s="994"/>
      <c r="H3" s="1006"/>
      <c r="I3" s="1006"/>
      <c r="J3" s="1006"/>
      <c r="K3" s="1006"/>
      <c r="L3" s="1006"/>
      <c r="M3" s="1006"/>
      <c r="N3" s="1006"/>
      <c r="O3" s="1006"/>
      <c r="P3" s="1006"/>
      <c r="Q3" s="1006"/>
      <c r="R3" s="1006"/>
      <c r="S3" s="1006"/>
      <c r="T3" s="1006"/>
      <c r="U3" s="1006"/>
      <c r="V3" s="1006"/>
      <c r="W3" s="1006"/>
      <c r="X3" s="1006"/>
      <c r="Y3" s="1006"/>
      <c r="Z3" s="1006"/>
      <c r="AA3" s="1006"/>
      <c r="AB3" s="1006"/>
      <c r="AC3" s="1006"/>
      <c r="AD3" s="1006"/>
      <c r="AE3" s="1006"/>
      <c r="AF3" s="1006"/>
      <c r="AG3" s="1006"/>
      <c r="AH3" s="1006"/>
      <c r="AI3" s="1006"/>
      <c r="AJ3" s="1006"/>
      <c r="AK3" s="1006"/>
      <c r="AL3" s="1006"/>
      <c r="AM3" s="1006"/>
      <c r="AN3" s="1000"/>
      <c r="AO3" s="1000"/>
      <c r="AP3" s="1000"/>
      <c r="AQ3" s="1001"/>
      <c r="AR3" s="1001"/>
      <c r="AU3" s="1007" t="s">
        <v>1934</v>
      </c>
      <c r="AV3" s="1008">
        <v>1</v>
      </c>
    </row>
    <row r="4" spans="1:48" ht="12.6" thickBot="1">
      <c r="A4" s="989"/>
      <c r="C4" s="1009">
        <v>43800</v>
      </c>
      <c r="D4" s="1005"/>
      <c r="E4" s="2248" t="str">
        <f>CONCATENATE(AN197,AN198,AN199,AN200,AN201,AN202,AN203,AN204,AN205,AN206,AN207,AN208,AN209,AN210,AN211,AN212,AN213,AN214,AN215,AN216,AN217,AN218,AN219,AN220,AN221)</f>
        <v>夜：夜勤（7.5ｈ）、明：明け（7.25ｈ）、①：日勤Ａ（7.75ｈ）、②：早出（7.75ｈ）、③：遅出（7.75ｈ）、⑤：午前Ａ（4ｈ）、⑥：午後Ａ（4ｈ）、⑦：日勤Ｂ（7ｈ）、⑧：午前Ｂ（4ｈ）、⑨：午後Ｂ（4ｈ）、⑩：午後Ｃ（4ｈ）、⑪：午後Ｄ（4ｈ）、⑱：日勤Ｃ（7.5ｈ）、⑲：午前Ｃ（4ｈ）、⑳：午前Ｄ（4ｈ）、公：公休（ｈ）、有：有休（ｈ）、欠：欠勤（ｈ）、特：特休（ｈ）、-：（ｈ）、-：（ｈ）、-：（ｈ）、-：（ｈ）、-：（ｈ）、-：（ｈ）、</v>
      </c>
      <c r="F4" s="2249"/>
      <c r="G4" s="2249"/>
      <c r="H4" s="2249"/>
      <c r="I4" s="2249"/>
      <c r="J4" s="2249"/>
      <c r="K4" s="2249"/>
      <c r="L4" s="2249"/>
      <c r="M4" s="2249"/>
      <c r="N4" s="2249"/>
      <c r="O4" s="2249"/>
      <c r="P4" s="2249"/>
      <c r="Q4" s="2249"/>
      <c r="R4" s="2249"/>
      <c r="S4" s="2249"/>
      <c r="T4" s="2249"/>
      <c r="U4" s="2249"/>
      <c r="V4" s="2249"/>
      <c r="W4" s="2249"/>
      <c r="X4" s="2249"/>
      <c r="Y4" s="2249"/>
      <c r="Z4" s="2249"/>
      <c r="AA4" s="2249"/>
      <c r="AB4" s="2249"/>
      <c r="AC4" s="2249"/>
      <c r="AD4" s="2249"/>
      <c r="AE4" s="2249"/>
      <c r="AF4" s="2249"/>
      <c r="AG4" s="2249"/>
      <c r="AH4" s="2249"/>
      <c r="AI4" s="2249"/>
      <c r="AJ4" s="2249"/>
      <c r="AK4" s="2250"/>
      <c r="AL4" s="1006"/>
      <c r="AM4" s="1006"/>
      <c r="AN4" s="1000"/>
      <c r="AO4" s="1000"/>
      <c r="AP4" s="1000"/>
      <c r="AQ4" s="1001"/>
      <c r="AR4" s="1001"/>
      <c r="AU4" s="1007" t="s">
        <v>1935</v>
      </c>
      <c r="AV4" s="1008"/>
    </row>
    <row r="5" spans="1:48" s="989" customFormat="1">
      <c r="C5" s="1010">
        <f>DAY(EOMONTH(C4,0))</f>
        <v>31</v>
      </c>
      <c r="D5" s="1005"/>
      <c r="E5" s="2251"/>
      <c r="F5" s="2252"/>
      <c r="G5" s="2252"/>
      <c r="H5" s="2252"/>
      <c r="I5" s="2252"/>
      <c r="J5" s="2252"/>
      <c r="K5" s="2252"/>
      <c r="L5" s="2252"/>
      <c r="M5" s="2252"/>
      <c r="N5" s="2252"/>
      <c r="O5" s="2252"/>
      <c r="P5" s="2252"/>
      <c r="Q5" s="2252"/>
      <c r="R5" s="2252"/>
      <c r="S5" s="2252"/>
      <c r="T5" s="2252"/>
      <c r="U5" s="2252"/>
      <c r="V5" s="2252"/>
      <c r="W5" s="2252"/>
      <c r="X5" s="2252"/>
      <c r="Y5" s="2252"/>
      <c r="Z5" s="2252"/>
      <c r="AA5" s="2252"/>
      <c r="AB5" s="2252"/>
      <c r="AC5" s="2252"/>
      <c r="AD5" s="2252"/>
      <c r="AE5" s="2252"/>
      <c r="AF5" s="2252"/>
      <c r="AG5" s="2252"/>
      <c r="AH5" s="2252"/>
      <c r="AI5" s="2252"/>
      <c r="AJ5" s="2252"/>
      <c r="AK5" s="2253"/>
      <c r="AL5" s="1006"/>
      <c r="AM5" s="1006"/>
      <c r="AN5" s="1000"/>
      <c r="AO5" s="1000"/>
      <c r="AP5" s="1000"/>
      <c r="AQ5" s="1001"/>
      <c r="AR5" s="1001"/>
      <c r="AU5" s="1007" t="s">
        <v>1936</v>
      </c>
      <c r="AV5" s="1008"/>
    </row>
    <row r="6" spans="1:48" ht="12.6" thickBot="1">
      <c r="A6" s="989"/>
      <c r="C6" s="1011" t="s">
        <v>1937</v>
      </c>
      <c r="T6" s="998"/>
      <c r="U6" s="998"/>
      <c r="AA6" s="999"/>
      <c r="AB6" s="999"/>
      <c r="AC6" s="999"/>
      <c r="AD6" s="999"/>
      <c r="AE6" s="1000"/>
      <c r="AF6" s="1000"/>
      <c r="AG6" s="1000"/>
      <c r="AH6" s="1000"/>
      <c r="AI6" s="1000"/>
      <c r="AJ6" s="1000"/>
      <c r="AK6" s="1012" t="s">
        <v>1938</v>
      </c>
      <c r="AL6" s="1013">
        <f>N193</f>
        <v>155</v>
      </c>
      <c r="AM6" s="1014">
        <f>N192</f>
        <v>38.75</v>
      </c>
      <c r="AN6" s="1015"/>
      <c r="AO6" s="1015"/>
      <c r="AP6" s="1015"/>
      <c r="AQ6" s="1001"/>
      <c r="AR6" s="1001"/>
      <c r="AU6" s="1016"/>
      <c r="AV6" s="1017"/>
    </row>
    <row r="7" spans="1:48" ht="15.9" customHeight="1">
      <c r="A7" s="989"/>
      <c r="C7" s="1018"/>
      <c r="D7" s="2254" t="s">
        <v>1939</v>
      </c>
      <c r="E7" s="1018"/>
      <c r="F7" s="1019"/>
      <c r="G7" s="2257" t="s">
        <v>1940</v>
      </c>
      <c r="H7" s="2258"/>
      <c r="I7" s="2258"/>
      <c r="J7" s="2258"/>
      <c r="K7" s="2258"/>
      <c r="L7" s="2258"/>
      <c r="M7" s="2259"/>
      <c r="N7" s="2257" t="s">
        <v>1941</v>
      </c>
      <c r="O7" s="2258"/>
      <c r="P7" s="2258"/>
      <c r="Q7" s="2258"/>
      <c r="R7" s="2258"/>
      <c r="S7" s="2258"/>
      <c r="T7" s="2259"/>
      <c r="U7" s="2257" t="s">
        <v>1942</v>
      </c>
      <c r="V7" s="2258"/>
      <c r="W7" s="2258"/>
      <c r="X7" s="2258"/>
      <c r="Y7" s="2258"/>
      <c r="Z7" s="2258"/>
      <c r="AA7" s="2259"/>
      <c r="AB7" s="2257" t="s">
        <v>1943</v>
      </c>
      <c r="AC7" s="2258"/>
      <c r="AD7" s="2258"/>
      <c r="AE7" s="2258"/>
      <c r="AF7" s="2258"/>
      <c r="AG7" s="2258"/>
      <c r="AH7" s="2259"/>
      <c r="AI7" s="2258"/>
      <c r="AJ7" s="2258"/>
      <c r="AK7" s="2260"/>
      <c r="AL7" s="2229" t="s">
        <v>1944</v>
      </c>
      <c r="AM7" s="1020" t="s">
        <v>1945</v>
      </c>
      <c r="AN7" s="2232" t="s">
        <v>1946</v>
      </c>
      <c r="AO7" s="2233"/>
      <c r="AP7" s="2233"/>
      <c r="AQ7" s="2233"/>
      <c r="AR7" s="2234"/>
    </row>
    <row r="8" spans="1:48" ht="15.9" customHeight="1">
      <c r="A8" s="989"/>
      <c r="C8" s="1021" t="s">
        <v>1947</v>
      </c>
      <c r="D8" s="2255"/>
      <c r="E8" s="1021" t="s">
        <v>1948</v>
      </c>
      <c r="F8" s="1022" t="s">
        <v>1949</v>
      </c>
      <c r="G8" s="1023">
        <v>1</v>
      </c>
      <c r="H8" s="1024">
        <v>2</v>
      </c>
      <c r="I8" s="1024">
        <v>3</v>
      </c>
      <c r="J8" s="1024">
        <v>4</v>
      </c>
      <c r="K8" s="1024">
        <v>5</v>
      </c>
      <c r="L8" s="1024">
        <v>6</v>
      </c>
      <c r="M8" s="1025">
        <v>7</v>
      </c>
      <c r="N8" s="1023">
        <v>8</v>
      </c>
      <c r="O8" s="1024">
        <v>9</v>
      </c>
      <c r="P8" s="1024">
        <v>10</v>
      </c>
      <c r="Q8" s="1024">
        <v>11</v>
      </c>
      <c r="R8" s="1024">
        <v>12</v>
      </c>
      <c r="S8" s="1024">
        <v>13</v>
      </c>
      <c r="T8" s="1025">
        <v>14</v>
      </c>
      <c r="U8" s="1023">
        <v>15</v>
      </c>
      <c r="V8" s="1024">
        <v>16</v>
      </c>
      <c r="W8" s="1024">
        <v>17</v>
      </c>
      <c r="X8" s="1024">
        <v>18</v>
      </c>
      <c r="Y8" s="1024">
        <v>19</v>
      </c>
      <c r="Z8" s="1024">
        <v>20</v>
      </c>
      <c r="AA8" s="1025">
        <v>21</v>
      </c>
      <c r="AB8" s="1023">
        <v>22</v>
      </c>
      <c r="AC8" s="1024">
        <v>23</v>
      </c>
      <c r="AD8" s="1024">
        <v>24</v>
      </c>
      <c r="AE8" s="1024">
        <v>25</v>
      </c>
      <c r="AF8" s="1024">
        <v>26</v>
      </c>
      <c r="AG8" s="1024">
        <v>27</v>
      </c>
      <c r="AH8" s="1025">
        <v>28</v>
      </c>
      <c r="AI8" s="1026">
        <v>29</v>
      </c>
      <c r="AJ8" s="1024">
        <v>30</v>
      </c>
      <c r="AK8" s="1024">
        <v>31</v>
      </c>
      <c r="AL8" s="2230"/>
      <c r="AM8" s="1021" t="s">
        <v>1950</v>
      </c>
      <c r="AN8" s="2235"/>
      <c r="AO8" s="2236"/>
      <c r="AP8" s="2236"/>
      <c r="AQ8" s="2236"/>
      <c r="AR8" s="2237"/>
    </row>
    <row r="9" spans="1:48" ht="15.9" customHeight="1">
      <c r="A9" s="989"/>
      <c r="C9" s="1027"/>
      <c r="D9" s="2256"/>
      <c r="E9" s="1027"/>
      <c r="F9" s="1028" t="s">
        <v>1951</v>
      </c>
      <c r="G9" s="1029">
        <f>IF(C4="","",WEEKDAY(C4))</f>
        <v>1</v>
      </c>
      <c r="H9" s="1030">
        <f>G9+1</f>
        <v>2</v>
      </c>
      <c r="I9" s="1030">
        <f t="shared" ref="I9:AK9" si="0">H9+1</f>
        <v>3</v>
      </c>
      <c r="J9" s="1030">
        <f t="shared" si="0"/>
        <v>4</v>
      </c>
      <c r="K9" s="1030">
        <f t="shared" si="0"/>
        <v>5</v>
      </c>
      <c r="L9" s="1030">
        <f t="shared" si="0"/>
        <v>6</v>
      </c>
      <c r="M9" s="1031">
        <f t="shared" si="0"/>
        <v>7</v>
      </c>
      <c r="N9" s="1029">
        <f t="shared" si="0"/>
        <v>8</v>
      </c>
      <c r="O9" s="1030">
        <f t="shared" si="0"/>
        <v>9</v>
      </c>
      <c r="P9" s="1030">
        <f t="shared" si="0"/>
        <v>10</v>
      </c>
      <c r="Q9" s="1030">
        <f t="shared" si="0"/>
        <v>11</v>
      </c>
      <c r="R9" s="1030">
        <f t="shared" si="0"/>
        <v>12</v>
      </c>
      <c r="S9" s="1030">
        <f t="shared" si="0"/>
        <v>13</v>
      </c>
      <c r="T9" s="1031">
        <f t="shared" si="0"/>
        <v>14</v>
      </c>
      <c r="U9" s="1029">
        <f t="shared" si="0"/>
        <v>15</v>
      </c>
      <c r="V9" s="1030">
        <f t="shared" si="0"/>
        <v>16</v>
      </c>
      <c r="W9" s="1030">
        <f t="shared" si="0"/>
        <v>17</v>
      </c>
      <c r="X9" s="1030">
        <f t="shared" si="0"/>
        <v>18</v>
      </c>
      <c r="Y9" s="1030">
        <f t="shared" si="0"/>
        <v>19</v>
      </c>
      <c r="Z9" s="1030">
        <f t="shared" si="0"/>
        <v>20</v>
      </c>
      <c r="AA9" s="1031">
        <f t="shared" si="0"/>
        <v>21</v>
      </c>
      <c r="AB9" s="1029">
        <f t="shared" si="0"/>
        <v>22</v>
      </c>
      <c r="AC9" s="1030">
        <f t="shared" si="0"/>
        <v>23</v>
      </c>
      <c r="AD9" s="1030">
        <f t="shared" si="0"/>
        <v>24</v>
      </c>
      <c r="AE9" s="1030">
        <f t="shared" si="0"/>
        <v>25</v>
      </c>
      <c r="AF9" s="1030">
        <f t="shared" si="0"/>
        <v>26</v>
      </c>
      <c r="AG9" s="1030">
        <f t="shared" si="0"/>
        <v>27</v>
      </c>
      <c r="AH9" s="1031">
        <f t="shared" si="0"/>
        <v>28</v>
      </c>
      <c r="AI9" s="1030">
        <f t="shared" si="0"/>
        <v>29</v>
      </c>
      <c r="AJ9" s="1030">
        <f t="shared" si="0"/>
        <v>30</v>
      </c>
      <c r="AK9" s="1030">
        <f t="shared" si="0"/>
        <v>31</v>
      </c>
      <c r="AL9" s="2231"/>
      <c r="AM9" s="1021" t="s">
        <v>1952</v>
      </c>
      <c r="AN9" s="1028" t="s">
        <v>1953</v>
      </c>
      <c r="AO9" s="1032" t="s">
        <v>1954</v>
      </c>
      <c r="AP9" s="1033" t="s">
        <v>1955</v>
      </c>
      <c r="AQ9" s="1033" t="s">
        <v>1956</v>
      </c>
      <c r="AR9" s="1033" t="s">
        <v>1957</v>
      </c>
    </row>
    <row r="10" spans="1:48" ht="15.9" customHeight="1">
      <c r="A10" s="989"/>
      <c r="B10" s="2238" t="s">
        <v>1958</v>
      </c>
      <c r="C10" s="2239" t="s">
        <v>2127</v>
      </c>
      <c r="D10" s="2241" t="s">
        <v>1932</v>
      </c>
      <c r="E10" s="2243" t="s">
        <v>2204</v>
      </c>
      <c r="F10" s="1034" t="s">
        <v>1959</v>
      </c>
      <c r="G10" s="1035" t="s">
        <v>2110</v>
      </c>
      <c r="H10" s="1036" t="s">
        <v>2115</v>
      </c>
      <c r="I10" s="1037"/>
      <c r="J10" s="1037" t="s">
        <v>931</v>
      </c>
      <c r="K10" s="1037" t="s">
        <v>931</v>
      </c>
      <c r="L10" s="1037" t="s">
        <v>931</v>
      </c>
      <c r="M10" s="1038"/>
      <c r="N10" s="1035" t="s">
        <v>2110</v>
      </c>
      <c r="O10" s="1036" t="s">
        <v>2115</v>
      </c>
      <c r="P10" s="1037"/>
      <c r="Q10" s="1037" t="s">
        <v>931</v>
      </c>
      <c r="R10" s="1037" t="s">
        <v>931</v>
      </c>
      <c r="S10" s="1037" t="s">
        <v>931</v>
      </c>
      <c r="T10" s="1038"/>
      <c r="U10" s="1035" t="s">
        <v>2110</v>
      </c>
      <c r="V10" s="1036" t="s">
        <v>2115</v>
      </c>
      <c r="W10" s="1037"/>
      <c r="X10" s="1037" t="s">
        <v>931</v>
      </c>
      <c r="Y10" s="1037" t="s">
        <v>931</v>
      </c>
      <c r="Z10" s="1037" t="s">
        <v>931</v>
      </c>
      <c r="AA10" s="1038"/>
      <c r="AB10" s="1035" t="s">
        <v>2110</v>
      </c>
      <c r="AC10" s="1036" t="s">
        <v>2115</v>
      </c>
      <c r="AD10" s="1037"/>
      <c r="AE10" s="1037" t="s">
        <v>931</v>
      </c>
      <c r="AF10" s="1037" t="s">
        <v>931</v>
      </c>
      <c r="AG10" s="1037" t="s">
        <v>931</v>
      </c>
      <c r="AH10" s="1038"/>
      <c r="AI10" s="1039" t="s">
        <v>2110</v>
      </c>
      <c r="AJ10" s="1037" t="s">
        <v>2115</v>
      </c>
      <c r="AK10" s="1037"/>
      <c r="AL10" s="1040">
        <f>SUM(G11:AK11)</f>
        <v>166.75</v>
      </c>
      <c r="AM10" s="1041"/>
      <c r="AN10" s="1042"/>
      <c r="AO10" s="1043"/>
      <c r="AP10" s="1044"/>
      <c r="AQ10" s="1044"/>
      <c r="AR10" s="1044"/>
    </row>
    <row r="11" spans="1:48" ht="15.9" customHeight="1">
      <c r="A11" s="989"/>
      <c r="B11" s="2238"/>
      <c r="C11" s="2240"/>
      <c r="D11" s="2242"/>
      <c r="E11" s="2244"/>
      <c r="F11" s="1045" t="s">
        <v>1960</v>
      </c>
      <c r="G11" s="1046">
        <f t="shared" ref="G11:AK11" si="1">IF(G10&lt;&gt;"",VLOOKUP(G10,$AC$197:$AL$221,9,FALSE),"")</f>
        <v>7.5</v>
      </c>
      <c r="H11" s="1047">
        <f t="shared" si="1"/>
        <v>7.25</v>
      </c>
      <c r="I11" s="1047" t="str">
        <f t="shared" si="1"/>
        <v/>
      </c>
      <c r="J11" s="1047">
        <f t="shared" si="1"/>
        <v>7.75</v>
      </c>
      <c r="K11" s="1047">
        <f t="shared" si="1"/>
        <v>7.75</v>
      </c>
      <c r="L11" s="1047">
        <f t="shared" si="1"/>
        <v>7.75</v>
      </c>
      <c r="M11" s="1048" t="str">
        <f t="shared" si="1"/>
        <v/>
      </c>
      <c r="N11" s="1046">
        <f t="shared" si="1"/>
        <v>7.5</v>
      </c>
      <c r="O11" s="1047">
        <f t="shared" si="1"/>
        <v>7.25</v>
      </c>
      <c r="P11" s="1047" t="str">
        <f t="shared" si="1"/>
        <v/>
      </c>
      <c r="Q11" s="1047">
        <f t="shared" si="1"/>
        <v>7.75</v>
      </c>
      <c r="R11" s="1047">
        <f t="shared" si="1"/>
        <v>7.75</v>
      </c>
      <c r="S11" s="1047">
        <f t="shared" si="1"/>
        <v>7.75</v>
      </c>
      <c r="T11" s="1048" t="str">
        <f t="shared" si="1"/>
        <v/>
      </c>
      <c r="U11" s="1046">
        <f t="shared" si="1"/>
        <v>7.5</v>
      </c>
      <c r="V11" s="1047">
        <f t="shared" si="1"/>
        <v>7.25</v>
      </c>
      <c r="W11" s="1047" t="str">
        <f t="shared" si="1"/>
        <v/>
      </c>
      <c r="X11" s="1047">
        <f t="shared" si="1"/>
        <v>7.75</v>
      </c>
      <c r="Y11" s="1047">
        <f t="shared" si="1"/>
        <v>7.75</v>
      </c>
      <c r="Z11" s="1047">
        <f t="shared" si="1"/>
        <v>7.75</v>
      </c>
      <c r="AA11" s="1048" t="str">
        <f t="shared" si="1"/>
        <v/>
      </c>
      <c r="AB11" s="1046">
        <f t="shared" si="1"/>
        <v>7.5</v>
      </c>
      <c r="AC11" s="1047">
        <f t="shared" si="1"/>
        <v>7.25</v>
      </c>
      <c r="AD11" s="1047" t="str">
        <f t="shared" si="1"/>
        <v/>
      </c>
      <c r="AE11" s="1047">
        <f t="shared" si="1"/>
        <v>7.75</v>
      </c>
      <c r="AF11" s="1047">
        <f t="shared" si="1"/>
        <v>7.75</v>
      </c>
      <c r="AG11" s="1047">
        <f t="shared" si="1"/>
        <v>7.75</v>
      </c>
      <c r="AH11" s="1048" t="str">
        <f t="shared" si="1"/>
        <v/>
      </c>
      <c r="AI11" s="1049">
        <f t="shared" si="1"/>
        <v>7.5</v>
      </c>
      <c r="AJ11" s="1047">
        <f t="shared" si="1"/>
        <v>7.25</v>
      </c>
      <c r="AK11" s="1047" t="str">
        <f t="shared" si="1"/>
        <v/>
      </c>
      <c r="AL11" s="1050">
        <f>SUM(G11:AH11)</f>
        <v>152</v>
      </c>
      <c r="AM11" s="1051">
        <f>AL11/4</f>
        <v>38</v>
      </c>
      <c r="AN11" s="1052" t="str">
        <f>IF(C10="","",C10)</f>
        <v>看護職員（正）</v>
      </c>
      <c r="AO11" s="1053" t="str">
        <f>IF(D10="","",D10)</f>
        <v>A</v>
      </c>
      <c r="AP11" s="1054">
        <f>IF(D10&lt;&gt;"",VLOOKUP(D10,$AU$2:$AV$6,2,FALSE),"")</f>
        <v>1</v>
      </c>
      <c r="AQ11" s="1051">
        <f>ROUNDDOWN(AL11/$AL$6,2)</f>
        <v>0.98</v>
      </c>
      <c r="AR11" s="1051" t="str">
        <f>IF(AP11=1,"",AQ11)</f>
        <v/>
      </c>
    </row>
    <row r="12" spans="1:48" ht="15.9" customHeight="1">
      <c r="A12" s="989"/>
      <c r="B12" s="2238" t="s">
        <v>1961</v>
      </c>
      <c r="C12" s="2239" t="s">
        <v>2127</v>
      </c>
      <c r="D12" s="2241" t="s">
        <v>1932</v>
      </c>
      <c r="E12" s="2243"/>
      <c r="F12" s="1034" t="s">
        <v>1959</v>
      </c>
      <c r="G12" s="1035"/>
      <c r="H12" s="1036" t="s">
        <v>2110</v>
      </c>
      <c r="I12" s="1037" t="s">
        <v>2115</v>
      </c>
      <c r="J12" s="1037"/>
      <c r="K12" s="1037" t="s">
        <v>931</v>
      </c>
      <c r="L12" s="1037" t="s">
        <v>931</v>
      </c>
      <c r="M12" s="1038" t="s">
        <v>931</v>
      </c>
      <c r="N12" s="1035"/>
      <c r="O12" s="1036" t="s">
        <v>2110</v>
      </c>
      <c r="P12" s="1037" t="s">
        <v>2115</v>
      </c>
      <c r="Q12" s="1037"/>
      <c r="R12" s="1037" t="s">
        <v>931</v>
      </c>
      <c r="S12" s="1037" t="s">
        <v>931</v>
      </c>
      <c r="T12" s="1038" t="s">
        <v>931</v>
      </c>
      <c r="U12" s="1035"/>
      <c r="V12" s="1036" t="s">
        <v>2110</v>
      </c>
      <c r="W12" s="1037" t="s">
        <v>2115</v>
      </c>
      <c r="X12" s="1037"/>
      <c r="Y12" s="1037" t="s">
        <v>931</v>
      </c>
      <c r="Z12" s="1037" t="s">
        <v>931</v>
      </c>
      <c r="AA12" s="1038" t="s">
        <v>931</v>
      </c>
      <c r="AB12" s="1035"/>
      <c r="AC12" s="1036" t="s">
        <v>2110</v>
      </c>
      <c r="AD12" s="1037" t="s">
        <v>2115</v>
      </c>
      <c r="AE12" s="1037"/>
      <c r="AF12" s="1037" t="s">
        <v>931</v>
      </c>
      <c r="AG12" s="1037" t="s">
        <v>931</v>
      </c>
      <c r="AH12" s="1038" t="s">
        <v>931</v>
      </c>
      <c r="AI12" s="1055"/>
      <c r="AJ12" s="1036" t="s">
        <v>2110</v>
      </c>
      <c r="AK12" s="1036" t="s">
        <v>2115</v>
      </c>
      <c r="AL12" s="1040">
        <f>SUM(G13:AK13)</f>
        <v>166.75</v>
      </c>
      <c r="AM12" s="1041"/>
      <c r="AN12" s="1042"/>
      <c r="AO12" s="1043"/>
      <c r="AP12" s="1041"/>
      <c r="AQ12" s="1044"/>
      <c r="AR12" s="1044"/>
    </row>
    <row r="13" spans="1:48" ht="15.9" customHeight="1">
      <c r="A13" s="989"/>
      <c r="B13" s="2238"/>
      <c r="C13" s="2240"/>
      <c r="D13" s="2242"/>
      <c r="E13" s="2244"/>
      <c r="F13" s="1045" t="s">
        <v>1960</v>
      </c>
      <c r="G13" s="1046" t="str">
        <f t="shared" ref="G13:AK13" si="2">IF(G12&lt;&gt;"",VLOOKUP(G12,$AC$197:$AL$221,9,FALSE),"")</f>
        <v/>
      </c>
      <c r="H13" s="1047">
        <f t="shared" si="2"/>
        <v>7.5</v>
      </c>
      <c r="I13" s="1047">
        <f t="shared" si="2"/>
        <v>7.25</v>
      </c>
      <c r="J13" s="1047" t="str">
        <f t="shared" si="2"/>
        <v/>
      </c>
      <c r="K13" s="1047">
        <f t="shared" si="2"/>
        <v>7.75</v>
      </c>
      <c r="L13" s="1047">
        <f t="shared" si="2"/>
        <v>7.75</v>
      </c>
      <c r="M13" s="1048">
        <f t="shared" si="2"/>
        <v>7.75</v>
      </c>
      <c r="N13" s="1046" t="str">
        <f t="shared" si="2"/>
        <v/>
      </c>
      <c r="O13" s="1047">
        <f t="shared" si="2"/>
        <v>7.5</v>
      </c>
      <c r="P13" s="1047">
        <f t="shared" si="2"/>
        <v>7.25</v>
      </c>
      <c r="Q13" s="1047" t="str">
        <f t="shared" si="2"/>
        <v/>
      </c>
      <c r="R13" s="1047">
        <f t="shared" si="2"/>
        <v>7.75</v>
      </c>
      <c r="S13" s="1047">
        <f t="shared" si="2"/>
        <v>7.75</v>
      </c>
      <c r="T13" s="1048">
        <f t="shared" si="2"/>
        <v>7.75</v>
      </c>
      <c r="U13" s="1046" t="str">
        <f t="shared" si="2"/>
        <v/>
      </c>
      <c r="V13" s="1047">
        <f t="shared" si="2"/>
        <v>7.5</v>
      </c>
      <c r="W13" s="1047">
        <f t="shared" si="2"/>
        <v>7.25</v>
      </c>
      <c r="X13" s="1047" t="str">
        <f t="shared" si="2"/>
        <v/>
      </c>
      <c r="Y13" s="1047">
        <f t="shared" si="2"/>
        <v>7.75</v>
      </c>
      <c r="Z13" s="1047">
        <f t="shared" si="2"/>
        <v>7.75</v>
      </c>
      <c r="AA13" s="1048">
        <f t="shared" si="2"/>
        <v>7.75</v>
      </c>
      <c r="AB13" s="1046" t="str">
        <f t="shared" si="2"/>
        <v/>
      </c>
      <c r="AC13" s="1047">
        <f t="shared" si="2"/>
        <v>7.5</v>
      </c>
      <c r="AD13" s="1047">
        <f t="shared" si="2"/>
        <v>7.25</v>
      </c>
      <c r="AE13" s="1047" t="str">
        <f t="shared" si="2"/>
        <v/>
      </c>
      <c r="AF13" s="1047">
        <f t="shared" si="2"/>
        <v>7.75</v>
      </c>
      <c r="AG13" s="1047">
        <f t="shared" si="2"/>
        <v>7.75</v>
      </c>
      <c r="AH13" s="1048">
        <f t="shared" si="2"/>
        <v>7.75</v>
      </c>
      <c r="AI13" s="1049" t="str">
        <f t="shared" si="2"/>
        <v/>
      </c>
      <c r="AJ13" s="1047">
        <f t="shared" si="2"/>
        <v>7.5</v>
      </c>
      <c r="AK13" s="1047">
        <f t="shared" si="2"/>
        <v>7.25</v>
      </c>
      <c r="AL13" s="1050">
        <f>SUM(G13:AH13)</f>
        <v>152</v>
      </c>
      <c r="AM13" s="1051">
        <f>AL13/4</f>
        <v>38</v>
      </c>
      <c r="AN13" s="1052" t="str">
        <f>IF(C12="","",C12)</f>
        <v>看護職員（正）</v>
      </c>
      <c r="AO13" s="1053" t="str">
        <f>IF(D12="","",D12)</f>
        <v>A</v>
      </c>
      <c r="AP13" s="1054">
        <f>IF(D12&lt;&gt;"",VLOOKUP(D12,$AU$2:$AV$6,2,FALSE),"")</f>
        <v>1</v>
      </c>
      <c r="AQ13" s="1051">
        <f>ROUNDDOWN(AL13/$AL$6,2)</f>
        <v>0.98</v>
      </c>
      <c r="AR13" s="1051" t="str">
        <f>IF(AP13=1,"",AQ13)</f>
        <v/>
      </c>
    </row>
    <row r="14" spans="1:48" ht="15.9" customHeight="1">
      <c r="A14" s="989"/>
      <c r="B14" s="2238" t="s">
        <v>1962</v>
      </c>
      <c r="C14" s="2239" t="s">
        <v>2132</v>
      </c>
      <c r="D14" s="2241" t="s">
        <v>1932</v>
      </c>
      <c r="E14" s="2243"/>
      <c r="F14" s="1034" t="s">
        <v>1959</v>
      </c>
      <c r="G14" s="1035"/>
      <c r="H14" s="1036"/>
      <c r="I14" s="1037" t="s">
        <v>2110</v>
      </c>
      <c r="J14" s="1037" t="s">
        <v>2115</v>
      </c>
      <c r="K14" s="1037"/>
      <c r="L14" s="1037" t="s">
        <v>931</v>
      </c>
      <c r="M14" s="1038" t="s">
        <v>931</v>
      </c>
      <c r="N14" s="1035" t="s">
        <v>931</v>
      </c>
      <c r="O14" s="1036"/>
      <c r="P14" s="1037" t="s">
        <v>2110</v>
      </c>
      <c r="Q14" s="1037" t="s">
        <v>2115</v>
      </c>
      <c r="R14" s="1037"/>
      <c r="S14" s="1037" t="s">
        <v>931</v>
      </c>
      <c r="T14" s="1038" t="s">
        <v>931</v>
      </c>
      <c r="U14" s="1035" t="s">
        <v>931</v>
      </c>
      <c r="V14" s="1036"/>
      <c r="W14" s="1037" t="s">
        <v>2110</v>
      </c>
      <c r="X14" s="1037" t="s">
        <v>2115</v>
      </c>
      <c r="Y14" s="1037"/>
      <c r="Z14" s="1037" t="s">
        <v>931</v>
      </c>
      <c r="AA14" s="1038" t="s">
        <v>931</v>
      </c>
      <c r="AB14" s="1035" t="s">
        <v>931</v>
      </c>
      <c r="AC14" s="1036"/>
      <c r="AD14" s="1037" t="s">
        <v>2110</v>
      </c>
      <c r="AE14" s="1037" t="s">
        <v>2115</v>
      </c>
      <c r="AF14" s="1037"/>
      <c r="AG14" s="1037" t="s">
        <v>931</v>
      </c>
      <c r="AH14" s="1038" t="s">
        <v>931</v>
      </c>
      <c r="AI14" s="1055" t="s">
        <v>931</v>
      </c>
      <c r="AJ14" s="1036"/>
      <c r="AK14" s="1036" t="s">
        <v>2110</v>
      </c>
      <c r="AL14" s="1040">
        <f>SUM(G15:AK15)</f>
        <v>159.5</v>
      </c>
      <c r="AM14" s="1041"/>
      <c r="AN14" s="1042"/>
      <c r="AO14" s="1043"/>
      <c r="AP14" s="1041"/>
      <c r="AQ14" s="1044"/>
      <c r="AR14" s="1044"/>
    </row>
    <row r="15" spans="1:48" ht="15.9" customHeight="1">
      <c r="A15" s="989"/>
      <c r="B15" s="2238"/>
      <c r="C15" s="2240"/>
      <c r="D15" s="2242"/>
      <c r="E15" s="2244"/>
      <c r="F15" s="1045" t="s">
        <v>1960</v>
      </c>
      <c r="G15" s="1046" t="str">
        <f t="shared" ref="G15:AK15" si="3">IF(G14&lt;&gt;"",VLOOKUP(G14,$AC$197:$AL$221,9,FALSE),"")</f>
        <v/>
      </c>
      <c r="H15" s="1047" t="str">
        <f t="shared" si="3"/>
        <v/>
      </c>
      <c r="I15" s="1047">
        <f t="shared" si="3"/>
        <v>7.5</v>
      </c>
      <c r="J15" s="1047">
        <f t="shared" si="3"/>
        <v>7.25</v>
      </c>
      <c r="K15" s="1047" t="str">
        <f t="shared" si="3"/>
        <v/>
      </c>
      <c r="L15" s="1047">
        <f t="shared" si="3"/>
        <v>7.75</v>
      </c>
      <c r="M15" s="1048">
        <f t="shared" si="3"/>
        <v>7.75</v>
      </c>
      <c r="N15" s="1046">
        <f t="shared" si="3"/>
        <v>7.75</v>
      </c>
      <c r="O15" s="1047" t="str">
        <f t="shared" si="3"/>
        <v/>
      </c>
      <c r="P15" s="1047">
        <f t="shared" si="3"/>
        <v>7.5</v>
      </c>
      <c r="Q15" s="1047">
        <f t="shared" si="3"/>
        <v>7.25</v>
      </c>
      <c r="R15" s="1047" t="str">
        <f t="shared" si="3"/>
        <v/>
      </c>
      <c r="S15" s="1047">
        <f t="shared" si="3"/>
        <v>7.75</v>
      </c>
      <c r="T15" s="1048">
        <f t="shared" si="3"/>
        <v>7.75</v>
      </c>
      <c r="U15" s="1046">
        <f t="shared" si="3"/>
        <v>7.75</v>
      </c>
      <c r="V15" s="1047" t="str">
        <f t="shared" si="3"/>
        <v/>
      </c>
      <c r="W15" s="1047">
        <f t="shared" si="3"/>
        <v>7.5</v>
      </c>
      <c r="X15" s="1047">
        <f t="shared" si="3"/>
        <v>7.25</v>
      </c>
      <c r="Y15" s="1047" t="str">
        <f t="shared" si="3"/>
        <v/>
      </c>
      <c r="Z15" s="1047">
        <f t="shared" si="3"/>
        <v>7.75</v>
      </c>
      <c r="AA15" s="1048">
        <f t="shared" si="3"/>
        <v>7.75</v>
      </c>
      <c r="AB15" s="1046">
        <f t="shared" si="3"/>
        <v>7.75</v>
      </c>
      <c r="AC15" s="1047" t="str">
        <f t="shared" si="3"/>
        <v/>
      </c>
      <c r="AD15" s="1047">
        <f t="shared" si="3"/>
        <v>7.5</v>
      </c>
      <c r="AE15" s="1047">
        <f t="shared" si="3"/>
        <v>7.25</v>
      </c>
      <c r="AF15" s="1047" t="str">
        <f t="shared" si="3"/>
        <v/>
      </c>
      <c r="AG15" s="1047">
        <f t="shared" si="3"/>
        <v>7.75</v>
      </c>
      <c r="AH15" s="1048">
        <f t="shared" si="3"/>
        <v>7.75</v>
      </c>
      <c r="AI15" s="1049">
        <f t="shared" si="3"/>
        <v>7.75</v>
      </c>
      <c r="AJ15" s="1047" t="str">
        <f t="shared" si="3"/>
        <v/>
      </c>
      <c r="AK15" s="1047">
        <f t="shared" si="3"/>
        <v>7.5</v>
      </c>
      <c r="AL15" s="1050">
        <f>SUM(G15:AH15)</f>
        <v>144.25</v>
      </c>
      <c r="AM15" s="1051">
        <f>AL15/4</f>
        <v>36.0625</v>
      </c>
      <c r="AN15" s="1052" t="str">
        <f>IF(C14="","",C14)</f>
        <v>看護職員（准）</v>
      </c>
      <c r="AO15" s="1053" t="str">
        <f>IF(D14="","",D14)</f>
        <v>A</v>
      </c>
      <c r="AP15" s="1054">
        <f>IF(D14&lt;&gt;"",VLOOKUP(D14,$AU$2:$AV$6,2,FALSE),"")</f>
        <v>1</v>
      </c>
      <c r="AQ15" s="1051">
        <f>ROUNDDOWN(AL15/$AL$6,2)</f>
        <v>0.93</v>
      </c>
      <c r="AR15" s="1051" t="str">
        <f>IF(AP15=1,"",AQ15)</f>
        <v/>
      </c>
    </row>
    <row r="16" spans="1:48" ht="15.9" customHeight="1">
      <c r="A16" s="989"/>
      <c r="B16" s="2238" t="s">
        <v>1963</v>
      </c>
      <c r="C16" s="2239" t="s">
        <v>2127</v>
      </c>
      <c r="D16" s="2241" t="s">
        <v>1935</v>
      </c>
      <c r="E16" s="2243"/>
      <c r="F16" s="1034" t="s">
        <v>1959</v>
      </c>
      <c r="G16" s="1035"/>
      <c r="H16" s="1036"/>
      <c r="I16" s="1037"/>
      <c r="J16" s="1037" t="s">
        <v>2110</v>
      </c>
      <c r="K16" s="1037" t="s">
        <v>2115</v>
      </c>
      <c r="L16" s="1037"/>
      <c r="M16" s="1038" t="s">
        <v>931</v>
      </c>
      <c r="N16" s="1035" t="s">
        <v>931</v>
      </c>
      <c r="O16" s="1036" t="s">
        <v>931</v>
      </c>
      <c r="P16" s="1037"/>
      <c r="Q16" s="1037" t="s">
        <v>2110</v>
      </c>
      <c r="R16" s="1037" t="s">
        <v>2115</v>
      </c>
      <c r="S16" s="1037"/>
      <c r="T16" s="1038" t="s">
        <v>931</v>
      </c>
      <c r="U16" s="1035" t="s">
        <v>931</v>
      </c>
      <c r="V16" s="1036" t="s">
        <v>931</v>
      </c>
      <c r="W16" s="1037"/>
      <c r="X16" s="1037" t="s">
        <v>2110</v>
      </c>
      <c r="Y16" s="1037" t="s">
        <v>2115</v>
      </c>
      <c r="Z16" s="1037"/>
      <c r="AA16" s="1038" t="s">
        <v>931</v>
      </c>
      <c r="AB16" s="1035" t="s">
        <v>931</v>
      </c>
      <c r="AC16" s="1036" t="s">
        <v>931</v>
      </c>
      <c r="AD16" s="1037"/>
      <c r="AE16" s="1037" t="s">
        <v>2110</v>
      </c>
      <c r="AF16" s="1037" t="s">
        <v>2115</v>
      </c>
      <c r="AG16" s="1037"/>
      <c r="AH16" s="1038" t="s">
        <v>931</v>
      </c>
      <c r="AI16" s="1055" t="s">
        <v>931</v>
      </c>
      <c r="AJ16" s="1036" t="s">
        <v>931</v>
      </c>
      <c r="AK16" s="1036"/>
      <c r="AL16" s="1040">
        <f>SUM(G17:AK17)</f>
        <v>152</v>
      </c>
      <c r="AM16" s="1041"/>
      <c r="AN16" s="1042"/>
      <c r="AO16" s="1043"/>
      <c r="AP16" s="1041"/>
      <c r="AQ16" s="1044"/>
      <c r="AR16" s="1044"/>
    </row>
    <row r="17" spans="1:44" ht="15.9" customHeight="1">
      <c r="A17" s="989"/>
      <c r="B17" s="2238"/>
      <c r="C17" s="2240"/>
      <c r="D17" s="2242"/>
      <c r="E17" s="2244"/>
      <c r="F17" s="1045" t="s">
        <v>1960</v>
      </c>
      <c r="G17" s="1046" t="str">
        <f t="shared" ref="G17:AK17" si="4">IF(G16&lt;&gt;"",VLOOKUP(G16,$AC$197:$AL$221,9,FALSE),"")</f>
        <v/>
      </c>
      <c r="H17" s="1047" t="str">
        <f t="shared" si="4"/>
        <v/>
      </c>
      <c r="I17" s="1047" t="str">
        <f t="shared" si="4"/>
        <v/>
      </c>
      <c r="J17" s="1047">
        <f t="shared" si="4"/>
        <v>7.5</v>
      </c>
      <c r="K17" s="1047">
        <f t="shared" si="4"/>
        <v>7.25</v>
      </c>
      <c r="L17" s="1047" t="str">
        <f t="shared" si="4"/>
        <v/>
      </c>
      <c r="M17" s="1048">
        <f t="shared" si="4"/>
        <v>7.75</v>
      </c>
      <c r="N17" s="1046">
        <f t="shared" si="4"/>
        <v>7.75</v>
      </c>
      <c r="O17" s="1047">
        <f t="shared" si="4"/>
        <v>7.75</v>
      </c>
      <c r="P17" s="1047" t="str">
        <f t="shared" si="4"/>
        <v/>
      </c>
      <c r="Q17" s="1047">
        <f t="shared" si="4"/>
        <v>7.5</v>
      </c>
      <c r="R17" s="1047">
        <f t="shared" si="4"/>
        <v>7.25</v>
      </c>
      <c r="S17" s="1047" t="str">
        <f t="shared" si="4"/>
        <v/>
      </c>
      <c r="T17" s="1048">
        <f t="shared" si="4"/>
        <v>7.75</v>
      </c>
      <c r="U17" s="1046">
        <f t="shared" si="4"/>
        <v>7.75</v>
      </c>
      <c r="V17" s="1047">
        <f t="shared" si="4"/>
        <v>7.75</v>
      </c>
      <c r="W17" s="1047" t="str">
        <f t="shared" si="4"/>
        <v/>
      </c>
      <c r="X17" s="1047">
        <f t="shared" si="4"/>
        <v>7.5</v>
      </c>
      <c r="Y17" s="1047">
        <f t="shared" si="4"/>
        <v>7.25</v>
      </c>
      <c r="Z17" s="1047" t="str">
        <f t="shared" si="4"/>
        <v/>
      </c>
      <c r="AA17" s="1048">
        <f t="shared" si="4"/>
        <v>7.75</v>
      </c>
      <c r="AB17" s="1046">
        <f t="shared" si="4"/>
        <v>7.75</v>
      </c>
      <c r="AC17" s="1047">
        <f t="shared" si="4"/>
        <v>7.75</v>
      </c>
      <c r="AD17" s="1047" t="str">
        <f t="shared" si="4"/>
        <v/>
      </c>
      <c r="AE17" s="1047">
        <f t="shared" si="4"/>
        <v>7.5</v>
      </c>
      <c r="AF17" s="1047">
        <f t="shared" si="4"/>
        <v>7.25</v>
      </c>
      <c r="AG17" s="1047" t="str">
        <f t="shared" si="4"/>
        <v/>
      </c>
      <c r="AH17" s="1048">
        <f t="shared" si="4"/>
        <v>7.75</v>
      </c>
      <c r="AI17" s="1049">
        <f t="shared" si="4"/>
        <v>7.75</v>
      </c>
      <c r="AJ17" s="1047">
        <f t="shared" si="4"/>
        <v>7.75</v>
      </c>
      <c r="AK17" s="1047" t="str">
        <f t="shared" si="4"/>
        <v/>
      </c>
      <c r="AL17" s="1050">
        <f>SUM(G17:AH17)</f>
        <v>136.5</v>
      </c>
      <c r="AM17" s="1051">
        <f>AL17/4</f>
        <v>34.125</v>
      </c>
      <c r="AN17" s="1052" t="str">
        <f>IF(C16="","",C16)</f>
        <v>看護職員（正）</v>
      </c>
      <c r="AO17" s="1053" t="str">
        <f>IF(D16="","",D16)</f>
        <v>Ｃ</v>
      </c>
      <c r="AP17" s="1054">
        <f>IF(D16&lt;&gt;"",VLOOKUP(D16,$AU$2:$AV$6,2,FALSE),"")</f>
        <v>0</v>
      </c>
      <c r="AQ17" s="1051">
        <f>ROUNDDOWN(AL17/$AL$6,2)</f>
        <v>0.88</v>
      </c>
      <c r="AR17" s="1051">
        <f>IF(AP17=1,"",AQ17)</f>
        <v>0.88</v>
      </c>
    </row>
    <row r="18" spans="1:44" ht="15.9" customHeight="1">
      <c r="A18" s="989"/>
      <c r="B18" s="2238" t="s">
        <v>1964</v>
      </c>
      <c r="C18" s="2239"/>
      <c r="D18" s="2241"/>
      <c r="E18" s="2243"/>
      <c r="F18" s="1034" t="s">
        <v>1959</v>
      </c>
      <c r="G18" s="1035"/>
      <c r="H18" s="1036"/>
      <c r="I18" s="1037"/>
      <c r="J18" s="1037"/>
      <c r="K18" s="1037" t="s">
        <v>2110</v>
      </c>
      <c r="L18" s="1037" t="s">
        <v>2115</v>
      </c>
      <c r="M18" s="1038"/>
      <c r="N18" s="1035" t="s">
        <v>931</v>
      </c>
      <c r="O18" s="1036" t="s">
        <v>931</v>
      </c>
      <c r="P18" s="1037" t="s">
        <v>931</v>
      </c>
      <c r="Q18" s="1037"/>
      <c r="R18" s="1037" t="s">
        <v>2110</v>
      </c>
      <c r="S18" s="1037" t="s">
        <v>2115</v>
      </c>
      <c r="T18" s="1038"/>
      <c r="U18" s="1035" t="s">
        <v>931</v>
      </c>
      <c r="V18" s="1036" t="s">
        <v>931</v>
      </c>
      <c r="W18" s="1037" t="s">
        <v>931</v>
      </c>
      <c r="X18" s="1037"/>
      <c r="Y18" s="1037" t="s">
        <v>2110</v>
      </c>
      <c r="Z18" s="1037" t="s">
        <v>2115</v>
      </c>
      <c r="AA18" s="1038"/>
      <c r="AB18" s="1035" t="s">
        <v>931</v>
      </c>
      <c r="AC18" s="1036" t="s">
        <v>931</v>
      </c>
      <c r="AD18" s="1037" t="s">
        <v>931</v>
      </c>
      <c r="AE18" s="1037"/>
      <c r="AF18" s="1037" t="s">
        <v>2110</v>
      </c>
      <c r="AG18" s="1037" t="s">
        <v>2115</v>
      </c>
      <c r="AH18" s="1038"/>
      <c r="AI18" s="1039" t="s">
        <v>931</v>
      </c>
      <c r="AJ18" s="1037" t="s">
        <v>931</v>
      </c>
      <c r="AK18" s="1037" t="s">
        <v>931</v>
      </c>
      <c r="AL18" s="1040">
        <f>SUM(G19:AK19)</f>
        <v>152</v>
      </c>
      <c r="AM18" s="1041"/>
      <c r="AN18" s="1042"/>
      <c r="AO18" s="1043"/>
      <c r="AP18" s="1041"/>
      <c r="AQ18" s="1044"/>
      <c r="AR18" s="1044"/>
    </row>
    <row r="19" spans="1:44" ht="15.9" customHeight="1">
      <c r="A19" s="989"/>
      <c r="B19" s="2238"/>
      <c r="C19" s="2240"/>
      <c r="D19" s="2242"/>
      <c r="E19" s="2244"/>
      <c r="F19" s="1045" t="s">
        <v>1960</v>
      </c>
      <c r="G19" s="1046" t="str">
        <f t="shared" ref="G19:AK19" si="5">IF(G18&lt;&gt;"",VLOOKUP(G18,$AC$197:$AL$221,9,FALSE),"")</f>
        <v/>
      </c>
      <c r="H19" s="1047" t="str">
        <f t="shared" si="5"/>
        <v/>
      </c>
      <c r="I19" s="1047" t="str">
        <f t="shared" si="5"/>
        <v/>
      </c>
      <c r="J19" s="1047" t="str">
        <f t="shared" si="5"/>
        <v/>
      </c>
      <c r="K19" s="1047">
        <f t="shared" si="5"/>
        <v>7.5</v>
      </c>
      <c r="L19" s="1047">
        <f t="shared" si="5"/>
        <v>7.25</v>
      </c>
      <c r="M19" s="1048" t="str">
        <f t="shared" si="5"/>
        <v/>
      </c>
      <c r="N19" s="1046">
        <f t="shared" si="5"/>
        <v>7.75</v>
      </c>
      <c r="O19" s="1047">
        <f t="shared" si="5"/>
        <v>7.75</v>
      </c>
      <c r="P19" s="1047">
        <f t="shared" si="5"/>
        <v>7.75</v>
      </c>
      <c r="Q19" s="1047" t="str">
        <f t="shared" si="5"/>
        <v/>
      </c>
      <c r="R19" s="1047">
        <f t="shared" si="5"/>
        <v>7.5</v>
      </c>
      <c r="S19" s="1047">
        <f t="shared" si="5"/>
        <v>7.25</v>
      </c>
      <c r="T19" s="1048" t="str">
        <f t="shared" si="5"/>
        <v/>
      </c>
      <c r="U19" s="1046">
        <f t="shared" si="5"/>
        <v>7.75</v>
      </c>
      <c r="V19" s="1047">
        <f t="shared" si="5"/>
        <v>7.75</v>
      </c>
      <c r="W19" s="1047">
        <f t="shared" si="5"/>
        <v>7.75</v>
      </c>
      <c r="X19" s="1047" t="str">
        <f t="shared" si="5"/>
        <v/>
      </c>
      <c r="Y19" s="1047">
        <f t="shared" si="5"/>
        <v>7.5</v>
      </c>
      <c r="Z19" s="1047">
        <f t="shared" si="5"/>
        <v>7.25</v>
      </c>
      <c r="AA19" s="1048" t="str">
        <f t="shared" si="5"/>
        <v/>
      </c>
      <c r="AB19" s="1046">
        <f t="shared" si="5"/>
        <v>7.75</v>
      </c>
      <c r="AC19" s="1047">
        <f t="shared" si="5"/>
        <v>7.75</v>
      </c>
      <c r="AD19" s="1047">
        <f t="shared" si="5"/>
        <v>7.75</v>
      </c>
      <c r="AE19" s="1047" t="str">
        <f t="shared" si="5"/>
        <v/>
      </c>
      <c r="AF19" s="1047">
        <f t="shared" si="5"/>
        <v>7.5</v>
      </c>
      <c r="AG19" s="1047">
        <f t="shared" si="5"/>
        <v>7.25</v>
      </c>
      <c r="AH19" s="1048" t="str">
        <f t="shared" si="5"/>
        <v/>
      </c>
      <c r="AI19" s="1049">
        <f t="shared" si="5"/>
        <v>7.75</v>
      </c>
      <c r="AJ19" s="1047">
        <f t="shared" si="5"/>
        <v>7.75</v>
      </c>
      <c r="AK19" s="1047">
        <f t="shared" si="5"/>
        <v>7.75</v>
      </c>
      <c r="AL19" s="1050">
        <f>SUM(G19:AH19)</f>
        <v>128.75</v>
      </c>
      <c r="AM19" s="1051">
        <f>AL19/4</f>
        <v>32.1875</v>
      </c>
      <c r="AN19" s="1052" t="str">
        <f>IF(C18="","",C18)</f>
        <v/>
      </c>
      <c r="AO19" s="1053" t="str">
        <f>IF(D18="","",D18)</f>
        <v/>
      </c>
      <c r="AP19" s="1054" t="str">
        <f>IF(D18&lt;&gt;"",VLOOKUP(D18,$AU$2:$AV$6,2,FALSE),"")</f>
        <v/>
      </c>
      <c r="AQ19" s="1051">
        <f>ROUNDDOWN(AL19/$AL$6,2)</f>
        <v>0.83</v>
      </c>
      <c r="AR19" s="1051">
        <f>IF(AP19=1,"",AQ19)</f>
        <v>0.83</v>
      </c>
    </row>
    <row r="20" spans="1:44" ht="15.9" customHeight="1">
      <c r="A20" s="989"/>
      <c r="B20" s="2238" t="s">
        <v>1965</v>
      </c>
      <c r="C20" s="2239"/>
      <c r="D20" s="2241"/>
      <c r="E20" s="2243"/>
      <c r="F20" s="1034" t="s">
        <v>1959</v>
      </c>
      <c r="G20" s="1035"/>
      <c r="H20" s="1036"/>
      <c r="I20" s="1037"/>
      <c r="J20" s="1037"/>
      <c r="K20" s="1037"/>
      <c r="L20" s="1037" t="s">
        <v>2110</v>
      </c>
      <c r="M20" s="1038" t="s">
        <v>2115</v>
      </c>
      <c r="N20" s="1035"/>
      <c r="O20" s="1036" t="s">
        <v>931</v>
      </c>
      <c r="P20" s="1037" t="s">
        <v>931</v>
      </c>
      <c r="Q20" s="1037" t="s">
        <v>931</v>
      </c>
      <c r="R20" s="1037"/>
      <c r="S20" s="1037" t="s">
        <v>2110</v>
      </c>
      <c r="T20" s="1038" t="s">
        <v>2115</v>
      </c>
      <c r="U20" s="1035"/>
      <c r="V20" s="1036" t="s">
        <v>931</v>
      </c>
      <c r="W20" s="1037" t="s">
        <v>931</v>
      </c>
      <c r="X20" s="1037" t="s">
        <v>931</v>
      </c>
      <c r="Y20" s="1037"/>
      <c r="Z20" s="1037" t="s">
        <v>2110</v>
      </c>
      <c r="AA20" s="1038" t="s">
        <v>2115</v>
      </c>
      <c r="AB20" s="1035"/>
      <c r="AC20" s="1036" t="s">
        <v>931</v>
      </c>
      <c r="AD20" s="1037" t="s">
        <v>931</v>
      </c>
      <c r="AE20" s="1037" t="s">
        <v>931</v>
      </c>
      <c r="AF20" s="1037"/>
      <c r="AG20" s="1037" t="s">
        <v>2110</v>
      </c>
      <c r="AH20" s="1038" t="s">
        <v>2115</v>
      </c>
      <c r="AI20" s="1039"/>
      <c r="AJ20" s="1037" t="s">
        <v>931</v>
      </c>
      <c r="AK20" s="1037" t="s">
        <v>931</v>
      </c>
      <c r="AL20" s="1040">
        <f>SUM(G21:AK21)</f>
        <v>144.25</v>
      </c>
      <c r="AM20" s="1041"/>
      <c r="AN20" s="1042"/>
      <c r="AO20" s="1043"/>
      <c r="AP20" s="1041"/>
      <c r="AQ20" s="1044"/>
      <c r="AR20" s="1044"/>
    </row>
    <row r="21" spans="1:44" ht="15.9" customHeight="1">
      <c r="A21" s="989"/>
      <c r="B21" s="2238"/>
      <c r="C21" s="2240"/>
      <c r="D21" s="2242"/>
      <c r="E21" s="2244"/>
      <c r="F21" s="1045" t="s">
        <v>1960</v>
      </c>
      <c r="G21" s="1046" t="str">
        <f t="shared" ref="G21:AK21" si="6">IF(G20&lt;&gt;"",VLOOKUP(G20,$AC$197:$AL$221,9,FALSE),"")</f>
        <v/>
      </c>
      <c r="H21" s="1047" t="str">
        <f t="shared" si="6"/>
        <v/>
      </c>
      <c r="I21" s="1047" t="str">
        <f t="shared" si="6"/>
        <v/>
      </c>
      <c r="J21" s="1047" t="str">
        <f t="shared" si="6"/>
        <v/>
      </c>
      <c r="K21" s="1047" t="str">
        <f t="shared" si="6"/>
        <v/>
      </c>
      <c r="L21" s="1047">
        <f t="shared" si="6"/>
        <v>7.5</v>
      </c>
      <c r="M21" s="1048">
        <f t="shared" si="6"/>
        <v>7.25</v>
      </c>
      <c r="N21" s="1046" t="str">
        <f t="shared" si="6"/>
        <v/>
      </c>
      <c r="O21" s="1047">
        <f t="shared" si="6"/>
        <v>7.75</v>
      </c>
      <c r="P21" s="1047">
        <f t="shared" si="6"/>
        <v>7.75</v>
      </c>
      <c r="Q21" s="1047">
        <f t="shared" si="6"/>
        <v>7.75</v>
      </c>
      <c r="R21" s="1047" t="str">
        <f t="shared" si="6"/>
        <v/>
      </c>
      <c r="S21" s="1047">
        <f t="shared" si="6"/>
        <v>7.5</v>
      </c>
      <c r="T21" s="1048">
        <f t="shared" si="6"/>
        <v>7.25</v>
      </c>
      <c r="U21" s="1046" t="str">
        <f t="shared" si="6"/>
        <v/>
      </c>
      <c r="V21" s="1047">
        <f t="shared" si="6"/>
        <v>7.75</v>
      </c>
      <c r="W21" s="1047">
        <f t="shared" si="6"/>
        <v>7.75</v>
      </c>
      <c r="X21" s="1047">
        <f t="shared" si="6"/>
        <v>7.75</v>
      </c>
      <c r="Y21" s="1047" t="str">
        <f t="shared" si="6"/>
        <v/>
      </c>
      <c r="Z21" s="1047">
        <f t="shared" si="6"/>
        <v>7.5</v>
      </c>
      <c r="AA21" s="1048">
        <f t="shared" si="6"/>
        <v>7.25</v>
      </c>
      <c r="AB21" s="1046" t="str">
        <f t="shared" si="6"/>
        <v/>
      </c>
      <c r="AC21" s="1047">
        <f t="shared" si="6"/>
        <v>7.75</v>
      </c>
      <c r="AD21" s="1047">
        <f t="shared" si="6"/>
        <v>7.75</v>
      </c>
      <c r="AE21" s="1047">
        <f t="shared" si="6"/>
        <v>7.75</v>
      </c>
      <c r="AF21" s="1047" t="str">
        <f t="shared" si="6"/>
        <v/>
      </c>
      <c r="AG21" s="1047">
        <f t="shared" si="6"/>
        <v>7.5</v>
      </c>
      <c r="AH21" s="1048">
        <f t="shared" si="6"/>
        <v>7.25</v>
      </c>
      <c r="AI21" s="1049" t="str">
        <f t="shared" si="6"/>
        <v/>
      </c>
      <c r="AJ21" s="1047">
        <f t="shared" si="6"/>
        <v>7.75</v>
      </c>
      <c r="AK21" s="1047">
        <f t="shared" si="6"/>
        <v>7.75</v>
      </c>
      <c r="AL21" s="1050">
        <f>SUM(G21:AH21)</f>
        <v>128.75</v>
      </c>
      <c r="AM21" s="1051">
        <f>AL21/4</f>
        <v>32.1875</v>
      </c>
      <c r="AN21" s="1052" t="str">
        <f>IF(C20="","",C20)</f>
        <v/>
      </c>
      <c r="AO21" s="1053" t="str">
        <f>IF(D20="","",D20)</f>
        <v/>
      </c>
      <c r="AP21" s="1054" t="str">
        <f>IF(D20&lt;&gt;"",VLOOKUP(D20,$AU$2:$AV$6,2,FALSE),"")</f>
        <v/>
      </c>
      <c r="AQ21" s="1051">
        <f>ROUNDDOWN(AL21/$AL$6,2)</f>
        <v>0.83</v>
      </c>
      <c r="AR21" s="1051">
        <f>IF(AP21=1,"",AQ21)</f>
        <v>0.83</v>
      </c>
    </row>
    <row r="22" spans="1:44" ht="15.9" customHeight="1">
      <c r="A22" s="989"/>
      <c r="B22" s="2238" t="s">
        <v>1966</v>
      </c>
      <c r="C22" s="2239"/>
      <c r="D22" s="2241"/>
      <c r="E22" s="2243"/>
      <c r="F22" s="1034" t="s">
        <v>1959</v>
      </c>
      <c r="G22" s="1035"/>
      <c r="H22" s="1036"/>
      <c r="I22" s="1037"/>
      <c r="J22" s="1037"/>
      <c r="K22" s="1037"/>
      <c r="L22" s="1037"/>
      <c r="M22" s="1038" t="s">
        <v>2110</v>
      </c>
      <c r="N22" s="1035" t="s">
        <v>2115</v>
      </c>
      <c r="O22" s="1036"/>
      <c r="P22" s="1037" t="s">
        <v>931</v>
      </c>
      <c r="Q22" s="1037" t="s">
        <v>931</v>
      </c>
      <c r="R22" s="1037" t="s">
        <v>931</v>
      </c>
      <c r="S22" s="1037"/>
      <c r="T22" s="1038" t="s">
        <v>2110</v>
      </c>
      <c r="U22" s="1035" t="s">
        <v>2115</v>
      </c>
      <c r="V22" s="1036"/>
      <c r="W22" s="1037" t="s">
        <v>931</v>
      </c>
      <c r="X22" s="1037" t="s">
        <v>931</v>
      </c>
      <c r="Y22" s="1037" t="s">
        <v>931</v>
      </c>
      <c r="Z22" s="1037"/>
      <c r="AA22" s="1038" t="s">
        <v>2110</v>
      </c>
      <c r="AB22" s="1035" t="s">
        <v>2115</v>
      </c>
      <c r="AC22" s="1036"/>
      <c r="AD22" s="1037" t="s">
        <v>931</v>
      </c>
      <c r="AE22" s="1037" t="s">
        <v>931</v>
      </c>
      <c r="AF22" s="1037" t="s">
        <v>931</v>
      </c>
      <c r="AG22" s="1037"/>
      <c r="AH22" s="1038" t="s">
        <v>2110</v>
      </c>
      <c r="AI22" s="1055" t="s">
        <v>2115</v>
      </c>
      <c r="AJ22" s="1036"/>
      <c r="AK22" s="1036" t="s">
        <v>931</v>
      </c>
      <c r="AL22" s="1040">
        <f>SUM(G23:AK23)</f>
        <v>136.5</v>
      </c>
      <c r="AM22" s="1041"/>
      <c r="AN22" s="1042"/>
      <c r="AO22" s="1043"/>
      <c r="AP22" s="1041"/>
      <c r="AQ22" s="1044"/>
      <c r="AR22" s="1044"/>
    </row>
    <row r="23" spans="1:44" ht="15.9" customHeight="1">
      <c r="A23" s="989"/>
      <c r="B23" s="2238"/>
      <c r="C23" s="2240"/>
      <c r="D23" s="2242"/>
      <c r="E23" s="2244"/>
      <c r="F23" s="1045" t="s">
        <v>1960</v>
      </c>
      <c r="G23" s="1046" t="str">
        <f t="shared" ref="G23:AK23" si="7">IF(G22&lt;&gt;"",VLOOKUP(G22,$AC$197:$AL$221,9,FALSE),"")</f>
        <v/>
      </c>
      <c r="H23" s="1047" t="str">
        <f t="shared" si="7"/>
        <v/>
      </c>
      <c r="I23" s="1047" t="str">
        <f t="shared" si="7"/>
        <v/>
      </c>
      <c r="J23" s="1047" t="str">
        <f t="shared" si="7"/>
        <v/>
      </c>
      <c r="K23" s="1047" t="str">
        <f t="shared" si="7"/>
        <v/>
      </c>
      <c r="L23" s="1047" t="str">
        <f t="shared" si="7"/>
        <v/>
      </c>
      <c r="M23" s="1048">
        <f t="shared" si="7"/>
        <v>7.5</v>
      </c>
      <c r="N23" s="1046">
        <f t="shared" si="7"/>
        <v>7.25</v>
      </c>
      <c r="O23" s="1047" t="str">
        <f t="shared" si="7"/>
        <v/>
      </c>
      <c r="P23" s="1047">
        <f t="shared" si="7"/>
        <v>7.75</v>
      </c>
      <c r="Q23" s="1047">
        <f t="shared" si="7"/>
        <v>7.75</v>
      </c>
      <c r="R23" s="1047">
        <f t="shared" si="7"/>
        <v>7.75</v>
      </c>
      <c r="S23" s="1047" t="str">
        <f t="shared" si="7"/>
        <v/>
      </c>
      <c r="T23" s="1048">
        <f t="shared" si="7"/>
        <v>7.5</v>
      </c>
      <c r="U23" s="1046">
        <f t="shared" si="7"/>
        <v>7.25</v>
      </c>
      <c r="V23" s="1047" t="str">
        <f t="shared" si="7"/>
        <v/>
      </c>
      <c r="W23" s="1047">
        <f t="shared" si="7"/>
        <v>7.75</v>
      </c>
      <c r="X23" s="1047">
        <f t="shared" si="7"/>
        <v>7.75</v>
      </c>
      <c r="Y23" s="1047">
        <f t="shared" si="7"/>
        <v>7.75</v>
      </c>
      <c r="Z23" s="1047" t="str">
        <f t="shared" si="7"/>
        <v/>
      </c>
      <c r="AA23" s="1048">
        <f t="shared" si="7"/>
        <v>7.5</v>
      </c>
      <c r="AB23" s="1046">
        <f t="shared" si="7"/>
        <v>7.25</v>
      </c>
      <c r="AC23" s="1047" t="str">
        <f t="shared" si="7"/>
        <v/>
      </c>
      <c r="AD23" s="1047">
        <f t="shared" si="7"/>
        <v>7.75</v>
      </c>
      <c r="AE23" s="1047">
        <f t="shared" si="7"/>
        <v>7.75</v>
      </c>
      <c r="AF23" s="1047">
        <f t="shared" si="7"/>
        <v>7.75</v>
      </c>
      <c r="AG23" s="1047" t="str">
        <f t="shared" si="7"/>
        <v/>
      </c>
      <c r="AH23" s="1048">
        <f t="shared" si="7"/>
        <v>7.5</v>
      </c>
      <c r="AI23" s="1049">
        <f t="shared" si="7"/>
        <v>7.25</v>
      </c>
      <c r="AJ23" s="1047" t="str">
        <f t="shared" si="7"/>
        <v/>
      </c>
      <c r="AK23" s="1047">
        <f t="shared" si="7"/>
        <v>7.75</v>
      </c>
      <c r="AL23" s="1050">
        <f>SUM(G23:AH23)</f>
        <v>121.5</v>
      </c>
      <c r="AM23" s="1051">
        <f>AL23/4</f>
        <v>30.375</v>
      </c>
      <c r="AN23" s="1052" t="str">
        <f>IF(C22="","",C22)</f>
        <v/>
      </c>
      <c r="AO23" s="1053" t="str">
        <f>IF(D22="","",D22)</f>
        <v/>
      </c>
      <c r="AP23" s="1054" t="str">
        <f>IF(D22&lt;&gt;"",VLOOKUP(D22,$AU$2:$AV$6,2,FALSE),"")</f>
        <v/>
      </c>
      <c r="AQ23" s="1051">
        <f>ROUNDDOWN(AL23/$AL$6,2)</f>
        <v>0.78</v>
      </c>
      <c r="AR23" s="1051">
        <f>IF(AP23=1,"",AQ23)</f>
        <v>0.78</v>
      </c>
    </row>
    <row r="24" spans="1:44" ht="15.9" customHeight="1">
      <c r="A24" s="989"/>
      <c r="B24" s="2238" t="s">
        <v>1967</v>
      </c>
      <c r="C24" s="2239"/>
      <c r="D24" s="2241"/>
      <c r="E24" s="2243"/>
      <c r="F24" s="1034" t="s">
        <v>1959</v>
      </c>
      <c r="G24" s="1035"/>
      <c r="H24" s="1036"/>
      <c r="I24" s="1037"/>
      <c r="J24" s="1037"/>
      <c r="K24" s="1037"/>
      <c r="L24" s="1037"/>
      <c r="M24" s="1038"/>
      <c r="N24" s="1035"/>
      <c r="O24" s="1036"/>
      <c r="P24" s="1037"/>
      <c r="Q24" s="1037"/>
      <c r="R24" s="1037"/>
      <c r="S24" s="1037"/>
      <c r="T24" s="1038"/>
      <c r="U24" s="1035"/>
      <c r="V24" s="1036"/>
      <c r="W24" s="1037"/>
      <c r="X24" s="1037"/>
      <c r="Y24" s="1037"/>
      <c r="Z24" s="1037"/>
      <c r="AA24" s="1038"/>
      <c r="AB24" s="1035"/>
      <c r="AC24" s="1036"/>
      <c r="AD24" s="1037"/>
      <c r="AE24" s="1037"/>
      <c r="AF24" s="1037"/>
      <c r="AG24" s="1037"/>
      <c r="AH24" s="1038"/>
      <c r="AI24" s="1055"/>
      <c r="AJ24" s="1036"/>
      <c r="AK24" s="1036"/>
      <c r="AL24" s="1040">
        <f>SUM(G25:AK25)</f>
        <v>0</v>
      </c>
      <c r="AM24" s="1041"/>
      <c r="AN24" s="1042"/>
      <c r="AO24" s="1043"/>
      <c r="AP24" s="1041"/>
      <c r="AQ24" s="1044"/>
      <c r="AR24" s="1044"/>
    </row>
    <row r="25" spans="1:44" ht="15.9" customHeight="1">
      <c r="A25" s="989"/>
      <c r="B25" s="2238"/>
      <c r="C25" s="2240"/>
      <c r="D25" s="2242"/>
      <c r="E25" s="2244"/>
      <c r="F25" s="1045" t="s">
        <v>1960</v>
      </c>
      <c r="G25" s="1046" t="str">
        <f t="shared" ref="G25:AK25" si="8">IF(G24&lt;&gt;"",VLOOKUP(G24,$AC$197:$AL$221,9,FALSE),"")</f>
        <v/>
      </c>
      <c r="H25" s="1047" t="str">
        <f t="shared" si="8"/>
        <v/>
      </c>
      <c r="I25" s="1047" t="str">
        <f t="shared" si="8"/>
        <v/>
      </c>
      <c r="J25" s="1047" t="str">
        <f t="shared" si="8"/>
        <v/>
      </c>
      <c r="K25" s="1047" t="str">
        <f t="shared" si="8"/>
        <v/>
      </c>
      <c r="L25" s="1047" t="str">
        <f t="shared" si="8"/>
        <v/>
      </c>
      <c r="M25" s="1048" t="str">
        <f t="shared" si="8"/>
        <v/>
      </c>
      <c r="N25" s="1046" t="str">
        <f t="shared" si="8"/>
        <v/>
      </c>
      <c r="O25" s="1047" t="str">
        <f t="shared" si="8"/>
        <v/>
      </c>
      <c r="P25" s="1047" t="str">
        <f t="shared" si="8"/>
        <v/>
      </c>
      <c r="Q25" s="1047" t="str">
        <f t="shared" si="8"/>
        <v/>
      </c>
      <c r="R25" s="1047" t="str">
        <f t="shared" si="8"/>
        <v/>
      </c>
      <c r="S25" s="1047" t="str">
        <f t="shared" si="8"/>
        <v/>
      </c>
      <c r="T25" s="1048" t="str">
        <f t="shared" si="8"/>
        <v/>
      </c>
      <c r="U25" s="1046" t="str">
        <f t="shared" si="8"/>
        <v/>
      </c>
      <c r="V25" s="1047" t="str">
        <f t="shared" si="8"/>
        <v/>
      </c>
      <c r="W25" s="1047" t="str">
        <f t="shared" si="8"/>
        <v/>
      </c>
      <c r="X25" s="1047" t="str">
        <f t="shared" si="8"/>
        <v/>
      </c>
      <c r="Y25" s="1047" t="str">
        <f t="shared" si="8"/>
        <v/>
      </c>
      <c r="Z25" s="1047" t="str">
        <f t="shared" si="8"/>
        <v/>
      </c>
      <c r="AA25" s="1048" t="str">
        <f t="shared" si="8"/>
        <v/>
      </c>
      <c r="AB25" s="1046" t="str">
        <f t="shared" si="8"/>
        <v/>
      </c>
      <c r="AC25" s="1047" t="str">
        <f t="shared" si="8"/>
        <v/>
      </c>
      <c r="AD25" s="1047" t="str">
        <f t="shared" si="8"/>
        <v/>
      </c>
      <c r="AE25" s="1047" t="str">
        <f t="shared" si="8"/>
        <v/>
      </c>
      <c r="AF25" s="1047" t="str">
        <f t="shared" si="8"/>
        <v/>
      </c>
      <c r="AG25" s="1047" t="str">
        <f t="shared" si="8"/>
        <v/>
      </c>
      <c r="AH25" s="1048" t="str">
        <f t="shared" si="8"/>
        <v/>
      </c>
      <c r="AI25" s="1049" t="str">
        <f t="shared" si="8"/>
        <v/>
      </c>
      <c r="AJ25" s="1047" t="str">
        <f t="shared" si="8"/>
        <v/>
      </c>
      <c r="AK25" s="1047" t="str">
        <f t="shared" si="8"/>
        <v/>
      </c>
      <c r="AL25" s="1050">
        <f>SUM(G25:AH25)</f>
        <v>0</v>
      </c>
      <c r="AM25" s="1051">
        <f>AL25/4</f>
        <v>0</v>
      </c>
      <c r="AN25" s="1052" t="str">
        <f>IF(C24="","",C24)</f>
        <v/>
      </c>
      <c r="AO25" s="1053" t="str">
        <f>IF(D24="","",D24)</f>
        <v/>
      </c>
      <c r="AP25" s="1054" t="str">
        <f>IF(D24&lt;&gt;"",VLOOKUP(D24,$AU$2:$AV$6,2,FALSE),"")</f>
        <v/>
      </c>
      <c r="AQ25" s="1051">
        <f>ROUNDDOWN(AL25/$AL$6,2)</f>
        <v>0</v>
      </c>
      <c r="AR25" s="1051">
        <f>IF(AP25=1,"",AQ25)</f>
        <v>0</v>
      </c>
    </row>
    <row r="26" spans="1:44" ht="15.9" customHeight="1">
      <c r="A26" s="989"/>
      <c r="B26" s="2238" t="s">
        <v>1968</v>
      </c>
      <c r="C26" s="2239"/>
      <c r="D26" s="2241"/>
      <c r="E26" s="2243"/>
      <c r="F26" s="1034" t="s">
        <v>1959</v>
      </c>
      <c r="G26" s="1035"/>
      <c r="H26" s="1036"/>
      <c r="I26" s="1037"/>
      <c r="J26" s="1037"/>
      <c r="K26" s="1037"/>
      <c r="L26" s="1037"/>
      <c r="M26" s="1038"/>
      <c r="N26" s="1035"/>
      <c r="O26" s="1036"/>
      <c r="P26" s="1037"/>
      <c r="Q26" s="1037"/>
      <c r="R26" s="1037"/>
      <c r="S26" s="1037"/>
      <c r="T26" s="1038"/>
      <c r="U26" s="1035"/>
      <c r="V26" s="1036"/>
      <c r="W26" s="1037"/>
      <c r="X26" s="1037"/>
      <c r="Y26" s="1037"/>
      <c r="Z26" s="1037"/>
      <c r="AA26" s="1038"/>
      <c r="AB26" s="1035"/>
      <c r="AC26" s="1036"/>
      <c r="AD26" s="1037"/>
      <c r="AE26" s="1037"/>
      <c r="AF26" s="1037"/>
      <c r="AG26" s="1037"/>
      <c r="AH26" s="1038"/>
      <c r="AI26" s="1039"/>
      <c r="AJ26" s="1037"/>
      <c r="AK26" s="1037"/>
      <c r="AL26" s="1040">
        <f>SUM(G27:AK27)</f>
        <v>0</v>
      </c>
      <c r="AM26" s="1041"/>
      <c r="AN26" s="1042"/>
      <c r="AO26" s="1043"/>
      <c r="AP26" s="1041"/>
      <c r="AQ26" s="1044"/>
      <c r="AR26" s="1044"/>
    </row>
    <row r="27" spans="1:44" ht="15.9" customHeight="1">
      <c r="A27" s="989"/>
      <c r="B27" s="2238"/>
      <c r="C27" s="2240"/>
      <c r="D27" s="2242"/>
      <c r="E27" s="2244"/>
      <c r="F27" s="1045" t="s">
        <v>1960</v>
      </c>
      <c r="G27" s="1046" t="str">
        <f t="shared" ref="G27:AK27" si="9">IF(G26&lt;&gt;"",VLOOKUP(G26,$AC$197:$AL$221,9,FALSE),"")</f>
        <v/>
      </c>
      <c r="H27" s="1047" t="str">
        <f t="shared" si="9"/>
        <v/>
      </c>
      <c r="I27" s="1047" t="str">
        <f t="shared" si="9"/>
        <v/>
      </c>
      <c r="J27" s="1047" t="str">
        <f t="shared" si="9"/>
        <v/>
      </c>
      <c r="K27" s="1047" t="str">
        <f t="shared" si="9"/>
        <v/>
      </c>
      <c r="L27" s="1047" t="str">
        <f t="shared" si="9"/>
        <v/>
      </c>
      <c r="M27" s="1048" t="str">
        <f t="shared" si="9"/>
        <v/>
      </c>
      <c r="N27" s="1046" t="str">
        <f t="shared" si="9"/>
        <v/>
      </c>
      <c r="O27" s="1047" t="str">
        <f t="shared" si="9"/>
        <v/>
      </c>
      <c r="P27" s="1047" t="str">
        <f t="shared" si="9"/>
        <v/>
      </c>
      <c r="Q27" s="1047" t="str">
        <f t="shared" si="9"/>
        <v/>
      </c>
      <c r="R27" s="1047" t="str">
        <f t="shared" si="9"/>
        <v/>
      </c>
      <c r="S27" s="1047" t="str">
        <f t="shared" si="9"/>
        <v/>
      </c>
      <c r="T27" s="1048" t="str">
        <f t="shared" si="9"/>
        <v/>
      </c>
      <c r="U27" s="1046" t="str">
        <f t="shared" si="9"/>
        <v/>
      </c>
      <c r="V27" s="1047" t="str">
        <f t="shared" si="9"/>
        <v/>
      </c>
      <c r="W27" s="1047" t="str">
        <f t="shared" si="9"/>
        <v/>
      </c>
      <c r="X27" s="1047" t="str">
        <f t="shared" si="9"/>
        <v/>
      </c>
      <c r="Y27" s="1047" t="str">
        <f t="shared" si="9"/>
        <v/>
      </c>
      <c r="Z27" s="1047" t="str">
        <f t="shared" si="9"/>
        <v/>
      </c>
      <c r="AA27" s="1048" t="str">
        <f t="shared" si="9"/>
        <v/>
      </c>
      <c r="AB27" s="1046" t="str">
        <f t="shared" si="9"/>
        <v/>
      </c>
      <c r="AC27" s="1047" t="str">
        <f t="shared" si="9"/>
        <v/>
      </c>
      <c r="AD27" s="1047" t="str">
        <f t="shared" si="9"/>
        <v/>
      </c>
      <c r="AE27" s="1047" t="str">
        <f t="shared" si="9"/>
        <v/>
      </c>
      <c r="AF27" s="1047" t="str">
        <f t="shared" si="9"/>
        <v/>
      </c>
      <c r="AG27" s="1047" t="str">
        <f t="shared" si="9"/>
        <v/>
      </c>
      <c r="AH27" s="1048" t="str">
        <f t="shared" si="9"/>
        <v/>
      </c>
      <c r="AI27" s="1049" t="str">
        <f t="shared" si="9"/>
        <v/>
      </c>
      <c r="AJ27" s="1047" t="str">
        <f t="shared" si="9"/>
        <v/>
      </c>
      <c r="AK27" s="1047" t="str">
        <f t="shared" si="9"/>
        <v/>
      </c>
      <c r="AL27" s="1050">
        <f>SUM(G27:AH27)</f>
        <v>0</v>
      </c>
      <c r="AM27" s="1051">
        <f>AL27/4</f>
        <v>0</v>
      </c>
      <c r="AN27" s="1052" t="str">
        <f>IF(C26="","",C26)</f>
        <v/>
      </c>
      <c r="AO27" s="1053" t="str">
        <f>IF(D26="","",D26)</f>
        <v/>
      </c>
      <c r="AP27" s="1054" t="str">
        <f>IF(D26&lt;&gt;"",VLOOKUP(D26,$AU$2:$AV$6,2,FALSE),"")</f>
        <v/>
      </c>
      <c r="AQ27" s="1051">
        <f>ROUNDDOWN(AL27/$AL$6,2)</f>
        <v>0</v>
      </c>
      <c r="AR27" s="1051">
        <f>IF(AP27=1,"",AQ27)</f>
        <v>0</v>
      </c>
    </row>
    <row r="28" spans="1:44" ht="15.9" customHeight="1">
      <c r="A28" s="989"/>
      <c r="B28" s="2238" t="s">
        <v>1969</v>
      </c>
      <c r="C28" s="2239"/>
      <c r="D28" s="2241"/>
      <c r="E28" s="2243"/>
      <c r="F28" s="1034" t="s">
        <v>1959</v>
      </c>
      <c r="G28" s="1035"/>
      <c r="H28" s="1036"/>
      <c r="I28" s="1037"/>
      <c r="J28" s="1037"/>
      <c r="K28" s="1037"/>
      <c r="L28" s="1037"/>
      <c r="M28" s="1038"/>
      <c r="N28" s="1035"/>
      <c r="O28" s="1036"/>
      <c r="P28" s="1037"/>
      <c r="Q28" s="1037"/>
      <c r="R28" s="1037"/>
      <c r="S28" s="1037"/>
      <c r="T28" s="1038"/>
      <c r="U28" s="1035"/>
      <c r="V28" s="1036"/>
      <c r="W28" s="1037"/>
      <c r="X28" s="1037"/>
      <c r="Y28" s="1037"/>
      <c r="Z28" s="1037"/>
      <c r="AA28" s="1038"/>
      <c r="AB28" s="1035"/>
      <c r="AC28" s="1036"/>
      <c r="AD28" s="1037"/>
      <c r="AE28" s="1037"/>
      <c r="AF28" s="1037"/>
      <c r="AG28" s="1037"/>
      <c r="AH28" s="1038"/>
      <c r="AI28" s="1039"/>
      <c r="AJ28" s="1037"/>
      <c r="AK28" s="1037"/>
      <c r="AL28" s="1040">
        <f>SUM(G29:AK29)</f>
        <v>0</v>
      </c>
      <c r="AM28" s="1041"/>
      <c r="AN28" s="1042"/>
      <c r="AO28" s="1043"/>
      <c r="AP28" s="1041"/>
      <c r="AQ28" s="1044"/>
      <c r="AR28" s="1044"/>
    </row>
    <row r="29" spans="1:44" ht="15.9" customHeight="1">
      <c r="A29" s="989"/>
      <c r="B29" s="2238"/>
      <c r="C29" s="2240"/>
      <c r="D29" s="2242"/>
      <c r="E29" s="2244"/>
      <c r="F29" s="1045" t="s">
        <v>1960</v>
      </c>
      <c r="G29" s="1046" t="str">
        <f t="shared" ref="G29:AK29" si="10">IF(G28&lt;&gt;"",VLOOKUP(G28,$AC$197:$AL$221,9,FALSE),"")</f>
        <v/>
      </c>
      <c r="H29" s="1047" t="str">
        <f t="shared" si="10"/>
        <v/>
      </c>
      <c r="I29" s="1047" t="str">
        <f t="shared" si="10"/>
        <v/>
      </c>
      <c r="J29" s="1047" t="str">
        <f t="shared" si="10"/>
        <v/>
      </c>
      <c r="K29" s="1047" t="str">
        <f t="shared" si="10"/>
        <v/>
      </c>
      <c r="L29" s="1047" t="str">
        <f t="shared" si="10"/>
        <v/>
      </c>
      <c r="M29" s="1048" t="str">
        <f t="shared" si="10"/>
        <v/>
      </c>
      <c r="N29" s="1046" t="str">
        <f t="shared" si="10"/>
        <v/>
      </c>
      <c r="O29" s="1047" t="str">
        <f t="shared" si="10"/>
        <v/>
      </c>
      <c r="P29" s="1047" t="str">
        <f t="shared" si="10"/>
        <v/>
      </c>
      <c r="Q29" s="1047" t="str">
        <f t="shared" si="10"/>
        <v/>
      </c>
      <c r="R29" s="1047" t="str">
        <f t="shared" si="10"/>
        <v/>
      </c>
      <c r="S29" s="1047" t="str">
        <f t="shared" si="10"/>
        <v/>
      </c>
      <c r="T29" s="1048" t="str">
        <f t="shared" si="10"/>
        <v/>
      </c>
      <c r="U29" s="1046" t="str">
        <f t="shared" si="10"/>
        <v/>
      </c>
      <c r="V29" s="1047" t="str">
        <f t="shared" si="10"/>
        <v/>
      </c>
      <c r="W29" s="1047" t="str">
        <f t="shared" si="10"/>
        <v/>
      </c>
      <c r="X29" s="1047" t="str">
        <f t="shared" si="10"/>
        <v/>
      </c>
      <c r="Y29" s="1047" t="str">
        <f t="shared" si="10"/>
        <v/>
      </c>
      <c r="Z29" s="1047" t="str">
        <f t="shared" si="10"/>
        <v/>
      </c>
      <c r="AA29" s="1048" t="str">
        <f t="shared" si="10"/>
        <v/>
      </c>
      <c r="AB29" s="1046" t="str">
        <f t="shared" si="10"/>
        <v/>
      </c>
      <c r="AC29" s="1047" t="str">
        <f t="shared" si="10"/>
        <v/>
      </c>
      <c r="AD29" s="1047" t="str">
        <f t="shared" si="10"/>
        <v/>
      </c>
      <c r="AE29" s="1047" t="str">
        <f t="shared" si="10"/>
        <v/>
      </c>
      <c r="AF29" s="1047" t="str">
        <f t="shared" si="10"/>
        <v/>
      </c>
      <c r="AG29" s="1047" t="str">
        <f t="shared" si="10"/>
        <v/>
      </c>
      <c r="AH29" s="1048" t="str">
        <f t="shared" si="10"/>
        <v/>
      </c>
      <c r="AI29" s="1049" t="str">
        <f t="shared" si="10"/>
        <v/>
      </c>
      <c r="AJ29" s="1047" t="str">
        <f t="shared" si="10"/>
        <v/>
      </c>
      <c r="AK29" s="1047" t="str">
        <f t="shared" si="10"/>
        <v/>
      </c>
      <c r="AL29" s="1050">
        <f>SUM(G29:AH29)</f>
        <v>0</v>
      </c>
      <c r="AM29" s="1051">
        <f>AL29/4</f>
        <v>0</v>
      </c>
      <c r="AN29" s="1052" t="str">
        <f>IF(C28="","",C28)</f>
        <v/>
      </c>
      <c r="AO29" s="1053" t="str">
        <f>IF(D28="","",D28)</f>
        <v/>
      </c>
      <c r="AP29" s="1054" t="str">
        <f>IF(D28&lt;&gt;"",VLOOKUP(D28,$AU$2:$AV$6,2,FALSE),"")</f>
        <v/>
      </c>
      <c r="AQ29" s="1051">
        <f>ROUNDDOWN(AL29/$AL$6,2)</f>
        <v>0</v>
      </c>
      <c r="AR29" s="1051">
        <f>IF(AP29=1,"",AQ29)</f>
        <v>0</v>
      </c>
    </row>
    <row r="30" spans="1:44" ht="15.9" customHeight="1">
      <c r="A30" s="989"/>
      <c r="B30" s="2238" t="s">
        <v>1970</v>
      </c>
      <c r="C30" s="2239"/>
      <c r="D30" s="2241"/>
      <c r="E30" s="2243"/>
      <c r="F30" s="1034" t="s">
        <v>1959</v>
      </c>
      <c r="G30" s="1035"/>
      <c r="H30" s="1036"/>
      <c r="I30" s="1037"/>
      <c r="J30" s="1037"/>
      <c r="K30" s="1037"/>
      <c r="L30" s="1037"/>
      <c r="M30" s="1038"/>
      <c r="N30" s="1035"/>
      <c r="O30" s="1036"/>
      <c r="P30" s="1037"/>
      <c r="Q30" s="1037"/>
      <c r="R30" s="1037"/>
      <c r="S30" s="1037"/>
      <c r="T30" s="1038"/>
      <c r="U30" s="1035"/>
      <c r="V30" s="1036"/>
      <c r="W30" s="1037"/>
      <c r="X30" s="1037"/>
      <c r="Y30" s="1037"/>
      <c r="Z30" s="1037"/>
      <c r="AA30" s="1038"/>
      <c r="AB30" s="1035"/>
      <c r="AC30" s="1036"/>
      <c r="AD30" s="1037"/>
      <c r="AE30" s="1037"/>
      <c r="AF30" s="1037"/>
      <c r="AG30" s="1037"/>
      <c r="AH30" s="1038"/>
      <c r="AI30" s="1055"/>
      <c r="AJ30" s="1036"/>
      <c r="AK30" s="1036"/>
      <c r="AL30" s="1040">
        <f>SUM(G31:AK31)</f>
        <v>0</v>
      </c>
      <c r="AM30" s="1041"/>
      <c r="AN30" s="1042"/>
      <c r="AO30" s="1043"/>
      <c r="AP30" s="1041"/>
      <c r="AQ30" s="1044"/>
      <c r="AR30" s="1044"/>
    </row>
    <row r="31" spans="1:44" ht="15.9" customHeight="1">
      <c r="A31" s="989"/>
      <c r="B31" s="2238"/>
      <c r="C31" s="2240"/>
      <c r="D31" s="2242"/>
      <c r="E31" s="2244"/>
      <c r="F31" s="1045" t="s">
        <v>1960</v>
      </c>
      <c r="G31" s="1046" t="str">
        <f t="shared" ref="G31:AK31" si="11">IF(G30&lt;&gt;"",VLOOKUP(G30,$AC$197:$AL$221,9,FALSE),"")</f>
        <v/>
      </c>
      <c r="H31" s="1047" t="str">
        <f t="shared" si="11"/>
        <v/>
      </c>
      <c r="I31" s="1047" t="str">
        <f t="shared" si="11"/>
        <v/>
      </c>
      <c r="J31" s="1047" t="str">
        <f t="shared" si="11"/>
        <v/>
      </c>
      <c r="K31" s="1047" t="str">
        <f t="shared" si="11"/>
        <v/>
      </c>
      <c r="L31" s="1047" t="str">
        <f t="shared" si="11"/>
        <v/>
      </c>
      <c r="M31" s="1048" t="str">
        <f t="shared" si="11"/>
        <v/>
      </c>
      <c r="N31" s="1046" t="str">
        <f t="shared" si="11"/>
        <v/>
      </c>
      <c r="O31" s="1047" t="str">
        <f t="shared" si="11"/>
        <v/>
      </c>
      <c r="P31" s="1047" t="str">
        <f t="shared" si="11"/>
        <v/>
      </c>
      <c r="Q31" s="1047" t="str">
        <f t="shared" si="11"/>
        <v/>
      </c>
      <c r="R31" s="1047" t="str">
        <f t="shared" si="11"/>
        <v/>
      </c>
      <c r="S31" s="1047" t="str">
        <f t="shared" si="11"/>
        <v/>
      </c>
      <c r="T31" s="1048" t="str">
        <f t="shared" si="11"/>
        <v/>
      </c>
      <c r="U31" s="1046" t="str">
        <f t="shared" si="11"/>
        <v/>
      </c>
      <c r="V31" s="1047" t="str">
        <f t="shared" si="11"/>
        <v/>
      </c>
      <c r="W31" s="1047" t="str">
        <f t="shared" si="11"/>
        <v/>
      </c>
      <c r="X31" s="1047" t="str">
        <f t="shared" si="11"/>
        <v/>
      </c>
      <c r="Y31" s="1047" t="str">
        <f t="shared" si="11"/>
        <v/>
      </c>
      <c r="Z31" s="1047" t="str">
        <f t="shared" si="11"/>
        <v/>
      </c>
      <c r="AA31" s="1048" t="str">
        <f t="shared" si="11"/>
        <v/>
      </c>
      <c r="AB31" s="1046" t="str">
        <f t="shared" si="11"/>
        <v/>
      </c>
      <c r="AC31" s="1047" t="str">
        <f t="shared" si="11"/>
        <v/>
      </c>
      <c r="AD31" s="1047" t="str">
        <f t="shared" si="11"/>
        <v/>
      </c>
      <c r="AE31" s="1047" t="str">
        <f t="shared" si="11"/>
        <v/>
      </c>
      <c r="AF31" s="1047" t="str">
        <f t="shared" si="11"/>
        <v/>
      </c>
      <c r="AG31" s="1047" t="str">
        <f t="shared" si="11"/>
        <v/>
      </c>
      <c r="AH31" s="1048" t="str">
        <f t="shared" si="11"/>
        <v/>
      </c>
      <c r="AI31" s="1049" t="str">
        <f t="shared" si="11"/>
        <v/>
      </c>
      <c r="AJ31" s="1047" t="str">
        <f t="shared" si="11"/>
        <v/>
      </c>
      <c r="AK31" s="1047" t="str">
        <f t="shared" si="11"/>
        <v/>
      </c>
      <c r="AL31" s="1050">
        <f>SUM(G31:AH31)</f>
        <v>0</v>
      </c>
      <c r="AM31" s="1051">
        <f>AL31/4</f>
        <v>0</v>
      </c>
      <c r="AN31" s="1052" t="str">
        <f>IF(C30="","",C30)</f>
        <v/>
      </c>
      <c r="AO31" s="1053" t="str">
        <f>IF(D30="","",D30)</f>
        <v/>
      </c>
      <c r="AP31" s="1054" t="str">
        <f>IF(D30&lt;&gt;"",VLOOKUP(D30,$AU$2:$AV$6,2,FALSE),"")</f>
        <v/>
      </c>
      <c r="AQ31" s="1051">
        <f>ROUNDDOWN(AL31/$AL$6,2)</f>
        <v>0</v>
      </c>
      <c r="AR31" s="1051">
        <f>IF(AP31=1,"",AQ31)</f>
        <v>0</v>
      </c>
    </row>
    <row r="32" spans="1:44" ht="15.9" customHeight="1">
      <c r="A32" s="989"/>
      <c r="B32" s="2238" t="s">
        <v>1971</v>
      </c>
      <c r="C32" s="2239"/>
      <c r="D32" s="2241"/>
      <c r="E32" s="2243"/>
      <c r="F32" s="1034" t="s">
        <v>1959</v>
      </c>
      <c r="G32" s="1035"/>
      <c r="H32" s="1036"/>
      <c r="I32" s="1037"/>
      <c r="J32" s="1037"/>
      <c r="K32" s="1037"/>
      <c r="L32" s="1037"/>
      <c r="M32" s="1038"/>
      <c r="N32" s="1035"/>
      <c r="O32" s="1036"/>
      <c r="P32" s="1037"/>
      <c r="Q32" s="1037"/>
      <c r="R32" s="1037"/>
      <c r="S32" s="1037"/>
      <c r="T32" s="1038"/>
      <c r="U32" s="1035"/>
      <c r="V32" s="1036"/>
      <c r="W32" s="1037"/>
      <c r="X32" s="1037"/>
      <c r="Y32" s="1037"/>
      <c r="Z32" s="1037"/>
      <c r="AA32" s="1038"/>
      <c r="AB32" s="1035"/>
      <c r="AC32" s="1036"/>
      <c r="AD32" s="1037"/>
      <c r="AE32" s="1037"/>
      <c r="AF32" s="1037"/>
      <c r="AG32" s="1037"/>
      <c r="AH32" s="1038"/>
      <c r="AI32" s="1055"/>
      <c r="AJ32" s="1036"/>
      <c r="AK32" s="1036"/>
      <c r="AL32" s="1040">
        <f>SUM(G33:AK33)</f>
        <v>0</v>
      </c>
      <c r="AM32" s="1041"/>
      <c r="AN32" s="1042"/>
      <c r="AO32" s="1043"/>
      <c r="AP32" s="1041"/>
      <c r="AQ32" s="1044"/>
      <c r="AR32" s="1044"/>
    </row>
    <row r="33" spans="1:44" ht="15.9" customHeight="1">
      <c r="A33" s="989"/>
      <c r="B33" s="2238"/>
      <c r="C33" s="2240"/>
      <c r="D33" s="2242"/>
      <c r="E33" s="2244"/>
      <c r="F33" s="1045" t="s">
        <v>1960</v>
      </c>
      <c r="G33" s="1046" t="str">
        <f t="shared" ref="G33:AK33" si="12">IF(G32&lt;&gt;"",VLOOKUP(G32,$AC$197:$AL$221,9,FALSE),"")</f>
        <v/>
      </c>
      <c r="H33" s="1047" t="str">
        <f t="shared" si="12"/>
        <v/>
      </c>
      <c r="I33" s="1047" t="str">
        <f t="shared" si="12"/>
        <v/>
      </c>
      <c r="J33" s="1047" t="str">
        <f t="shared" si="12"/>
        <v/>
      </c>
      <c r="K33" s="1047" t="str">
        <f t="shared" si="12"/>
        <v/>
      </c>
      <c r="L33" s="1047" t="str">
        <f t="shared" si="12"/>
        <v/>
      </c>
      <c r="M33" s="1048" t="str">
        <f t="shared" si="12"/>
        <v/>
      </c>
      <c r="N33" s="1046" t="str">
        <f t="shared" si="12"/>
        <v/>
      </c>
      <c r="O33" s="1047" t="str">
        <f t="shared" si="12"/>
        <v/>
      </c>
      <c r="P33" s="1047" t="str">
        <f t="shared" si="12"/>
        <v/>
      </c>
      <c r="Q33" s="1047" t="str">
        <f t="shared" si="12"/>
        <v/>
      </c>
      <c r="R33" s="1047" t="str">
        <f t="shared" si="12"/>
        <v/>
      </c>
      <c r="S33" s="1047" t="str">
        <f t="shared" si="12"/>
        <v/>
      </c>
      <c r="T33" s="1048" t="str">
        <f t="shared" si="12"/>
        <v/>
      </c>
      <c r="U33" s="1046" t="str">
        <f t="shared" si="12"/>
        <v/>
      </c>
      <c r="V33" s="1047" t="str">
        <f t="shared" si="12"/>
        <v/>
      </c>
      <c r="W33" s="1047" t="str">
        <f t="shared" si="12"/>
        <v/>
      </c>
      <c r="X33" s="1047" t="str">
        <f t="shared" si="12"/>
        <v/>
      </c>
      <c r="Y33" s="1047" t="str">
        <f t="shared" si="12"/>
        <v/>
      </c>
      <c r="Z33" s="1047" t="str">
        <f t="shared" si="12"/>
        <v/>
      </c>
      <c r="AA33" s="1048" t="str">
        <f t="shared" si="12"/>
        <v/>
      </c>
      <c r="AB33" s="1046" t="str">
        <f t="shared" si="12"/>
        <v/>
      </c>
      <c r="AC33" s="1047" t="str">
        <f t="shared" si="12"/>
        <v/>
      </c>
      <c r="AD33" s="1047" t="str">
        <f t="shared" si="12"/>
        <v/>
      </c>
      <c r="AE33" s="1047" t="str">
        <f t="shared" si="12"/>
        <v/>
      </c>
      <c r="AF33" s="1047" t="str">
        <f t="shared" si="12"/>
        <v/>
      </c>
      <c r="AG33" s="1047" t="str">
        <f t="shared" si="12"/>
        <v/>
      </c>
      <c r="AH33" s="1048" t="str">
        <f t="shared" si="12"/>
        <v/>
      </c>
      <c r="AI33" s="1049" t="str">
        <f t="shared" si="12"/>
        <v/>
      </c>
      <c r="AJ33" s="1047" t="str">
        <f t="shared" si="12"/>
        <v/>
      </c>
      <c r="AK33" s="1047" t="str">
        <f t="shared" si="12"/>
        <v/>
      </c>
      <c r="AL33" s="1050">
        <f>SUM(G33:AH33)</f>
        <v>0</v>
      </c>
      <c r="AM33" s="1051">
        <f>AL33/4</f>
        <v>0</v>
      </c>
      <c r="AN33" s="1052" t="str">
        <f>IF(C32="","",C32)</f>
        <v/>
      </c>
      <c r="AO33" s="1053" t="str">
        <f>IF(D32="","",D32)</f>
        <v/>
      </c>
      <c r="AP33" s="1054" t="str">
        <f>IF(D32&lt;&gt;"",VLOOKUP(D32,$AU$2:$AV$6,2,FALSE),"")</f>
        <v/>
      </c>
      <c r="AQ33" s="1051">
        <f>ROUNDDOWN(AL33/$AL$6,2)</f>
        <v>0</v>
      </c>
      <c r="AR33" s="1051">
        <f>IF(AP33=1,"",AQ33)</f>
        <v>0</v>
      </c>
    </row>
    <row r="34" spans="1:44" ht="15.9" customHeight="1">
      <c r="A34" s="989"/>
      <c r="B34" s="2238" t="s">
        <v>1972</v>
      </c>
      <c r="C34" s="2239"/>
      <c r="D34" s="2241"/>
      <c r="E34" s="2243"/>
      <c r="F34" s="1034" t="s">
        <v>1959</v>
      </c>
      <c r="G34" s="1035"/>
      <c r="H34" s="1036"/>
      <c r="I34" s="1037"/>
      <c r="J34" s="1037"/>
      <c r="K34" s="1037"/>
      <c r="L34" s="1037"/>
      <c r="M34" s="1038"/>
      <c r="N34" s="1035"/>
      <c r="O34" s="1036"/>
      <c r="P34" s="1037"/>
      <c r="Q34" s="1037"/>
      <c r="R34" s="1037"/>
      <c r="S34" s="1037"/>
      <c r="T34" s="1038"/>
      <c r="U34" s="1035"/>
      <c r="V34" s="1036"/>
      <c r="W34" s="1037"/>
      <c r="X34" s="1037"/>
      <c r="Y34" s="1037"/>
      <c r="Z34" s="1037"/>
      <c r="AA34" s="1038"/>
      <c r="AB34" s="1035"/>
      <c r="AC34" s="1036"/>
      <c r="AD34" s="1037"/>
      <c r="AE34" s="1037"/>
      <c r="AF34" s="1037"/>
      <c r="AG34" s="1037"/>
      <c r="AH34" s="1038"/>
      <c r="AI34" s="1039"/>
      <c r="AJ34" s="1037"/>
      <c r="AK34" s="1037"/>
      <c r="AL34" s="1040">
        <f>SUM(G35:AK35)</f>
        <v>0</v>
      </c>
      <c r="AM34" s="1041"/>
      <c r="AN34" s="1042"/>
      <c r="AO34" s="1043"/>
      <c r="AP34" s="1041"/>
      <c r="AQ34" s="1044"/>
      <c r="AR34" s="1044"/>
    </row>
    <row r="35" spans="1:44" ht="15.9" customHeight="1">
      <c r="A35" s="989"/>
      <c r="B35" s="2238"/>
      <c r="C35" s="2240"/>
      <c r="D35" s="2242"/>
      <c r="E35" s="2244"/>
      <c r="F35" s="1045" t="s">
        <v>1960</v>
      </c>
      <c r="G35" s="1046" t="str">
        <f t="shared" ref="G35:AK35" si="13">IF(G34&lt;&gt;"",VLOOKUP(G34,$AC$197:$AL$221,9,FALSE),"")</f>
        <v/>
      </c>
      <c r="H35" s="1047" t="str">
        <f t="shared" si="13"/>
        <v/>
      </c>
      <c r="I35" s="1047" t="str">
        <f t="shared" si="13"/>
        <v/>
      </c>
      <c r="J35" s="1047" t="str">
        <f t="shared" si="13"/>
        <v/>
      </c>
      <c r="K35" s="1047" t="str">
        <f t="shared" si="13"/>
        <v/>
      </c>
      <c r="L35" s="1047" t="str">
        <f t="shared" si="13"/>
        <v/>
      </c>
      <c r="M35" s="1048" t="str">
        <f t="shared" si="13"/>
        <v/>
      </c>
      <c r="N35" s="1046" t="str">
        <f t="shared" si="13"/>
        <v/>
      </c>
      <c r="O35" s="1047" t="str">
        <f t="shared" si="13"/>
        <v/>
      </c>
      <c r="P35" s="1047" t="str">
        <f t="shared" si="13"/>
        <v/>
      </c>
      <c r="Q35" s="1047" t="str">
        <f t="shared" si="13"/>
        <v/>
      </c>
      <c r="R35" s="1047" t="str">
        <f t="shared" si="13"/>
        <v/>
      </c>
      <c r="S35" s="1047" t="str">
        <f t="shared" si="13"/>
        <v/>
      </c>
      <c r="T35" s="1048" t="str">
        <f t="shared" si="13"/>
        <v/>
      </c>
      <c r="U35" s="1046" t="str">
        <f t="shared" si="13"/>
        <v/>
      </c>
      <c r="V35" s="1047" t="str">
        <f t="shared" si="13"/>
        <v/>
      </c>
      <c r="W35" s="1047" t="str">
        <f t="shared" si="13"/>
        <v/>
      </c>
      <c r="X35" s="1047" t="str">
        <f t="shared" si="13"/>
        <v/>
      </c>
      <c r="Y35" s="1047" t="str">
        <f t="shared" si="13"/>
        <v/>
      </c>
      <c r="Z35" s="1047" t="str">
        <f t="shared" si="13"/>
        <v/>
      </c>
      <c r="AA35" s="1048" t="str">
        <f t="shared" si="13"/>
        <v/>
      </c>
      <c r="AB35" s="1046" t="str">
        <f t="shared" si="13"/>
        <v/>
      </c>
      <c r="AC35" s="1047" t="str">
        <f t="shared" si="13"/>
        <v/>
      </c>
      <c r="AD35" s="1047" t="str">
        <f t="shared" si="13"/>
        <v/>
      </c>
      <c r="AE35" s="1047" t="str">
        <f t="shared" si="13"/>
        <v/>
      </c>
      <c r="AF35" s="1047" t="str">
        <f t="shared" si="13"/>
        <v/>
      </c>
      <c r="AG35" s="1047" t="str">
        <f t="shared" si="13"/>
        <v/>
      </c>
      <c r="AH35" s="1048" t="str">
        <f t="shared" si="13"/>
        <v/>
      </c>
      <c r="AI35" s="1049" t="str">
        <f t="shared" si="13"/>
        <v/>
      </c>
      <c r="AJ35" s="1047" t="str">
        <f t="shared" si="13"/>
        <v/>
      </c>
      <c r="AK35" s="1047" t="str">
        <f t="shared" si="13"/>
        <v/>
      </c>
      <c r="AL35" s="1050">
        <f>SUM(G35:AH35)</f>
        <v>0</v>
      </c>
      <c r="AM35" s="1051">
        <f>AL35/4</f>
        <v>0</v>
      </c>
      <c r="AN35" s="1052" t="str">
        <f>IF(C34="","",C34)</f>
        <v/>
      </c>
      <c r="AO35" s="1053" t="str">
        <f>IF(D34="","",D34)</f>
        <v/>
      </c>
      <c r="AP35" s="1054" t="str">
        <f>IF(D34&lt;&gt;"",VLOOKUP(D34,$AU$2:$AV$6,2,FALSE),"")</f>
        <v/>
      </c>
      <c r="AQ35" s="1051">
        <f>ROUNDDOWN(AL35/$AL$6,2)</f>
        <v>0</v>
      </c>
      <c r="AR35" s="1051">
        <f>IF(AP35=1,"",AQ35)</f>
        <v>0</v>
      </c>
    </row>
    <row r="36" spans="1:44" ht="15.9" customHeight="1">
      <c r="A36" s="989"/>
      <c r="B36" s="2238" t="s">
        <v>1973</v>
      </c>
      <c r="C36" s="2239"/>
      <c r="D36" s="2241"/>
      <c r="E36" s="2243"/>
      <c r="F36" s="1034" t="s">
        <v>1959</v>
      </c>
      <c r="G36" s="1035"/>
      <c r="H36" s="1036"/>
      <c r="I36" s="1037"/>
      <c r="J36" s="1037"/>
      <c r="K36" s="1037"/>
      <c r="L36" s="1037"/>
      <c r="M36" s="1038"/>
      <c r="N36" s="1035"/>
      <c r="O36" s="1036"/>
      <c r="P36" s="1037"/>
      <c r="Q36" s="1037"/>
      <c r="R36" s="1037"/>
      <c r="S36" s="1037"/>
      <c r="T36" s="1038"/>
      <c r="U36" s="1035"/>
      <c r="V36" s="1036"/>
      <c r="W36" s="1037"/>
      <c r="X36" s="1037"/>
      <c r="Y36" s="1037"/>
      <c r="Z36" s="1037"/>
      <c r="AA36" s="1038"/>
      <c r="AB36" s="1035"/>
      <c r="AC36" s="1036"/>
      <c r="AD36" s="1037"/>
      <c r="AE36" s="1037"/>
      <c r="AF36" s="1037"/>
      <c r="AG36" s="1037"/>
      <c r="AH36" s="1038"/>
      <c r="AI36" s="1039"/>
      <c r="AJ36" s="1037"/>
      <c r="AK36" s="1037"/>
      <c r="AL36" s="1040">
        <f>SUM(G37:AK37)</f>
        <v>0</v>
      </c>
      <c r="AM36" s="1041"/>
      <c r="AN36" s="1042"/>
      <c r="AO36" s="1043"/>
      <c r="AP36" s="1041"/>
      <c r="AQ36" s="1044"/>
      <c r="AR36" s="1044"/>
    </row>
    <row r="37" spans="1:44" ht="15.9" customHeight="1">
      <c r="A37" s="989"/>
      <c r="B37" s="2238"/>
      <c r="C37" s="2240"/>
      <c r="D37" s="2242"/>
      <c r="E37" s="2244"/>
      <c r="F37" s="1045" t="s">
        <v>1960</v>
      </c>
      <c r="G37" s="1046" t="str">
        <f t="shared" ref="G37:AK37" si="14">IF(G36&lt;&gt;"",VLOOKUP(G36,$AC$197:$AL$221,9,FALSE),"")</f>
        <v/>
      </c>
      <c r="H37" s="1047" t="str">
        <f t="shared" si="14"/>
        <v/>
      </c>
      <c r="I37" s="1047" t="str">
        <f t="shared" si="14"/>
        <v/>
      </c>
      <c r="J37" s="1047" t="str">
        <f t="shared" si="14"/>
        <v/>
      </c>
      <c r="K37" s="1047" t="str">
        <f t="shared" si="14"/>
        <v/>
      </c>
      <c r="L37" s="1047" t="str">
        <f t="shared" si="14"/>
        <v/>
      </c>
      <c r="M37" s="1048" t="str">
        <f t="shared" si="14"/>
        <v/>
      </c>
      <c r="N37" s="1046" t="str">
        <f t="shared" si="14"/>
        <v/>
      </c>
      <c r="O37" s="1047" t="str">
        <f t="shared" si="14"/>
        <v/>
      </c>
      <c r="P37" s="1047" t="str">
        <f t="shared" si="14"/>
        <v/>
      </c>
      <c r="Q37" s="1047" t="str">
        <f t="shared" si="14"/>
        <v/>
      </c>
      <c r="R37" s="1047" t="str">
        <f t="shared" si="14"/>
        <v/>
      </c>
      <c r="S37" s="1047" t="str">
        <f t="shared" si="14"/>
        <v/>
      </c>
      <c r="T37" s="1048" t="str">
        <f t="shared" si="14"/>
        <v/>
      </c>
      <c r="U37" s="1046" t="str">
        <f t="shared" si="14"/>
        <v/>
      </c>
      <c r="V37" s="1047" t="str">
        <f t="shared" si="14"/>
        <v/>
      </c>
      <c r="W37" s="1047" t="str">
        <f t="shared" si="14"/>
        <v/>
      </c>
      <c r="X37" s="1047" t="str">
        <f t="shared" si="14"/>
        <v/>
      </c>
      <c r="Y37" s="1047" t="str">
        <f t="shared" si="14"/>
        <v/>
      </c>
      <c r="Z37" s="1047" t="str">
        <f t="shared" si="14"/>
        <v/>
      </c>
      <c r="AA37" s="1048" t="str">
        <f t="shared" si="14"/>
        <v/>
      </c>
      <c r="AB37" s="1046" t="str">
        <f t="shared" si="14"/>
        <v/>
      </c>
      <c r="AC37" s="1047" t="str">
        <f t="shared" si="14"/>
        <v/>
      </c>
      <c r="AD37" s="1047" t="str">
        <f t="shared" si="14"/>
        <v/>
      </c>
      <c r="AE37" s="1047" t="str">
        <f t="shared" si="14"/>
        <v/>
      </c>
      <c r="AF37" s="1047" t="str">
        <f t="shared" si="14"/>
        <v/>
      </c>
      <c r="AG37" s="1047" t="str">
        <f t="shared" si="14"/>
        <v/>
      </c>
      <c r="AH37" s="1048" t="str">
        <f t="shared" si="14"/>
        <v/>
      </c>
      <c r="AI37" s="1049" t="str">
        <f t="shared" si="14"/>
        <v/>
      </c>
      <c r="AJ37" s="1047" t="str">
        <f t="shared" si="14"/>
        <v/>
      </c>
      <c r="AK37" s="1047" t="str">
        <f t="shared" si="14"/>
        <v/>
      </c>
      <c r="AL37" s="1050">
        <f>SUM(G37:AH37)</f>
        <v>0</v>
      </c>
      <c r="AM37" s="1051">
        <f>AL37/4</f>
        <v>0</v>
      </c>
      <c r="AN37" s="1052" t="str">
        <f>IF(C36="","",C36)</f>
        <v/>
      </c>
      <c r="AO37" s="1053" t="str">
        <f>IF(D36="","",D36)</f>
        <v/>
      </c>
      <c r="AP37" s="1054" t="str">
        <f>IF(D36&lt;&gt;"",VLOOKUP(D36,$AU$2:$AV$6,2,FALSE),"")</f>
        <v/>
      </c>
      <c r="AQ37" s="1051">
        <f>ROUNDDOWN(AL37/$AL$6,2)</f>
        <v>0</v>
      </c>
      <c r="AR37" s="1051">
        <f>IF(AP37=1,"",AQ37)</f>
        <v>0</v>
      </c>
    </row>
    <row r="38" spans="1:44" ht="15.9" customHeight="1">
      <c r="A38" s="989"/>
      <c r="B38" s="2238" t="s">
        <v>1974</v>
      </c>
      <c r="C38" s="2239"/>
      <c r="D38" s="2241"/>
      <c r="E38" s="2243"/>
      <c r="F38" s="1034" t="s">
        <v>1959</v>
      </c>
      <c r="G38" s="1035"/>
      <c r="H38" s="1036"/>
      <c r="I38" s="1037"/>
      <c r="J38" s="1037"/>
      <c r="K38" s="1037"/>
      <c r="L38" s="1037"/>
      <c r="M38" s="1038"/>
      <c r="N38" s="1035"/>
      <c r="O38" s="1036"/>
      <c r="P38" s="1037"/>
      <c r="Q38" s="1037"/>
      <c r="R38" s="1037"/>
      <c r="S38" s="1037"/>
      <c r="T38" s="1038"/>
      <c r="U38" s="1035"/>
      <c r="V38" s="1036"/>
      <c r="W38" s="1037"/>
      <c r="X38" s="1037"/>
      <c r="Y38" s="1037"/>
      <c r="Z38" s="1037"/>
      <c r="AA38" s="1038"/>
      <c r="AB38" s="1035"/>
      <c r="AC38" s="1036"/>
      <c r="AD38" s="1037"/>
      <c r="AE38" s="1037"/>
      <c r="AF38" s="1037"/>
      <c r="AG38" s="1037"/>
      <c r="AH38" s="1038"/>
      <c r="AI38" s="1055"/>
      <c r="AJ38" s="1036"/>
      <c r="AK38" s="1036"/>
      <c r="AL38" s="1040">
        <f>SUM(G39:AK39)</f>
        <v>0</v>
      </c>
      <c r="AM38" s="1041"/>
      <c r="AN38" s="1042"/>
      <c r="AO38" s="1043"/>
      <c r="AP38" s="1041"/>
      <c r="AQ38" s="1044"/>
      <c r="AR38" s="1044"/>
    </row>
    <row r="39" spans="1:44" ht="15.9" customHeight="1">
      <c r="A39" s="989"/>
      <c r="B39" s="2238"/>
      <c r="C39" s="2240"/>
      <c r="D39" s="2242"/>
      <c r="E39" s="2244"/>
      <c r="F39" s="1045" t="s">
        <v>1960</v>
      </c>
      <c r="G39" s="1046" t="str">
        <f t="shared" ref="G39:AK39" si="15">IF(G38&lt;&gt;"",VLOOKUP(G38,$AC$197:$AL$221,9,FALSE),"")</f>
        <v/>
      </c>
      <c r="H39" s="1047" t="str">
        <f t="shared" si="15"/>
        <v/>
      </c>
      <c r="I39" s="1047" t="str">
        <f t="shared" si="15"/>
        <v/>
      </c>
      <c r="J39" s="1047" t="str">
        <f t="shared" si="15"/>
        <v/>
      </c>
      <c r="K39" s="1047" t="str">
        <f t="shared" si="15"/>
        <v/>
      </c>
      <c r="L39" s="1047" t="str">
        <f t="shared" si="15"/>
        <v/>
      </c>
      <c r="M39" s="1048" t="str">
        <f t="shared" si="15"/>
        <v/>
      </c>
      <c r="N39" s="1046" t="str">
        <f t="shared" si="15"/>
        <v/>
      </c>
      <c r="O39" s="1047" t="str">
        <f t="shared" si="15"/>
        <v/>
      </c>
      <c r="P39" s="1047" t="str">
        <f t="shared" si="15"/>
        <v/>
      </c>
      <c r="Q39" s="1047" t="str">
        <f t="shared" si="15"/>
        <v/>
      </c>
      <c r="R39" s="1047" t="str">
        <f t="shared" si="15"/>
        <v/>
      </c>
      <c r="S39" s="1047" t="str">
        <f t="shared" si="15"/>
        <v/>
      </c>
      <c r="T39" s="1048" t="str">
        <f t="shared" si="15"/>
        <v/>
      </c>
      <c r="U39" s="1046" t="str">
        <f t="shared" si="15"/>
        <v/>
      </c>
      <c r="V39" s="1047" t="str">
        <f t="shared" si="15"/>
        <v/>
      </c>
      <c r="W39" s="1047" t="str">
        <f t="shared" si="15"/>
        <v/>
      </c>
      <c r="X39" s="1047" t="str">
        <f t="shared" si="15"/>
        <v/>
      </c>
      <c r="Y39" s="1047" t="str">
        <f t="shared" si="15"/>
        <v/>
      </c>
      <c r="Z39" s="1047" t="str">
        <f t="shared" si="15"/>
        <v/>
      </c>
      <c r="AA39" s="1048" t="str">
        <f t="shared" si="15"/>
        <v/>
      </c>
      <c r="AB39" s="1046" t="str">
        <f t="shared" si="15"/>
        <v/>
      </c>
      <c r="AC39" s="1047" t="str">
        <f t="shared" si="15"/>
        <v/>
      </c>
      <c r="AD39" s="1047" t="str">
        <f t="shared" si="15"/>
        <v/>
      </c>
      <c r="AE39" s="1047" t="str">
        <f t="shared" si="15"/>
        <v/>
      </c>
      <c r="AF39" s="1047" t="str">
        <f t="shared" si="15"/>
        <v/>
      </c>
      <c r="AG39" s="1047" t="str">
        <f t="shared" si="15"/>
        <v/>
      </c>
      <c r="AH39" s="1048" t="str">
        <f t="shared" si="15"/>
        <v/>
      </c>
      <c r="AI39" s="1049" t="str">
        <f t="shared" si="15"/>
        <v/>
      </c>
      <c r="AJ39" s="1047" t="str">
        <f t="shared" si="15"/>
        <v/>
      </c>
      <c r="AK39" s="1047" t="str">
        <f t="shared" si="15"/>
        <v/>
      </c>
      <c r="AL39" s="1050">
        <f>SUM(G39:AH39)</f>
        <v>0</v>
      </c>
      <c r="AM39" s="1051">
        <f>AL39/4</f>
        <v>0</v>
      </c>
      <c r="AN39" s="1052" t="str">
        <f>IF(C38="","",C38)</f>
        <v/>
      </c>
      <c r="AO39" s="1053" t="str">
        <f>IF(D38="","",D38)</f>
        <v/>
      </c>
      <c r="AP39" s="1054" t="str">
        <f>IF(D38&lt;&gt;"",VLOOKUP(D38,$AU$2:$AV$6,2,FALSE),"")</f>
        <v/>
      </c>
      <c r="AQ39" s="1051">
        <f>ROUNDDOWN(AL39/$AL$6,2)</f>
        <v>0</v>
      </c>
      <c r="AR39" s="1051">
        <f>IF(AP39=1,"",AQ39)</f>
        <v>0</v>
      </c>
    </row>
    <row r="40" spans="1:44" ht="15.9" customHeight="1">
      <c r="A40" s="989"/>
      <c r="B40" s="2238" t="s">
        <v>1975</v>
      </c>
      <c r="C40" s="2239"/>
      <c r="D40" s="2241"/>
      <c r="E40" s="2243"/>
      <c r="F40" s="1034" t="s">
        <v>1959</v>
      </c>
      <c r="G40" s="1035"/>
      <c r="H40" s="1036"/>
      <c r="I40" s="1037"/>
      <c r="J40" s="1037"/>
      <c r="K40" s="1037"/>
      <c r="L40" s="1037"/>
      <c r="M40" s="1038"/>
      <c r="N40" s="1035"/>
      <c r="O40" s="1036"/>
      <c r="P40" s="1037"/>
      <c r="Q40" s="1037"/>
      <c r="R40" s="1037"/>
      <c r="S40" s="1037"/>
      <c r="T40" s="1038"/>
      <c r="U40" s="1035"/>
      <c r="V40" s="1036"/>
      <c r="W40" s="1037"/>
      <c r="X40" s="1037"/>
      <c r="Y40" s="1037"/>
      <c r="Z40" s="1037"/>
      <c r="AA40" s="1038"/>
      <c r="AB40" s="1035"/>
      <c r="AC40" s="1036"/>
      <c r="AD40" s="1037"/>
      <c r="AE40" s="1037"/>
      <c r="AF40" s="1037"/>
      <c r="AG40" s="1037"/>
      <c r="AH40" s="1038"/>
      <c r="AI40" s="1055"/>
      <c r="AJ40" s="1036"/>
      <c r="AK40" s="1036"/>
      <c r="AL40" s="1040">
        <f>SUM(G41:AK41)</f>
        <v>0</v>
      </c>
      <c r="AM40" s="1041"/>
      <c r="AN40" s="1042"/>
      <c r="AO40" s="1043"/>
      <c r="AP40" s="1041"/>
      <c r="AQ40" s="1044"/>
      <c r="AR40" s="1044"/>
    </row>
    <row r="41" spans="1:44" ht="15.9" customHeight="1">
      <c r="A41" s="989"/>
      <c r="B41" s="2238"/>
      <c r="C41" s="2240"/>
      <c r="D41" s="2242"/>
      <c r="E41" s="2244"/>
      <c r="F41" s="1045" t="s">
        <v>1960</v>
      </c>
      <c r="G41" s="1046" t="str">
        <f t="shared" ref="G41:AK41" si="16">IF(G40&lt;&gt;"",VLOOKUP(G40,$AC$197:$AL$221,9,FALSE),"")</f>
        <v/>
      </c>
      <c r="H41" s="1047" t="str">
        <f t="shared" si="16"/>
        <v/>
      </c>
      <c r="I41" s="1047" t="str">
        <f t="shared" si="16"/>
        <v/>
      </c>
      <c r="J41" s="1047" t="str">
        <f t="shared" si="16"/>
        <v/>
      </c>
      <c r="K41" s="1047" t="str">
        <f t="shared" si="16"/>
        <v/>
      </c>
      <c r="L41" s="1047" t="str">
        <f t="shared" si="16"/>
        <v/>
      </c>
      <c r="M41" s="1048" t="str">
        <f t="shared" si="16"/>
        <v/>
      </c>
      <c r="N41" s="1046" t="str">
        <f t="shared" si="16"/>
        <v/>
      </c>
      <c r="O41" s="1047" t="str">
        <f t="shared" si="16"/>
        <v/>
      </c>
      <c r="P41" s="1047" t="str">
        <f t="shared" si="16"/>
        <v/>
      </c>
      <c r="Q41" s="1047" t="str">
        <f t="shared" si="16"/>
        <v/>
      </c>
      <c r="R41" s="1047" t="str">
        <f t="shared" si="16"/>
        <v/>
      </c>
      <c r="S41" s="1047" t="str">
        <f t="shared" si="16"/>
        <v/>
      </c>
      <c r="T41" s="1048" t="str">
        <f t="shared" si="16"/>
        <v/>
      </c>
      <c r="U41" s="1046" t="str">
        <f t="shared" si="16"/>
        <v/>
      </c>
      <c r="V41" s="1047" t="str">
        <f t="shared" si="16"/>
        <v/>
      </c>
      <c r="W41" s="1047" t="str">
        <f t="shared" si="16"/>
        <v/>
      </c>
      <c r="X41" s="1047" t="str">
        <f t="shared" si="16"/>
        <v/>
      </c>
      <c r="Y41" s="1047" t="str">
        <f t="shared" si="16"/>
        <v/>
      </c>
      <c r="Z41" s="1047" t="str">
        <f t="shared" si="16"/>
        <v/>
      </c>
      <c r="AA41" s="1048" t="str">
        <f t="shared" si="16"/>
        <v/>
      </c>
      <c r="AB41" s="1046" t="str">
        <f t="shared" si="16"/>
        <v/>
      </c>
      <c r="AC41" s="1047" t="str">
        <f t="shared" si="16"/>
        <v/>
      </c>
      <c r="AD41" s="1047" t="str">
        <f t="shared" si="16"/>
        <v/>
      </c>
      <c r="AE41" s="1047" t="str">
        <f t="shared" si="16"/>
        <v/>
      </c>
      <c r="AF41" s="1047" t="str">
        <f t="shared" si="16"/>
        <v/>
      </c>
      <c r="AG41" s="1047" t="str">
        <f t="shared" si="16"/>
        <v/>
      </c>
      <c r="AH41" s="1048" t="str">
        <f t="shared" si="16"/>
        <v/>
      </c>
      <c r="AI41" s="1049" t="str">
        <f t="shared" si="16"/>
        <v/>
      </c>
      <c r="AJ41" s="1047" t="str">
        <f t="shared" si="16"/>
        <v/>
      </c>
      <c r="AK41" s="1047" t="str">
        <f t="shared" si="16"/>
        <v/>
      </c>
      <c r="AL41" s="1050">
        <f>SUM(G41:AH41)</f>
        <v>0</v>
      </c>
      <c r="AM41" s="1051">
        <f>AL41/4</f>
        <v>0</v>
      </c>
      <c r="AN41" s="1052" t="str">
        <f>IF(C40="","",C40)</f>
        <v/>
      </c>
      <c r="AO41" s="1053" t="str">
        <f>IF(D40="","",D40)</f>
        <v/>
      </c>
      <c r="AP41" s="1054" t="str">
        <f>IF(D40&lt;&gt;"",VLOOKUP(D40,$AU$2:$AV$6,2,FALSE),"")</f>
        <v/>
      </c>
      <c r="AQ41" s="1051">
        <f>ROUNDDOWN(AL41/$AL$6,2)</f>
        <v>0</v>
      </c>
      <c r="AR41" s="1051">
        <f>IF(AP41=1,"",AQ41)</f>
        <v>0</v>
      </c>
    </row>
    <row r="42" spans="1:44" ht="15.9" customHeight="1">
      <c r="A42" s="989"/>
      <c r="B42" s="2238" t="s">
        <v>1976</v>
      </c>
      <c r="C42" s="2239"/>
      <c r="D42" s="2241"/>
      <c r="E42" s="2243"/>
      <c r="F42" s="1034" t="s">
        <v>1959</v>
      </c>
      <c r="G42" s="1035"/>
      <c r="H42" s="1036"/>
      <c r="I42" s="1037"/>
      <c r="J42" s="1037"/>
      <c r="K42" s="1037"/>
      <c r="L42" s="1037"/>
      <c r="M42" s="1038"/>
      <c r="N42" s="1035"/>
      <c r="O42" s="1036"/>
      <c r="P42" s="1037"/>
      <c r="Q42" s="1037"/>
      <c r="R42" s="1037"/>
      <c r="S42" s="1037"/>
      <c r="T42" s="1038"/>
      <c r="U42" s="1035"/>
      <c r="V42" s="1036"/>
      <c r="W42" s="1037"/>
      <c r="X42" s="1037"/>
      <c r="Y42" s="1037"/>
      <c r="Z42" s="1037"/>
      <c r="AA42" s="1038"/>
      <c r="AB42" s="1035"/>
      <c r="AC42" s="1036"/>
      <c r="AD42" s="1037"/>
      <c r="AE42" s="1037"/>
      <c r="AF42" s="1037"/>
      <c r="AG42" s="1037"/>
      <c r="AH42" s="1038"/>
      <c r="AI42" s="1039"/>
      <c r="AJ42" s="1037"/>
      <c r="AK42" s="1037"/>
      <c r="AL42" s="1040">
        <f>SUM(G43:AK43)</f>
        <v>0</v>
      </c>
      <c r="AM42" s="1041"/>
      <c r="AN42" s="1042"/>
      <c r="AO42" s="1043"/>
      <c r="AP42" s="1041"/>
      <c r="AQ42" s="1044"/>
      <c r="AR42" s="1044"/>
    </row>
    <row r="43" spans="1:44" ht="15.9" customHeight="1">
      <c r="A43" s="989"/>
      <c r="B43" s="2238"/>
      <c r="C43" s="2240"/>
      <c r="D43" s="2242"/>
      <c r="E43" s="2244"/>
      <c r="F43" s="1045" t="s">
        <v>1960</v>
      </c>
      <c r="G43" s="1046" t="str">
        <f t="shared" ref="G43:AK43" si="17">IF(G42&lt;&gt;"",VLOOKUP(G42,$AC$197:$AL$221,9,FALSE),"")</f>
        <v/>
      </c>
      <c r="H43" s="1047" t="str">
        <f t="shared" si="17"/>
        <v/>
      </c>
      <c r="I43" s="1047" t="str">
        <f t="shared" si="17"/>
        <v/>
      </c>
      <c r="J43" s="1047" t="str">
        <f t="shared" si="17"/>
        <v/>
      </c>
      <c r="K43" s="1047" t="str">
        <f t="shared" si="17"/>
        <v/>
      </c>
      <c r="L43" s="1047" t="str">
        <f t="shared" si="17"/>
        <v/>
      </c>
      <c r="M43" s="1048" t="str">
        <f t="shared" si="17"/>
        <v/>
      </c>
      <c r="N43" s="1046" t="str">
        <f t="shared" si="17"/>
        <v/>
      </c>
      <c r="O43" s="1047" t="str">
        <f t="shared" si="17"/>
        <v/>
      </c>
      <c r="P43" s="1047" t="str">
        <f t="shared" si="17"/>
        <v/>
      </c>
      <c r="Q43" s="1047" t="str">
        <f t="shared" si="17"/>
        <v/>
      </c>
      <c r="R43" s="1047" t="str">
        <f t="shared" si="17"/>
        <v/>
      </c>
      <c r="S43" s="1047" t="str">
        <f t="shared" si="17"/>
        <v/>
      </c>
      <c r="T43" s="1048" t="str">
        <f t="shared" si="17"/>
        <v/>
      </c>
      <c r="U43" s="1046" t="str">
        <f t="shared" si="17"/>
        <v/>
      </c>
      <c r="V43" s="1047" t="str">
        <f t="shared" si="17"/>
        <v/>
      </c>
      <c r="W43" s="1047" t="str">
        <f t="shared" si="17"/>
        <v/>
      </c>
      <c r="X43" s="1047" t="str">
        <f t="shared" si="17"/>
        <v/>
      </c>
      <c r="Y43" s="1047" t="str">
        <f t="shared" si="17"/>
        <v/>
      </c>
      <c r="Z43" s="1047" t="str">
        <f t="shared" si="17"/>
        <v/>
      </c>
      <c r="AA43" s="1048" t="str">
        <f t="shared" si="17"/>
        <v/>
      </c>
      <c r="AB43" s="1046" t="str">
        <f t="shared" si="17"/>
        <v/>
      </c>
      <c r="AC43" s="1047" t="str">
        <f t="shared" si="17"/>
        <v/>
      </c>
      <c r="AD43" s="1047" t="str">
        <f t="shared" si="17"/>
        <v/>
      </c>
      <c r="AE43" s="1047" t="str">
        <f t="shared" si="17"/>
        <v/>
      </c>
      <c r="AF43" s="1047" t="str">
        <f t="shared" si="17"/>
        <v/>
      </c>
      <c r="AG43" s="1047" t="str">
        <f t="shared" si="17"/>
        <v/>
      </c>
      <c r="AH43" s="1048" t="str">
        <f t="shared" si="17"/>
        <v/>
      </c>
      <c r="AI43" s="1049" t="str">
        <f t="shared" si="17"/>
        <v/>
      </c>
      <c r="AJ43" s="1047" t="str">
        <f t="shared" si="17"/>
        <v/>
      </c>
      <c r="AK43" s="1047" t="str">
        <f t="shared" si="17"/>
        <v/>
      </c>
      <c r="AL43" s="1050">
        <f>SUM(G43:AH43)</f>
        <v>0</v>
      </c>
      <c r="AM43" s="1051">
        <f>AL43/4</f>
        <v>0</v>
      </c>
      <c r="AN43" s="1052" t="str">
        <f>IF(C42="","",C42)</f>
        <v/>
      </c>
      <c r="AO43" s="1053" t="str">
        <f>IF(D42="","",D42)</f>
        <v/>
      </c>
      <c r="AP43" s="1054" t="str">
        <f>IF(D42&lt;&gt;"",VLOOKUP(D42,$AU$2:$AV$6,2,FALSE),"")</f>
        <v/>
      </c>
      <c r="AQ43" s="1051">
        <f>ROUNDDOWN(AL43/$AL$6,2)</f>
        <v>0</v>
      </c>
      <c r="AR43" s="1051">
        <f>IF(AP43=1,"",AQ43)</f>
        <v>0</v>
      </c>
    </row>
    <row r="44" spans="1:44" ht="15.9" customHeight="1">
      <c r="A44" s="989"/>
      <c r="B44" s="2238" t="s">
        <v>1977</v>
      </c>
      <c r="C44" s="2239"/>
      <c r="D44" s="2241"/>
      <c r="E44" s="2243"/>
      <c r="F44" s="1034" t="s">
        <v>1959</v>
      </c>
      <c r="G44" s="1035"/>
      <c r="H44" s="1036"/>
      <c r="I44" s="1037"/>
      <c r="J44" s="1037"/>
      <c r="K44" s="1037"/>
      <c r="L44" s="1037"/>
      <c r="M44" s="1038"/>
      <c r="N44" s="1035"/>
      <c r="O44" s="1036"/>
      <c r="P44" s="1037"/>
      <c r="Q44" s="1037"/>
      <c r="R44" s="1037"/>
      <c r="S44" s="1037"/>
      <c r="T44" s="1038"/>
      <c r="U44" s="1035"/>
      <c r="V44" s="1036"/>
      <c r="W44" s="1037"/>
      <c r="X44" s="1037"/>
      <c r="Y44" s="1037"/>
      <c r="Z44" s="1037"/>
      <c r="AA44" s="1038"/>
      <c r="AB44" s="1035"/>
      <c r="AC44" s="1036"/>
      <c r="AD44" s="1037"/>
      <c r="AE44" s="1037"/>
      <c r="AF44" s="1037"/>
      <c r="AG44" s="1037"/>
      <c r="AH44" s="1038"/>
      <c r="AI44" s="1039"/>
      <c r="AJ44" s="1037"/>
      <c r="AK44" s="1037"/>
      <c r="AL44" s="1040">
        <f>SUM(G45:AK45)</f>
        <v>0</v>
      </c>
      <c r="AM44" s="1041"/>
      <c r="AN44" s="1042"/>
      <c r="AO44" s="1043"/>
      <c r="AP44" s="1041"/>
      <c r="AQ44" s="1044"/>
      <c r="AR44" s="1044"/>
    </row>
    <row r="45" spans="1:44" ht="15.9" customHeight="1">
      <c r="A45" s="989"/>
      <c r="B45" s="2238"/>
      <c r="C45" s="2240"/>
      <c r="D45" s="2242"/>
      <c r="E45" s="2244"/>
      <c r="F45" s="1045" t="s">
        <v>1960</v>
      </c>
      <c r="G45" s="1046" t="str">
        <f t="shared" ref="G45:AK45" si="18">IF(G44&lt;&gt;"",VLOOKUP(G44,$AC$197:$AL$221,9,FALSE),"")</f>
        <v/>
      </c>
      <c r="H45" s="1047" t="str">
        <f t="shared" si="18"/>
        <v/>
      </c>
      <c r="I45" s="1047" t="str">
        <f t="shared" si="18"/>
        <v/>
      </c>
      <c r="J45" s="1047" t="str">
        <f t="shared" si="18"/>
        <v/>
      </c>
      <c r="K45" s="1047" t="str">
        <f t="shared" si="18"/>
        <v/>
      </c>
      <c r="L45" s="1047" t="str">
        <f t="shared" si="18"/>
        <v/>
      </c>
      <c r="M45" s="1048" t="str">
        <f t="shared" si="18"/>
        <v/>
      </c>
      <c r="N45" s="1046" t="str">
        <f t="shared" si="18"/>
        <v/>
      </c>
      <c r="O45" s="1047" t="str">
        <f t="shared" si="18"/>
        <v/>
      </c>
      <c r="P45" s="1047" t="str">
        <f t="shared" si="18"/>
        <v/>
      </c>
      <c r="Q45" s="1047" t="str">
        <f t="shared" si="18"/>
        <v/>
      </c>
      <c r="R45" s="1047" t="str">
        <f t="shared" si="18"/>
        <v/>
      </c>
      <c r="S45" s="1047" t="str">
        <f t="shared" si="18"/>
        <v/>
      </c>
      <c r="T45" s="1048" t="str">
        <f t="shared" si="18"/>
        <v/>
      </c>
      <c r="U45" s="1046" t="str">
        <f t="shared" si="18"/>
        <v/>
      </c>
      <c r="V45" s="1047" t="str">
        <f t="shared" si="18"/>
        <v/>
      </c>
      <c r="W45" s="1047" t="str">
        <f t="shared" si="18"/>
        <v/>
      </c>
      <c r="X45" s="1047" t="str">
        <f t="shared" si="18"/>
        <v/>
      </c>
      <c r="Y45" s="1047" t="str">
        <f t="shared" si="18"/>
        <v/>
      </c>
      <c r="Z45" s="1047" t="str">
        <f t="shared" si="18"/>
        <v/>
      </c>
      <c r="AA45" s="1048" t="str">
        <f t="shared" si="18"/>
        <v/>
      </c>
      <c r="AB45" s="1046" t="str">
        <f t="shared" si="18"/>
        <v/>
      </c>
      <c r="AC45" s="1047" t="str">
        <f t="shared" si="18"/>
        <v/>
      </c>
      <c r="AD45" s="1047" t="str">
        <f t="shared" si="18"/>
        <v/>
      </c>
      <c r="AE45" s="1047" t="str">
        <f t="shared" si="18"/>
        <v/>
      </c>
      <c r="AF45" s="1047" t="str">
        <f t="shared" si="18"/>
        <v/>
      </c>
      <c r="AG45" s="1047" t="str">
        <f t="shared" si="18"/>
        <v/>
      </c>
      <c r="AH45" s="1048" t="str">
        <f t="shared" si="18"/>
        <v/>
      </c>
      <c r="AI45" s="1049" t="str">
        <f t="shared" si="18"/>
        <v/>
      </c>
      <c r="AJ45" s="1047" t="str">
        <f t="shared" si="18"/>
        <v/>
      </c>
      <c r="AK45" s="1047" t="str">
        <f t="shared" si="18"/>
        <v/>
      </c>
      <c r="AL45" s="1050">
        <f>SUM(G45:AH45)</f>
        <v>0</v>
      </c>
      <c r="AM45" s="1051">
        <f>AL45/4</f>
        <v>0</v>
      </c>
      <c r="AN45" s="1052" t="str">
        <f>IF(C44="","",C44)</f>
        <v/>
      </c>
      <c r="AO45" s="1053" t="str">
        <f>IF(D44="","",D44)</f>
        <v/>
      </c>
      <c r="AP45" s="1054" t="str">
        <f>IF(D44&lt;&gt;"",VLOOKUP(D44,$AU$2:$AV$6,2,FALSE),"")</f>
        <v/>
      </c>
      <c r="AQ45" s="1051">
        <f>ROUNDDOWN(AL45/$AL$6,2)</f>
        <v>0</v>
      </c>
      <c r="AR45" s="1051">
        <f>IF(AP45=1,"",AQ45)</f>
        <v>0</v>
      </c>
    </row>
    <row r="46" spans="1:44" ht="15.9" customHeight="1">
      <c r="A46" s="989"/>
      <c r="B46" s="2238" t="s">
        <v>1978</v>
      </c>
      <c r="C46" s="2239"/>
      <c r="D46" s="2241"/>
      <c r="E46" s="2243"/>
      <c r="F46" s="1034" t="s">
        <v>1959</v>
      </c>
      <c r="G46" s="1035"/>
      <c r="H46" s="1036"/>
      <c r="I46" s="1037"/>
      <c r="J46" s="1037"/>
      <c r="K46" s="1037"/>
      <c r="L46" s="1037"/>
      <c r="M46" s="1038"/>
      <c r="N46" s="1035"/>
      <c r="O46" s="1036"/>
      <c r="P46" s="1037"/>
      <c r="Q46" s="1037"/>
      <c r="R46" s="1037"/>
      <c r="S46" s="1037"/>
      <c r="T46" s="1038"/>
      <c r="U46" s="1035"/>
      <c r="V46" s="1036"/>
      <c r="W46" s="1037"/>
      <c r="X46" s="1037"/>
      <c r="Y46" s="1037"/>
      <c r="Z46" s="1037"/>
      <c r="AA46" s="1038"/>
      <c r="AB46" s="1035"/>
      <c r="AC46" s="1036"/>
      <c r="AD46" s="1037"/>
      <c r="AE46" s="1037"/>
      <c r="AF46" s="1037"/>
      <c r="AG46" s="1037"/>
      <c r="AH46" s="1038"/>
      <c r="AI46" s="1055"/>
      <c r="AJ46" s="1036"/>
      <c r="AK46" s="1036"/>
      <c r="AL46" s="1040">
        <f>SUM(G47:AK47)</f>
        <v>0</v>
      </c>
      <c r="AM46" s="1041"/>
      <c r="AN46" s="1042"/>
      <c r="AO46" s="1043"/>
      <c r="AP46" s="1041"/>
      <c r="AQ46" s="1044"/>
      <c r="AR46" s="1044"/>
    </row>
    <row r="47" spans="1:44" ht="15.9" customHeight="1">
      <c r="A47" s="989"/>
      <c r="B47" s="2238"/>
      <c r="C47" s="2240"/>
      <c r="D47" s="2242"/>
      <c r="E47" s="2244"/>
      <c r="F47" s="1045" t="s">
        <v>1960</v>
      </c>
      <c r="G47" s="1046" t="str">
        <f t="shared" ref="G47:AK47" si="19">IF(G46&lt;&gt;"",VLOOKUP(G46,$AC$197:$AL$221,9,FALSE),"")</f>
        <v/>
      </c>
      <c r="H47" s="1047" t="str">
        <f t="shared" si="19"/>
        <v/>
      </c>
      <c r="I47" s="1047" t="str">
        <f t="shared" si="19"/>
        <v/>
      </c>
      <c r="J47" s="1047" t="str">
        <f t="shared" si="19"/>
        <v/>
      </c>
      <c r="K47" s="1047" t="str">
        <f t="shared" si="19"/>
        <v/>
      </c>
      <c r="L47" s="1047" t="str">
        <f t="shared" si="19"/>
        <v/>
      </c>
      <c r="M47" s="1048" t="str">
        <f t="shared" si="19"/>
        <v/>
      </c>
      <c r="N47" s="1046" t="str">
        <f t="shared" si="19"/>
        <v/>
      </c>
      <c r="O47" s="1047" t="str">
        <f t="shared" si="19"/>
        <v/>
      </c>
      <c r="P47" s="1047" t="str">
        <f t="shared" si="19"/>
        <v/>
      </c>
      <c r="Q47" s="1047" t="str">
        <f t="shared" si="19"/>
        <v/>
      </c>
      <c r="R47" s="1047" t="str">
        <f t="shared" si="19"/>
        <v/>
      </c>
      <c r="S47" s="1047" t="str">
        <f t="shared" si="19"/>
        <v/>
      </c>
      <c r="T47" s="1048" t="str">
        <f t="shared" si="19"/>
        <v/>
      </c>
      <c r="U47" s="1046" t="str">
        <f t="shared" si="19"/>
        <v/>
      </c>
      <c r="V47" s="1047" t="str">
        <f t="shared" si="19"/>
        <v/>
      </c>
      <c r="W47" s="1047" t="str">
        <f t="shared" si="19"/>
        <v/>
      </c>
      <c r="X47" s="1047" t="str">
        <f t="shared" si="19"/>
        <v/>
      </c>
      <c r="Y47" s="1047" t="str">
        <f t="shared" si="19"/>
        <v/>
      </c>
      <c r="Z47" s="1047" t="str">
        <f t="shared" si="19"/>
        <v/>
      </c>
      <c r="AA47" s="1048" t="str">
        <f t="shared" si="19"/>
        <v/>
      </c>
      <c r="AB47" s="1046" t="str">
        <f t="shared" si="19"/>
        <v/>
      </c>
      <c r="AC47" s="1047" t="str">
        <f t="shared" si="19"/>
        <v/>
      </c>
      <c r="AD47" s="1047" t="str">
        <f t="shared" si="19"/>
        <v/>
      </c>
      <c r="AE47" s="1047" t="str">
        <f t="shared" si="19"/>
        <v/>
      </c>
      <c r="AF47" s="1047" t="str">
        <f t="shared" si="19"/>
        <v/>
      </c>
      <c r="AG47" s="1047" t="str">
        <f t="shared" si="19"/>
        <v/>
      </c>
      <c r="AH47" s="1048" t="str">
        <f t="shared" si="19"/>
        <v/>
      </c>
      <c r="AI47" s="1049" t="str">
        <f t="shared" si="19"/>
        <v/>
      </c>
      <c r="AJ47" s="1047" t="str">
        <f t="shared" si="19"/>
        <v/>
      </c>
      <c r="AK47" s="1047" t="str">
        <f t="shared" si="19"/>
        <v/>
      </c>
      <c r="AL47" s="1050">
        <f>SUM(G47:AH47)</f>
        <v>0</v>
      </c>
      <c r="AM47" s="1051">
        <f>AL47/4</f>
        <v>0</v>
      </c>
      <c r="AN47" s="1052" t="str">
        <f>IF(C46="","",C46)</f>
        <v/>
      </c>
      <c r="AO47" s="1053" t="str">
        <f>IF(D46="","",D46)</f>
        <v/>
      </c>
      <c r="AP47" s="1054" t="str">
        <f>IF(D46&lt;&gt;"",VLOOKUP(D46,$AU$2:$AV$6,2,FALSE),"")</f>
        <v/>
      </c>
      <c r="AQ47" s="1051">
        <f>ROUNDDOWN(AL47/$AL$6,2)</f>
        <v>0</v>
      </c>
      <c r="AR47" s="1051">
        <f>IF(AP47=1,"",AQ47)</f>
        <v>0</v>
      </c>
    </row>
    <row r="48" spans="1:44" ht="15.9" customHeight="1">
      <c r="A48" s="989"/>
      <c r="B48" s="2238" t="s">
        <v>1979</v>
      </c>
      <c r="C48" s="2239"/>
      <c r="D48" s="2241"/>
      <c r="E48" s="2243"/>
      <c r="F48" s="1034" t="s">
        <v>1959</v>
      </c>
      <c r="G48" s="1035"/>
      <c r="H48" s="1036"/>
      <c r="I48" s="1037"/>
      <c r="J48" s="1037"/>
      <c r="K48" s="1037"/>
      <c r="L48" s="1037"/>
      <c r="M48" s="1038"/>
      <c r="N48" s="1035"/>
      <c r="O48" s="1036"/>
      <c r="P48" s="1037"/>
      <c r="Q48" s="1037"/>
      <c r="R48" s="1037"/>
      <c r="S48" s="1037"/>
      <c r="T48" s="1038"/>
      <c r="U48" s="1035"/>
      <c r="V48" s="1036"/>
      <c r="W48" s="1037"/>
      <c r="X48" s="1037"/>
      <c r="Y48" s="1037"/>
      <c r="Z48" s="1037"/>
      <c r="AA48" s="1038"/>
      <c r="AB48" s="1035"/>
      <c r="AC48" s="1036"/>
      <c r="AD48" s="1037"/>
      <c r="AE48" s="1037"/>
      <c r="AF48" s="1037"/>
      <c r="AG48" s="1037"/>
      <c r="AH48" s="1038"/>
      <c r="AI48" s="1055"/>
      <c r="AJ48" s="1036"/>
      <c r="AK48" s="1036"/>
      <c r="AL48" s="1040">
        <f>SUM(G49:AK49)</f>
        <v>0</v>
      </c>
      <c r="AM48" s="1041"/>
      <c r="AN48" s="1042"/>
      <c r="AO48" s="1043"/>
      <c r="AP48" s="1041"/>
      <c r="AQ48" s="1044"/>
      <c r="AR48" s="1044"/>
    </row>
    <row r="49" spans="1:44" ht="15.9" customHeight="1">
      <c r="A49" s="989"/>
      <c r="B49" s="2238"/>
      <c r="C49" s="2240"/>
      <c r="D49" s="2242"/>
      <c r="E49" s="2244"/>
      <c r="F49" s="1045" t="s">
        <v>1960</v>
      </c>
      <c r="G49" s="1046" t="str">
        <f t="shared" ref="G49:AK49" si="20">IF(G48&lt;&gt;"",VLOOKUP(G48,$AC$197:$AL$221,9,FALSE),"")</f>
        <v/>
      </c>
      <c r="H49" s="1047" t="str">
        <f t="shared" si="20"/>
        <v/>
      </c>
      <c r="I49" s="1047" t="str">
        <f t="shared" si="20"/>
        <v/>
      </c>
      <c r="J49" s="1047" t="str">
        <f t="shared" si="20"/>
        <v/>
      </c>
      <c r="K49" s="1047" t="str">
        <f t="shared" si="20"/>
        <v/>
      </c>
      <c r="L49" s="1047" t="str">
        <f t="shared" si="20"/>
        <v/>
      </c>
      <c r="M49" s="1048" t="str">
        <f t="shared" si="20"/>
        <v/>
      </c>
      <c r="N49" s="1046" t="str">
        <f t="shared" si="20"/>
        <v/>
      </c>
      <c r="O49" s="1047" t="str">
        <f t="shared" si="20"/>
        <v/>
      </c>
      <c r="P49" s="1047" t="str">
        <f t="shared" si="20"/>
        <v/>
      </c>
      <c r="Q49" s="1047" t="str">
        <f t="shared" si="20"/>
        <v/>
      </c>
      <c r="R49" s="1047" t="str">
        <f t="shared" si="20"/>
        <v/>
      </c>
      <c r="S49" s="1047" t="str">
        <f t="shared" si="20"/>
        <v/>
      </c>
      <c r="T49" s="1048" t="str">
        <f t="shared" si="20"/>
        <v/>
      </c>
      <c r="U49" s="1046" t="str">
        <f t="shared" si="20"/>
        <v/>
      </c>
      <c r="V49" s="1047" t="str">
        <f t="shared" si="20"/>
        <v/>
      </c>
      <c r="W49" s="1047" t="str">
        <f t="shared" si="20"/>
        <v/>
      </c>
      <c r="X49" s="1047" t="str">
        <f t="shared" si="20"/>
        <v/>
      </c>
      <c r="Y49" s="1047" t="str">
        <f t="shared" si="20"/>
        <v/>
      </c>
      <c r="Z49" s="1047" t="str">
        <f t="shared" si="20"/>
        <v/>
      </c>
      <c r="AA49" s="1048" t="str">
        <f t="shared" si="20"/>
        <v/>
      </c>
      <c r="AB49" s="1046" t="str">
        <f t="shared" si="20"/>
        <v/>
      </c>
      <c r="AC49" s="1047" t="str">
        <f t="shared" si="20"/>
        <v/>
      </c>
      <c r="AD49" s="1047" t="str">
        <f t="shared" si="20"/>
        <v/>
      </c>
      <c r="AE49" s="1047" t="str">
        <f t="shared" si="20"/>
        <v/>
      </c>
      <c r="AF49" s="1047" t="str">
        <f t="shared" si="20"/>
        <v/>
      </c>
      <c r="AG49" s="1047" t="str">
        <f t="shared" si="20"/>
        <v/>
      </c>
      <c r="AH49" s="1048" t="str">
        <f t="shared" si="20"/>
        <v/>
      </c>
      <c r="AI49" s="1049" t="str">
        <f t="shared" si="20"/>
        <v/>
      </c>
      <c r="AJ49" s="1047" t="str">
        <f t="shared" si="20"/>
        <v/>
      </c>
      <c r="AK49" s="1047" t="str">
        <f t="shared" si="20"/>
        <v/>
      </c>
      <c r="AL49" s="1050">
        <f>SUM(G49:AH49)</f>
        <v>0</v>
      </c>
      <c r="AM49" s="1051">
        <f>AL49/4</f>
        <v>0</v>
      </c>
      <c r="AN49" s="1052" t="str">
        <f>IF(C48="","",C48)</f>
        <v/>
      </c>
      <c r="AO49" s="1053" t="str">
        <f>IF(D48="","",D48)</f>
        <v/>
      </c>
      <c r="AP49" s="1054" t="str">
        <f>IF(D48&lt;&gt;"",VLOOKUP(D48,$AU$2:$AV$6,2,FALSE),"")</f>
        <v/>
      </c>
      <c r="AQ49" s="1051">
        <f>ROUNDDOWN(AL49/$AL$6,2)</f>
        <v>0</v>
      </c>
      <c r="AR49" s="1051">
        <f>IF(AP49=1,"",AQ49)</f>
        <v>0</v>
      </c>
    </row>
    <row r="50" spans="1:44" ht="15.9" customHeight="1">
      <c r="A50" s="989"/>
      <c r="B50" s="2238" t="s">
        <v>1980</v>
      </c>
      <c r="C50" s="2239"/>
      <c r="D50" s="2241"/>
      <c r="E50" s="2243"/>
      <c r="F50" s="1034" t="s">
        <v>1959</v>
      </c>
      <c r="G50" s="1035"/>
      <c r="H50" s="1036"/>
      <c r="I50" s="1037"/>
      <c r="J50" s="1037"/>
      <c r="K50" s="1037"/>
      <c r="L50" s="1037"/>
      <c r="M50" s="1038"/>
      <c r="N50" s="1035"/>
      <c r="O50" s="1036"/>
      <c r="P50" s="1037"/>
      <c r="Q50" s="1037"/>
      <c r="R50" s="1037"/>
      <c r="S50" s="1037"/>
      <c r="T50" s="1038"/>
      <c r="U50" s="1035"/>
      <c r="V50" s="1036"/>
      <c r="W50" s="1037"/>
      <c r="X50" s="1037"/>
      <c r="Y50" s="1037"/>
      <c r="Z50" s="1037"/>
      <c r="AA50" s="1038"/>
      <c r="AB50" s="1035"/>
      <c r="AC50" s="1036"/>
      <c r="AD50" s="1037"/>
      <c r="AE50" s="1037"/>
      <c r="AF50" s="1037"/>
      <c r="AG50" s="1037"/>
      <c r="AH50" s="1038"/>
      <c r="AI50" s="1039"/>
      <c r="AJ50" s="1037"/>
      <c r="AK50" s="1037"/>
      <c r="AL50" s="1040">
        <f>SUM(G51:AK51)</f>
        <v>0</v>
      </c>
      <c r="AM50" s="1041"/>
      <c r="AN50" s="1042"/>
      <c r="AO50" s="1043"/>
      <c r="AP50" s="1041"/>
      <c r="AQ50" s="1044"/>
      <c r="AR50" s="1044"/>
    </row>
    <row r="51" spans="1:44" ht="15.9" customHeight="1">
      <c r="A51" s="989"/>
      <c r="B51" s="2238"/>
      <c r="C51" s="2240"/>
      <c r="D51" s="2242"/>
      <c r="E51" s="2244"/>
      <c r="F51" s="1045" t="s">
        <v>1960</v>
      </c>
      <c r="G51" s="1046" t="str">
        <f t="shared" ref="G51:AK51" si="21">IF(G50&lt;&gt;"",VLOOKUP(G50,$AC$197:$AL$221,9,FALSE),"")</f>
        <v/>
      </c>
      <c r="H51" s="1047" t="str">
        <f t="shared" si="21"/>
        <v/>
      </c>
      <c r="I51" s="1047" t="str">
        <f t="shared" si="21"/>
        <v/>
      </c>
      <c r="J51" s="1047" t="str">
        <f t="shared" si="21"/>
        <v/>
      </c>
      <c r="K51" s="1047" t="str">
        <f t="shared" si="21"/>
        <v/>
      </c>
      <c r="L51" s="1047" t="str">
        <f t="shared" si="21"/>
        <v/>
      </c>
      <c r="M51" s="1048" t="str">
        <f t="shared" si="21"/>
        <v/>
      </c>
      <c r="N51" s="1046" t="str">
        <f t="shared" si="21"/>
        <v/>
      </c>
      <c r="O51" s="1047" t="str">
        <f t="shared" si="21"/>
        <v/>
      </c>
      <c r="P51" s="1047" t="str">
        <f t="shared" si="21"/>
        <v/>
      </c>
      <c r="Q51" s="1047" t="str">
        <f t="shared" si="21"/>
        <v/>
      </c>
      <c r="R51" s="1047" t="str">
        <f t="shared" si="21"/>
        <v/>
      </c>
      <c r="S51" s="1047" t="str">
        <f t="shared" si="21"/>
        <v/>
      </c>
      <c r="T51" s="1048" t="str">
        <f t="shared" si="21"/>
        <v/>
      </c>
      <c r="U51" s="1046" t="str">
        <f t="shared" si="21"/>
        <v/>
      </c>
      <c r="V51" s="1047" t="str">
        <f t="shared" si="21"/>
        <v/>
      </c>
      <c r="W51" s="1047" t="str">
        <f t="shared" si="21"/>
        <v/>
      </c>
      <c r="X51" s="1047" t="str">
        <f t="shared" si="21"/>
        <v/>
      </c>
      <c r="Y51" s="1047" t="str">
        <f t="shared" si="21"/>
        <v/>
      </c>
      <c r="Z51" s="1047" t="str">
        <f t="shared" si="21"/>
        <v/>
      </c>
      <c r="AA51" s="1048" t="str">
        <f t="shared" si="21"/>
        <v/>
      </c>
      <c r="AB51" s="1046" t="str">
        <f t="shared" si="21"/>
        <v/>
      </c>
      <c r="AC51" s="1047" t="str">
        <f t="shared" si="21"/>
        <v/>
      </c>
      <c r="AD51" s="1047" t="str">
        <f t="shared" si="21"/>
        <v/>
      </c>
      <c r="AE51" s="1047" t="str">
        <f t="shared" si="21"/>
        <v/>
      </c>
      <c r="AF51" s="1047" t="str">
        <f t="shared" si="21"/>
        <v/>
      </c>
      <c r="AG51" s="1047" t="str">
        <f t="shared" si="21"/>
        <v/>
      </c>
      <c r="AH51" s="1048" t="str">
        <f t="shared" si="21"/>
        <v/>
      </c>
      <c r="AI51" s="1049" t="str">
        <f t="shared" si="21"/>
        <v/>
      </c>
      <c r="AJ51" s="1047" t="str">
        <f t="shared" si="21"/>
        <v/>
      </c>
      <c r="AK51" s="1047" t="str">
        <f t="shared" si="21"/>
        <v/>
      </c>
      <c r="AL51" s="1050">
        <f>SUM(G51:AH51)</f>
        <v>0</v>
      </c>
      <c r="AM51" s="1051">
        <f>AL51/4</f>
        <v>0</v>
      </c>
      <c r="AN51" s="1052" t="str">
        <f>IF(C50="","",C50)</f>
        <v/>
      </c>
      <c r="AO51" s="1053" t="str">
        <f>IF(D50="","",D50)</f>
        <v/>
      </c>
      <c r="AP51" s="1054" t="str">
        <f>IF(D50&lt;&gt;"",VLOOKUP(D50,$AU$2:$AV$6,2,FALSE),"")</f>
        <v/>
      </c>
      <c r="AQ51" s="1051">
        <f>ROUNDDOWN(AL51/$AL$6,2)</f>
        <v>0</v>
      </c>
      <c r="AR51" s="1051">
        <f>IF(AP51=1,"",AQ51)</f>
        <v>0</v>
      </c>
    </row>
    <row r="52" spans="1:44" ht="15.9" customHeight="1">
      <c r="A52" s="989"/>
      <c r="B52" s="2238" t="s">
        <v>1981</v>
      </c>
      <c r="C52" s="2239"/>
      <c r="D52" s="2241"/>
      <c r="E52" s="2243"/>
      <c r="F52" s="1034" t="s">
        <v>1959</v>
      </c>
      <c r="G52" s="1035"/>
      <c r="H52" s="1036"/>
      <c r="I52" s="1037"/>
      <c r="J52" s="1037"/>
      <c r="K52" s="1037"/>
      <c r="L52" s="1037"/>
      <c r="M52" s="1038"/>
      <c r="N52" s="1035"/>
      <c r="O52" s="1036"/>
      <c r="P52" s="1037"/>
      <c r="Q52" s="1037"/>
      <c r="R52" s="1037"/>
      <c r="S52" s="1037"/>
      <c r="T52" s="1038"/>
      <c r="U52" s="1035"/>
      <c r="V52" s="1036"/>
      <c r="W52" s="1037"/>
      <c r="X52" s="1037"/>
      <c r="Y52" s="1037"/>
      <c r="Z52" s="1037"/>
      <c r="AA52" s="1038"/>
      <c r="AB52" s="1035"/>
      <c r="AC52" s="1036"/>
      <c r="AD52" s="1037"/>
      <c r="AE52" s="1037"/>
      <c r="AF52" s="1037"/>
      <c r="AG52" s="1037"/>
      <c r="AH52" s="1038"/>
      <c r="AI52" s="1039"/>
      <c r="AJ52" s="1037"/>
      <c r="AK52" s="1037"/>
      <c r="AL52" s="1040">
        <f>SUM(G53:AK53)</f>
        <v>0</v>
      </c>
      <c r="AM52" s="1041"/>
      <c r="AN52" s="1042"/>
      <c r="AO52" s="1043"/>
      <c r="AP52" s="1041"/>
      <c r="AQ52" s="1044"/>
      <c r="AR52" s="1044"/>
    </row>
    <row r="53" spans="1:44" ht="15.9" customHeight="1">
      <c r="A53" s="989"/>
      <c r="B53" s="2238"/>
      <c r="C53" s="2240"/>
      <c r="D53" s="2242"/>
      <c r="E53" s="2244"/>
      <c r="F53" s="1045" t="s">
        <v>1960</v>
      </c>
      <c r="G53" s="1046" t="str">
        <f t="shared" ref="G53:AK53" si="22">IF(G52&lt;&gt;"",VLOOKUP(G52,$AC$197:$AL$221,9,FALSE),"")</f>
        <v/>
      </c>
      <c r="H53" s="1047" t="str">
        <f t="shared" si="22"/>
        <v/>
      </c>
      <c r="I53" s="1047" t="str">
        <f t="shared" si="22"/>
        <v/>
      </c>
      <c r="J53" s="1047" t="str">
        <f t="shared" si="22"/>
        <v/>
      </c>
      <c r="K53" s="1047" t="str">
        <f t="shared" si="22"/>
        <v/>
      </c>
      <c r="L53" s="1047" t="str">
        <f t="shared" si="22"/>
        <v/>
      </c>
      <c r="M53" s="1048" t="str">
        <f t="shared" si="22"/>
        <v/>
      </c>
      <c r="N53" s="1046" t="str">
        <f t="shared" si="22"/>
        <v/>
      </c>
      <c r="O53" s="1047" t="str">
        <f t="shared" si="22"/>
        <v/>
      </c>
      <c r="P53" s="1047" t="str">
        <f t="shared" si="22"/>
        <v/>
      </c>
      <c r="Q53" s="1047" t="str">
        <f t="shared" si="22"/>
        <v/>
      </c>
      <c r="R53" s="1047" t="str">
        <f t="shared" si="22"/>
        <v/>
      </c>
      <c r="S53" s="1047" t="str">
        <f t="shared" si="22"/>
        <v/>
      </c>
      <c r="T53" s="1048" t="str">
        <f t="shared" si="22"/>
        <v/>
      </c>
      <c r="U53" s="1046" t="str">
        <f t="shared" si="22"/>
        <v/>
      </c>
      <c r="V53" s="1047" t="str">
        <f t="shared" si="22"/>
        <v/>
      </c>
      <c r="W53" s="1047" t="str">
        <f t="shared" si="22"/>
        <v/>
      </c>
      <c r="X53" s="1047" t="str">
        <f t="shared" si="22"/>
        <v/>
      </c>
      <c r="Y53" s="1047" t="str">
        <f t="shared" si="22"/>
        <v/>
      </c>
      <c r="Z53" s="1047" t="str">
        <f t="shared" si="22"/>
        <v/>
      </c>
      <c r="AA53" s="1048" t="str">
        <f t="shared" si="22"/>
        <v/>
      </c>
      <c r="AB53" s="1046" t="str">
        <f t="shared" si="22"/>
        <v/>
      </c>
      <c r="AC53" s="1047" t="str">
        <f t="shared" si="22"/>
        <v/>
      </c>
      <c r="AD53" s="1047" t="str">
        <f t="shared" si="22"/>
        <v/>
      </c>
      <c r="AE53" s="1047" t="str">
        <f t="shared" si="22"/>
        <v/>
      </c>
      <c r="AF53" s="1047" t="str">
        <f t="shared" si="22"/>
        <v/>
      </c>
      <c r="AG53" s="1047" t="str">
        <f t="shared" si="22"/>
        <v/>
      </c>
      <c r="AH53" s="1048" t="str">
        <f t="shared" si="22"/>
        <v/>
      </c>
      <c r="AI53" s="1049" t="str">
        <f t="shared" si="22"/>
        <v/>
      </c>
      <c r="AJ53" s="1047" t="str">
        <f t="shared" si="22"/>
        <v/>
      </c>
      <c r="AK53" s="1047" t="str">
        <f t="shared" si="22"/>
        <v/>
      </c>
      <c r="AL53" s="1050">
        <f>SUM(G53:AH53)</f>
        <v>0</v>
      </c>
      <c r="AM53" s="1051">
        <f>AL53/4</f>
        <v>0</v>
      </c>
      <c r="AN53" s="1052" t="str">
        <f>IF(C52="","",C52)</f>
        <v/>
      </c>
      <c r="AO53" s="1053" t="str">
        <f>IF(D52="","",D52)</f>
        <v/>
      </c>
      <c r="AP53" s="1054" t="str">
        <f>IF(D52&lt;&gt;"",VLOOKUP(D52,$AU$2:$AV$6,2,FALSE),"")</f>
        <v/>
      </c>
      <c r="AQ53" s="1051">
        <f>ROUNDDOWN(AL53/$AL$6,2)</f>
        <v>0</v>
      </c>
      <c r="AR53" s="1051">
        <f>IF(AP53=1,"",AQ53)</f>
        <v>0</v>
      </c>
    </row>
    <row r="54" spans="1:44" ht="15.9" customHeight="1">
      <c r="A54" s="989"/>
      <c r="B54" s="2238" t="s">
        <v>1982</v>
      </c>
      <c r="C54" s="2239"/>
      <c r="D54" s="2241"/>
      <c r="E54" s="2243"/>
      <c r="F54" s="1034" t="s">
        <v>1959</v>
      </c>
      <c r="G54" s="1035"/>
      <c r="H54" s="1036"/>
      <c r="I54" s="1037"/>
      <c r="J54" s="1037"/>
      <c r="K54" s="1037"/>
      <c r="L54" s="1037"/>
      <c r="M54" s="1038"/>
      <c r="N54" s="1035"/>
      <c r="O54" s="1036"/>
      <c r="P54" s="1037"/>
      <c r="Q54" s="1037"/>
      <c r="R54" s="1037"/>
      <c r="S54" s="1037"/>
      <c r="T54" s="1038"/>
      <c r="U54" s="1035"/>
      <c r="V54" s="1036"/>
      <c r="W54" s="1037"/>
      <c r="X54" s="1037"/>
      <c r="Y54" s="1037"/>
      <c r="Z54" s="1037"/>
      <c r="AA54" s="1038"/>
      <c r="AB54" s="1035"/>
      <c r="AC54" s="1036"/>
      <c r="AD54" s="1037"/>
      <c r="AE54" s="1037"/>
      <c r="AF54" s="1037"/>
      <c r="AG54" s="1037"/>
      <c r="AH54" s="1038"/>
      <c r="AI54" s="1055"/>
      <c r="AJ54" s="1036"/>
      <c r="AK54" s="1036"/>
      <c r="AL54" s="1040">
        <f>SUM(G55:AK55)</f>
        <v>0</v>
      </c>
      <c r="AM54" s="1041"/>
      <c r="AN54" s="1042"/>
      <c r="AO54" s="1043"/>
      <c r="AP54" s="1041"/>
      <c r="AQ54" s="1044"/>
      <c r="AR54" s="1044"/>
    </row>
    <row r="55" spans="1:44" ht="15.9" customHeight="1">
      <c r="A55" s="989"/>
      <c r="B55" s="2238"/>
      <c r="C55" s="2240"/>
      <c r="D55" s="2242"/>
      <c r="E55" s="2244"/>
      <c r="F55" s="1045" t="s">
        <v>1960</v>
      </c>
      <c r="G55" s="1046" t="str">
        <f t="shared" ref="G55:AK55" si="23">IF(G54&lt;&gt;"",VLOOKUP(G54,$AC$197:$AL$221,9,FALSE),"")</f>
        <v/>
      </c>
      <c r="H55" s="1047" t="str">
        <f t="shared" si="23"/>
        <v/>
      </c>
      <c r="I55" s="1047" t="str">
        <f t="shared" si="23"/>
        <v/>
      </c>
      <c r="J55" s="1047" t="str">
        <f t="shared" si="23"/>
        <v/>
      </c>
      <c r="K55" s="1047" t="str">
        <f t="shared" si="23"/>
        <v/>
      </c>
      <c r="L55" s="1047" t="str">
        <f t="shared" si="23"/>
        <v/>
      </c>
      <c r="M55" s="1048" t="str">
        <f t="shared" si="23"/>
        <v/>
      </c>
      <c r="N55" s="1046" t="str">
        <f t="shared" si="23"/>
        <v/>
      </c>
      <c r="O55" s="1047" t="str">
        <f t="shared" si="23"/>
        <v/>
      </c>
      <c r="P55" s="1047" t="str">
        <f t="shared" si="23"/>
        <v/>
      </c>
      <c r="Q55" s="1047" t="str">
        <f t="shared" si="23"/>
        <v/>
      </c>
      <c r="R55" s="1047" t="str">
        <f t="shared" si="23"/>
        <v/>
      </c>
      <c r="S55" s="1047" t="str">
        <f t="shared" si="23"/>
        <v/>
      </c>
      <c r="T55" s="1048" t="str">
        <f t="shared" si="23"/>
        <v/>
      </c>
      <c r="U55" s="1046" t="str">
        <f t="shared" si="23"/>
        <v/>
      </c>
      <c r="V55" s="1047" t="str">
        <f t="shared" si="23"/>
        <v/>
      </c>
      <c r="W55" s="1047" t="str">
        <f t="shared" si="23"/>
        <v/>
      </c>
      <c r="X55" s="1047" t="str">
        <f t="shared" si="23"/>
        <v/>
      </c>
      <c r="Y55" s="1047" t="str">
        <f t="shared" si="23"/>
        <v/>
      </c>
      <c r="Z55" s="1047" t="str">
        <f t="shared" si="23"/>
        <v/>
      </c>
      <c r="AA55" s="1048" t="str">
        <f t="shared" si="23"/>
        <v/>
      </c>
      <c r="AB55" s="1046" t="str">
        <f t="shared" si="23"/>
        <v/>
      </c>
      <c r="AC55" s="1047" t="str">
        <f t="shared" si="23"/>
        <v/>
      </c>
      <c r="AD55" s="1047" t="str">
        <f t="shared" si="23"/>
        <v/>
      </c>
      <c r="AE55" s="1047" t="str">
        <f t="shared" si="23"/>
        <v/>
      </c>
      <c r="AF55" s="1047" t="str">
        <f t="shared" si="23"/>
        <v/>
      </c>
      <c r="AG55" s="1047" t="str">
        <f t="shared" si="23"/>
        <v/>
      </c>
      <c r="AH55" s="1048" t="str">
        <f t="shared" si="23"/>
        <v/>
      </c>
      <c r="AI55" s="1049" t="str">
        <f t="shared" si="23"/>
        <v/>
      </c>
      <c r="AJ55" s="1047" t="str">
        <f t="shared" si="23"/>
        <v/>
      </c>
      <c r="AK55" s="1047" t="str">
        <f t="shared" si="23"/>
        <v/>
      </c>
      <c r="AL55" s="1050">
        <f>SUM(G55:AH55)</f>
        <v>0</v>
      </c>
      <c r="AM55" s="1051">
        <f>AL55/4</f>
        <v>0</v>
      </c>
      <c r="AN55" s="1052" t="str">
        <f>IF(C54="","",C54)</f>
        <v/>
      </c>
      <c r="AO55" s="1053" t="str">
        <f>IF(D54="","",D54)</f>
        <v/>
      </c>
      <c r="AP55" s="1054" t="str">
        <f>IF(D54&lt;&gt;"",VLOOKUP(D54,$AU$2:$AV$6,2,FALSE),"")</f>
        <v/>
      </c>
      <c r="AQ55" s="1051">
        <f>ROUNDDOWN(AL55/$AL$6,2)</f>
        <v>0</v>
      </c>
      <c r="AR55" s="1051">
        <f>IF(AP55=1,"",AQ55)</f>
        <v>0</v>
      </c>
    </row>
    <row r="56" spans="1:44" ht="15.9" customHeight="1">
      <c r="A56" s="989"/>
      <c r="B56" s="2238" t="s">
        <v>1983</v>
      </c>
      <c r="C56" s="2239"/>
      <c r="D56" s="2241"/>
      <c r="E56" s="2243"/>
      <c r="F56" s="1034" t="s">
        <v>1959</v>
      </c>
      <c r="G56" s="1035"/>
      <c r="H56" s="1036"/>
      <c r="I56" s="1037"/>
      <c r="J56" s="1037"/>
      <c r="K56" s="1037"/>
      <c r="L56" s="1037"/>
      <c r="M56" s="1038"/>
      <c r="N56" s="1035"/>
      <c r="O56" s="1036"/>
      <c r="P56" s="1037"/>
      <c r="Q56" s="1037"/>
      <c r="R56" s="1037"/>
      <c r="S56" s="1037"/>
      <c r="T56" s="1038"/>
      <c r="U56" s="1035"/>
      <c r="V56" s="1036"/>
      <c r="W56" s="1037"/>
      <c r="X56" s="1037"/>
      <c r="Y56" s="1037"/>
      <c r="Z56" s="1037"/>
      <c r="AA56" s="1038"/>
      <c r="AB56" s="1035"/>
      <c r="AC56" s="1036"/>
      <c r="AD56" s="1037"/>
      <c r="AE56" s="1037"/>
      <c r="AF56" s="1037"/>
      <c r="AG56" s="1037"/>
      <c r="AH56" s="1038"/>
      <c r="AI56" s="1055"/>
      <c r="AJ56" s="1036"/>
      <c r="AK56" s="1036"/>
      <c r="AL56" s="1040">
        <f>SUM(G57:AK57)</f>
        <v>0</v>
      </c>
      <c r="AM56" s="1041"/>
      <c r="AN56" s="1042"/>
      <c r="AO56" s="1043"/>
      <c r="AP56" s="1041"/>
      <c r="AQ56" s="1044"/>
      <c r="AR56" s="1044"/>
    </row>
    <row r="57" spans="1:44" ht="15.9" customHeight="1">
      <c r="A57" s="989"/>
      <c r="B57" s="2238"/>
      <c r="C57" s="2240"/>
      <c r="D57" s="2242"/>
      <c r="E57" s="2244"/>
      <c r="F57" s="1045" t="s">
        <v>1960</v>
      </c>
      <c r="G57" s="1046" t="str">
        <f t="shared" ref="G57:AK57" si="24">IF(G56&lt;&gt;"",VLOOKUP(G56,$AC$197:$AL$221,9,FALSE),"")</f>
        <v/>
      </c>
      <c r="H57" s="1047" t="str">
        <f t="shared" si="24"/>
        <v/>
      </c>
      <c r="I57" s="1047" t="str">
        <f t="shared" si="24"/>
        <v/>
      </c>
      <c r="J57" s="1047" t="str">
        <f t="shared" si="24"/>
        <v/>
      </c>
      <c r="K57" s="1047" t="str">
        <f t="shared" si="24"/>
        <v/>
      </c>
      <c r="L57" s="1047" t="str">
        <f t="shared" si="24"/>
        <v/>
      </c>
      <c r="M57" s="1048" t="str">
        <f t="shared" si="24"/>
        <v/>
      </c>
      <c r="N57" s="1046" t="str">
        <f t="shared" si="24"/>
        <v/>
      </c>
      <c r="O57" s="1047" t="str">
        <f t="shared" si="24"/>
        <v/>
      </c>
      <c r="P57" s="1047" t="str">
        <f t="shared" si="24"/>
        <v/>
      </c>
      <c r="Q57" s="1047" t="str">
        <f t="shared" si="24"/>
        <v/>
      </c>
      <c r="R57" s="1047" t="str">
        <f t="shared" si="24"/>
        <v/>
      </c>
      <c r="S57" s="1047" t="str">
        <f t="shared" si="24"/>
        <v/>
      </c>
      <c r="T57" s="1048" t="str">
        <f t="shared" si="24"/>
        <v/>
      </c>
      <c r="U57" s="1046" t="str">
        <f t="shared" si="24"/>
        <v/>
      </c>
      <c r="V57" s="1047" t="str">
        <f t="shared" si="24"/>
        <v/>
      </c>
      <c r="W57" s="1047" t="str">
        <f t="shared" si="24"/>
        <v/>
      </c>
      <c r="X57" s="1047" t="str">
        <f t="shared" si="24"/>
        <v/>
      </c>
      <c r="Y57" s="1047" t="str">
        <f t="shared" si="24"/>
        <v/>
      </c>
      <c r="Z57" s="1047" t="str">
        <f t="shared" si="24"/>
        <v/>
      </c>
      <c r="AA57" s="1048" t="str">
        <f t="shared" si="24"/>
        <v/>
      </c>
      <c r="AB57" s="1046" t="str">
        <f t="shared" si="24"/>
        <v/>
      </c>
      <c r="AC57" s="1047" t="str">
        <f t="shared" si="24"/>
        <v/>
      </c>
      <c r="AD57" s="1047" t="str">
        <f t="shared" si="24"/>
        <v/>
      </c>
      <c r="AE57" s="1047" t="str">
        <f t="shared" si="24"/>
        <v/>
      </c>
      <c r="AF57" s="1047" t="str">
        <f t="shared" si="24"/>
        <v/>
      </c>
      <c r="AG57" s="1047" t="str">
        <f t="shared" si="24"/>
        <v/>
      </c>
      <c r="AH57" s="1048" t="str">
        <f t="shared" si="24"/>
        <v/>
      </c>
      <c r="AI57" s="1049" t="str">
        <f t="shared" si="24"/>
        <v/>
      </c>
      <c r="AJ57" s="1047" t="str">
        <f t="shared" si="24"/>
        <v/>
      </c>
      <c r="AK57" s="1047" t="str">
        <f t="shared" si="24"/>
        <v/>
      </c>
      <c r="AL57" s="1050">
        <f>SUM(G57:AH57)</f>
        <v>0</v>
      </c>
      <c r="AM57" s="1051">
        <f>AL57/4</f>
        <v>0</v>
      </c>
      <c r="AN57" s="1052" t="str">
        <f>IF(C56="","",C56)</f>
        <v/>
      </c>
      <c r="AO57" s="1053" t="str">
        <f>IF(D56="","",D56)</f>
        <v/>
      </c>
      <c r="AP57" s="1054" t="str">
        <f>IF(D56&lt;&gt;"",VLOOKUP(D56,$AU$2:$AV$6,2,FALSE),"")</f>
        <v/>
      </c>
      <c r="AQ57" s="1051">
        <f>ROUNDDOWN(AL57/$AL$6,2)</f>
        <v>0</v>
      </c>
      <c r="AR57" s="1051">
        <f>IF(AP57=1,"",AQ57)</f>
        <v>0</v>
      </c>
    </row>
    <row r="58" spans="1:44" ht="15.9" customHeight="1">
      <c r="A58" s="989"/>
      <c r="B58" s="2238" t="s">
        <v>1984</v>
      </c>
      <c r="C58" s="2239"/>
      <c r="D58" s="2241"/>
      <c r="E58" s="2243"/>
      <c r="F58" s="1034" t="s">
        <v>1959</v>
      </c>
      <c r="G58" s="1035"/>
      <c r="H58" s="1036"/>
      <c r="I58" s="1037"/>
      <c r="J58" s="1037"/>
      <c r="K58" s="1037"/>
      <c r="L58" s="1037"/>
      <c r="M58" s="1038"/>
      <c r="N58" s="1035"/>
      <c r="O58" s="1036"/>
      <c r="P58" s="1037"/>
      <c r="Q58" s="1037"/>
      <c r="R58" s="1037"/>
      <c r="S58" s="1037"/>
      <c r="T58" s="1038"/>
      <c r="U58" s="1035"/>
      <c r="V58" s="1036"/>
      <c r="W58" s="1037"/>
      <c r="X58" s="1037"/>
      <c r="Y58" s="1037"/>
      <c r="Z58" s="1037"/>
      <c r="AA58" s="1038"/>
      <c r="AB58" s="1035"/>
      <c r="AC58" s="1036"/>
      <c r="AD58" s="1037"/>
      <c r="AE58" s="1037"/>
      <c r="AF58" s="1037"/>
      <c r="AG58" s="1037"/>
      <c r="AH58" s="1038"/>
      <c r="AI58" s="1039"/>
      <c r="AJ58" s="1037"/>
      <c r="AK58" s="1037"/>
      <c r="AL58" s="1040">
        <f>SUM(G59:AK59)</f>
        <v>0</v>
      </c>
      <c r="AM58" s="1041"/>
      <c r="AN58" s="1042"/>
      <c r="AO58" s="1043"/>
      <c r="AP58" s="1041"/>
      <c r="AQ58" s="1044"/>
      <c r="AR58" s="1044"/>
    </row>
    <row r="59" spans="1:44" ht="15.9" customHeight="1">
      <c r="A59" s="989"/>
      <c r="B59" s="2238"/>
      <c r="C59" s="2240"/>
      <c r="D59" s="2242"/>
      <c r="E59" s="2244"/>
      <c r="F59" s="1045" t="s">
        <v>1960</v>
      </c>
      <c r="G59" s="1046" t="str">
        <f t="shared" ref="G59:AK59" si="25">IF(G58&lt;&gt;"",VLOOKUP(G58,$AC$197:$AL$221,9,FALSE),"")</f>
        <v/>
      </c>
      <c r="H59" s="1047" t="str">
        <f t="shared" si="25"/>
        <v/>
      </c>
      <c r="I59" s="1047" t="str">
        <f t="shared" si="25"/>
        <v/>
      </c>
      <c r="J59" s="1047" t="str">
        <f t="shared" si="25"/>
        <v/>
      </c>
      <c r="K59" s="1047" t="str">
        <f t="shared" si="25"/>
        <v/>
      </c>
      <c r="L59" s="1047" t="str">
        <f t="shared" si="25"/>
        <v/>
      </c>
      <c r="M59" s="1048" t="str">
        <f t="shared" si="25"/>
        <v/>
      </c>
      <c r="N59" s="1046" t="str">
        <f t="shared" si="25"/>
        <v/>
      </c>
      <c r="O59" s="1047" t="str">
        <f t="shared" si="25"/>
        <v/>
      </c>
      <c r="P59" s="1047" t="str">
        <f t="shared" si="25"/>
        <v/>
      </c>
      <c r="Q59" s="1047" t="str">
        <f t="shared" si="25"/>
        <v/>
      </c>
      <c r="R59" s="1047" t="str">
        <f t="shared" si="25"/>
        <v/>
      </c>
      <c r="S59" s="1047" t="str">
        <f t="shared" si="25"/>
        <v/>
      </c>
      <c r="T59" s="1048" t="str">
        <f t="shared" si="25"/>
        <v/>
      </c>
      <c r="U59" s="1046" t="str">
        <f t="shared" si="25"/>
        <v/>
      </c>
      <c r="V59" s="1047" t="str">
        <f t="shared" si="25"/>
        <v/>
      </c>
      <c r="W59" s="1047" t="str">
        <f t="shared" si="25"/>
        <v/>
      </c>
      <c r="X59" s="1047" t="str">
        <f t="shared" si="25"/>
        <v/>
      </c>
      <c r="Y59" s="1047" t="str">
        <f t="shared" si="25"/>
        <v/>
      </c>
      <c r="Z59" s="1047" t="str">
        <f t="shared" si="25"/>
        <v/>
      </c>
      <c r="AA59" s="1048" t="str">
        <f t="shared" si="25"/>
        <v/>
      </c>
      <c r="AB59" s="1046" t="str">
        <f t="shared" si="25"/>
        <v/>
      </c>
      <c r="AC59" s="1047" t="str">
        <f t="shared" si="25"/>
        <v/>
      </c>
      <c r="AD59" s="1047" t="str">
        <f t="shared" si="25"/>
        <v/>
      </c>
      <c r="AE59" s="1047" t="str">
        <f t="shared" si="25"/>
        <v/>
      </c>
      <c r="AF59" s="1047" t="str">
        <f t="shared" si="25"/>
        <v/>
      </c>
      <c r="AG59" s="1047" t="str">
        <f t="shared" si="25"/>
        <v/>
      </c>
      <c r="AH59" s="1048" t="str">
        <f t="shared" si="25"/>
        <v/>
      </c>
      <c r="AI59" s="1049" t="str">
        <f t="shared" si="25"/>
        <v/>
      </c>
      <c r="AJ59" s="1047" t="str">
        <f t="shared" si="25"/>
        <v/>
      </c>
      <c r="AK59" s="1047" t="str">
        <f t="shared" si="25"/>
        <v/>
      </c>
      <c r="AL59" s="1050">
        <f>SUM(G59:AH59)</f>
        <v>0</v>
      </c>
      <c r="AM59" s="1051">
        <f>AL59/4</f>
        <v>0</v>
      </c>
      <c r="AN59" s="1052" t="str">
        <f>IF(C58="","",C58)</f>
        <v/>
      </c>
      <c r="AO59" s="1053" t="str">
        <f>IF(D58="","",D58)</f>
        <v/>
      </c>
      <c r="AP59" s="1054" t="str">
        <f>IF(D58&lt;&gt;"",VLOOKUP(D58,$AU$2:$AV$6,2,FALSE),"")</f>
        <v/>
      </c>
      <c r="AQ59" s="1051">
        <f>ROUNDDOWN(AL59/$AL$6,2)</f>
        <v>0</v>
      </c>
      <c r="AR59" s="1051">
        <f>IF(AP59=1,"",AQ59)</f>
        <v>0</v>
      </c>
    </row>
    <row r="60" spans="1:44" ht="15.9" customHeight="1">
      <c r="A60" s="989"/>
      <c r="B60" s="2238" t="s">
        <v>1985</v>
      </c>
      <c r="C60" s="2239"/>
      <c r="D60" s="2241"/>
      <c r="E60" s="2243"/>
      <c r="F60" s="1034" t="s">
        <v>1959</v>
      </c>
      <c r="G60" s="1035"/>
      <c r="H60" s="1036"/>
      <c r="I60" s="1037"/>
      <c r="J60" s="1037"/>
      <c r="K60" s="1037"/>
      <c r="L60" s="1037"/>
      <c r="M60" s="1038"/>
      <c r="N60" s="1035"/>
      <c r="O60" s="1036"/>
      <c r="P60" s="1037"/>
      <c r="Q60" s="1037"/>
      <c r="R60" s="1037"/>
      <c r="S60" s="1037"/>
      <c r="T60" s="1038"/>
      <c r="U60" s="1035"/>
      <c r="V60" s="1036"/>
      <c r="W60" s="1037"/>
      <c r="X60" s="1037"/>
      <c r="Y60" s="1037"/>
      <c r="Z60" s="1037"/>
      <c r="AA60" s="1038"/>
      <c r="AB60" s="1035"/>
      <c r="AC60" s="1036"/>
      <c r="AD60" s="1037"/>
      <c r="AE60" s="1037"/>
      <c r="AF60" s="1037"/>
      <c r="AG60" s="1037"/>
      <c r="AH60" s="1038"/>
      <c r="AI60" s="1039"/>
      <c r="AJ60" s="1037"/>
      <c r="AK60" s="1037"/>
      <c r="AL60" s="1040">
        <f>SUM(G61:AK61)</f>
        <v>0</v>
      </c>
      <c r="AM60" s="1041"/>
      <c r="AN60" s="1042"/>
      <c r="AO60" s="1043"/>
      <c r="AP60" s="1041"/>
      <c r="AQ60" s="1044"/>
      <c r="AR60" s="1044"/>
    </row>
    <row r="61" spans="1:44" ht="15.9" customHeight="1">
      <c r="A61" s="989"/>
      <c r="B61" s="2238"/>
      <c r="C61" s="2240"/>
      <c r="D61" s="2242"/>
      <c r="E61" s="2244"/>
      <c r="F61" s="1045" t="s">
        <v>1960</v>
      </c>
      <c r="G61" s="1046" t="str">
        <f t="shared" ref="G61:AK61" si="26">IF(G60&lt;&gt;"",VLOOKUP(G60,$AC$197:$AL$221,9,FALSE),"")</f>
        <v/>
      </c>
      <c r="H61" s="1047" t="str">
        <f t="shared" si="26"/>
        <v/>
      </c>
      <c r="I61" s="1047" t="str">
        <f t="shared" si="26"/>
        <v/>
      </c>
      <c r="J61" s="1047" t="str">
        <f t="shared" si="26"/>
        <v/>
      </c>
      <c r="K61" s="1047" t="str">
        <f t="shared" si="26"/>
        <v/>
      </c>
      <c r="L61" s="1047" t="str">
        <f t="shared" si="26"/>
        <v/>
      </c>
      <c r="M61" s="1048" t="str">
        <f t="shared" si="26"/>
        <v/>
      </c>
      <c r="N61" s="1046" t="str">
        <f t="shared" si="26"/>
        <v/>
      </c>
      <c r="O61" s="1047" t="str">
        <f t="shared" si="26"/>
        <v/>
      </c>
      <c r="P61" s="1047" t="str">
        <f t="shared" si="26"/>
        <v/>
      </c>
      <c r="Q61" s="1047" t="str">
        <f t="shared" si="26"/>
        <v/>
      </c>
      <c r="R61" s="1047" t="str">
        <f t="shared" si="26"/>
        <v/>
      </c>
      <c r="S61" s="1047" t="str">
        <f t="shared" si="26"/>
        <v/>
      </c>
      <c r="T61" s="1048" t="str">
        <f t="shared" si="26"/>
        <v/>
      </c>
      <c r="U61" s="1046" t="str">
        <f t="shared" si="26"/>
        <v/>
      </c>
      <c r="V61" s="1047" t="str">
        <f t="shared" si="26"/>
        <v/>
      </c>
      <c r="W61" s="1047" t="str">
        <f t="shared" si="26"/>
        <v/>
      </c>
      <c r="X61" s="1047" t="str">
        <f t="shared" si="26"/>
        <v/>
      </c>
      <c r="Y61" s="1047" t="str">
        <f t="shared" si="26"/>
        <v/>
      </c>
      <c r="Z61" s="1047" t="str">
        <f t="shared" si="26"/>
        <v/>
      </c>
      <c r="AA61" s="1048" t="str">
        <f t="shared" si="26"/>
        <v/>
      </c>
      <c r="AB61" s="1046" t="str">
        <f t="shared" si="26"/>
        <v/>
      </c>
      <c r="AC61" s="1047" t="str">
        <f t="shared" si="26"/>
        <v/>
      </c>
      <c r="AD61" s="1047" t="str">
        <f t="shared" si="26"/>
        <v/>
      </c>
      <c r="AE61" s="1047" t="str">
        <f t="shared" si="26"/>
        <v/>
      </c>
      <c r="AF61" s="1047" t="str">
        <f t="shared" si="26"/>
        <v/>
      </c>
      <c r="AG61" s="1047" t="str">
        <f t="shared" si="26"/>
        <v/>
      </c>
      <c r="AH61" s="1048" t="str">
        <f t="shared" si="26"/>
        <v/>
      </c>
      <c r="AI61" s="1049" t="str">
        <f t="shared" si="26"/>
        <v/>
      </c>
      <c r="AJ61" s="1047" t="str">
        <f t="shared" si="26"/>
        <v/>
      </c>
      <c r="AK61" s="1047" t="str">
        <f t="shared" si="26"/>
        <v/>
      </c>
      <c r="AL61" s="1050">
        <f>SUM(G61:AH61)</f>
        <v>0</v>
      </c>
      <c r="AM61" s="1051">
        <f>AL61/4</f>
        <v>0</v>
      </c>
      <c r="AN61" s="1052" t="str">
        <f>IF(C60="","",C60)</f>
        <v/>
      </c>
      <c r="AO61" s="1053" t="str">
        <f>IF(D60="","",D60)</f>
        <v/>
      </c>
      <c r="AP61" s="1054" t="str">
        <f>IF(D60&lt;&gt;"",VLOOKUP(D60,$AU$2:$AV$6,2,FALSE),"")</f>
        <v/>
      </c>
      <c r="AQ61" s="1051">
        <f>ROUNDDOWN(AL61/$AL$6,2)</f>
        <v>0</v>
      </c>
      <c r="AR61" s="1051">
        <f>IF(AP61=1,"",AQ61)</f>
        <v>0</v>
      </c>
    </row>
    <row r="62" spans="1:44" ht="15.9" customHeight="1">
      <c r="A62" s="989"/>
      <c r="B62" s="2238" t="s">
        <v>1986</v>
      </c>
      <c r="C62" s="2239"/>
      <c r="D62" s="2241"/>
      <c r="E62" s="2243"/>
      <c r="F62" s="1034" t="s">
        <v>1959</v>
      </c>
      <c r="G62" s="1035"/>
      <c r="H62" s="1036"/>
      <c r="I62" s="1037"/>
      <c r="J62" s="1037"/>
      <c r="K62" s="1037"/>
      <c r="L62" s="1037"/>
      <c r="M62" s="1038"/>
      <c r="N62" s="1035"/>
      <c r="O62" s="1036"/>
      <c r="P62" s="1037"/>
      <c r="Q62" s="1037"/>
      <c r="R62" s="1037"/>
      <c r="S62" s="1037"/>
      <c r="T62" s="1038"/>
      <c r="U62" s="1035"/>
      <c r="V62" s="1036"/>
      <c r="W62" s="1037"/>
      <c r="X62" s="1037"/>
      <c r="Y62" s="1037"/>
      <c r="Z62" s="1037"/>
      <c r="AA62" s="1038"/>
      <c r="AB62" s="1035"/>
      <c r="AC62" s="1036"/>
      <c r="AD62" s="1037"/>
      <c r="AE62" s="1037"/>
      <c r="AF62" s="1037"/>
      <c r="AG62" s="1037"/>
      <c r="AH62" s="1038"/>
      <c r="AI62" s="1055"/>
      <c r="AJ62" s="1036"/>
      <c r="AK62" s="1036"/>
      <c r="AL62" s="1040">
        <f>SUM(G63:AK63)</f>
        <v>0</v>
      </c>
      <c r="AM62" s="1041"/>
      <c r="AN62" s="1042"/>
      <c r="AO62" s="1043"/>
      <c r="AP62" s="1041"/>
      <c r="AQ62" s="1044"/>
      <c r="AR62" s="1044"/>
    </row>
    <row r="63" spans="1:44" ht="15.9" customHeight="1">
      <c r="A63" s="989"/>
      <c r="B63" s="2238"/>
      <c r="C63" s="2240"/>
      <c r="D63" s="2242"/>
      <c r="E63" s="2244"/>
      <c r="F63" s="1045" t="s">
        <v>1960</v>
      </c>
      <c r="G63" s="1046" t="str">
        <f t="shared" ref="G63:AK63" si="27">IF(G62&lt;&gt;"",VLOOKUP(G62,$AC$197:$AL$221,9,FALSE),"")</f>
        <v/>
      </c>
      <c r="H63" s="1047" t="str">
        <f t="shared" si="27"/>
        <v/>
      </c>
      <c r="I63" s="1047" t="str">
        <f t="shared" si="27"/>
        <v/>
      </c>
      <c r="J63" s="1047" t="str">
        <f t="shared" si="27"/>
        <v/>
      </c>
      <c r="K63" s="1047" t="str">
        <f t="shared" si="27"/>
        <v/>
      </c>
      <c r="L63" s="1047" t="str">
        <f t="shared" si="27"/>
        <v/>
      </c>
      <c r="M63" s="1048" t="str">
        <f t="shared" si="27"/>
        <v/>
      </c>
      <c r="N63" s="1046" t="str">
        <f t="shared" si="27"/>
        <v/>
      </c>
      <c r="O63" s="1047" t="str">
        <f t="shared" si="27"/>
        <v/>
      </c>
      <c r="P63" s="1047" t="str">
        <f t="shared" si="27"/>
        <v/>
      </c>
      <c r="Q63" s="1047" t="str">
        <f t="shared" si="27"/>
        <v/>
      </c>
      <c r="R63" s="1047" t="str">
        <f t="shared" si="27"/>
        <v/>
      </c>
      <c r="S63" s="1047" t="str">
        <f t="shared" si="27"/>
        <v/>
      </c>
      <c r="T63" s="1048" t="str">
        <f t="shared" si="27"/>
        <v/>
      </c>
      <c r="U63" s="1046" t="str">
        <f t="shared" si="27"/>
        <v/>
      </c>
      <c r="V63" s="1047" t="str">
        <f t="shared" si="27"/>
        <v/>
      </c>
      <c r="W63" s="1047" t="str">
        <f t="shared" si="27"/>
        <v/>
      </c>
      <c r="X63" s="1047" t="str">
        <f t="shared" si="27"/>
        <v/>
      </c>
      <c r="Y63" s="1047" t="str">
        <f t="shared" si="27"/>
        <v/>
      </c>
      <c r="Z63" s="1047" t="str">
        <f t="shared" si="27"/>
        <v/>
      </c>
      <c r="AA63" s="1048" t="str">
        <f t="shared" si="27"/>
        <v/>
      </c>
      <c r="AB63" s="1046" t="str">
        <f t="shared" si="27"/>
        <v/>
      </c>
      <c r="AC63" s="1047" t="str">
        <f t="shared" si="27"/>
        <v/>
      </c>
      <c r="AD63" s="1047" t="str">
        <f t="shared" si="27"/>
        <v/>
      </c>
      <c r="AE63" s="1047" t="str">
        <f t="shared" si="27"/>
        <v/>
      </c>
      <c r="AF63" s="1047" t="str">
        <f t="shared" si="27"/>
        <v/>
      </c>
      <c r="AG63" s="1047" t="str">
        <f t="shared" si="27"/>
        <v/>
      </c>
      <c r="AH63" s="1048" t="str">
        <f t="shared" si="27"/>
        <v/>
      </c>
      <c r="AI63" s="1049" t="str">
        <f t="shared" si="27"/>
        <v/>
      </c>
      <c r="AJ63" s="1047" t="str">
        <f t="shared" si="27"/>
        <v/>
      </c>
      <c r="AK63" s="1047" t="str">
        <f t="shared" si="27"/>
        <v/>
      </c>
      <c r="AL63" s="1050">
        <f>SUM(G63:AH63)</f>
        <v>0</v>
      </c>
      <c r="AM63" s="1051">
        <f>AL63/4</f>
        <v>0</v>
      </c>
      <c r="AN63" s="1052" t="str">
        <f>IF(C62="","",C62)</f>
        <v/>
      </c>
      <c r="AO63" s="1053" t="str">
        <f>IF(D62="","",D62)</f>
        <v/>
      </c>
      <c r="AP63" s="1054" t="str">
        <f>IF(D62&lt;&gt;"",VLOOKUP(D62,$AU$2:$AV$6,2,FALSE),"")</f>
        <v/>
      </c>
      <c r="AQ63" s="1051">
        <f>ROUNDDOWN(AL63/$AL$6,2)</f>
        <v>0</v>
      </c>
      <c r="AR63" s="1051">
        <f>IF(AP63=1,"",AQ63)</f>
        <v>0</v>
      </c>
    </row>
    <row r="64" spans="1:44" ht="15.9" customHeight="1">
      <c r="A64" s="989"/>
      <c r="B64" s="2238" t="s">
        <v>1987</v>
      </c>
      <c r="C64" s="2239"/>
      <c r="D64" s="2241"/>
      <c r="E64" s="2243"/>
      <c r="F64" s="1034" t="s">
        <v>1959</v>
      </c>
      <c r="G64" s="1035"/>
      <c r="H64" s="1036"/>
      <c r="I64" s="1037"/>
      <c r="J64" s="1037"/>
      <c r="K64" s="1037"/>
      <c r="L64" s="1037"/>
      <c r="M64" s="1038"/>
      <c r="N64" s="1035"/>
      <c r="O64" s="1036"/>
      <c r="P64" s="1037"/>
      <c r="Q64" s="1037"/>
      <c r="R64" s="1037"/>
      <c r="S64" s="1037"/>
      <c r="T64" s="1038"/>
      <c r="U64" s="1035"/>
      <c r="V64" s="1036"/>
      <c r="W64" s="1037"/>
      <c r="X64" s="1037"/>
      <c r="Y64" s="1037"/>
      <c r="Z64" s="1037"/>
      <c r="AA64" s="1038"/>
      <c r="AB64" s="1035"/>
      <c r="AC64" s="1036"/>
      <c r="AD64" s="1037"/>
      <c r="AE64" s="1037"/>
      <c r="AF64" s="1037"/>
      <c r="AG64" s="1037"/>
      <c r="AH64" s="1038"/>
      <c r="AI64" s="1055"/>
      <c r="AJ64" s="1036"/>
      <c r="AK64" s="1036"/>
      <c r="AL64" s="1040">
        <f>SUM(G65:AK65)</f>
        <v>0</v>
      </c>
      <c r="AM64" s="1041"/>
      <c r="AN64" s="1042"/>
      <c r="AO64" s="1043"/>
      <c r="AP64" s="1041"/>
      <c r="AQ64" s="1044"/>
      <c r="AR64" s="1044"/>
    </row>
    <row r="65" spans="1:44" ht="15.9" customHeight="1">
      <c r="A65" s="989"/>
      <c r="B65" s="2238"/>
      <c r="C65" s="2240"/>
      <c r="D65" s="2242"/>
      <c r="E65" s="2244"/>
      <c r="F65" s="1045" t="s">
        <v>1960</v>
      </c>
      <c r="G65" s="1046" t="str">
        <f t="shared" ref="G65:AK65" si="28">IF(G64&lt;&gt;"",VLOOKUP(G64,$AC$197:$AL$221,9,FALSE),"")</f>
        <v/>
      </c>
      <c r="H65" s="1047" t="str">
        <f t="shared" si="28"/>
        <v/>
      </c>
      <c r="I65" s="1047" t="str">
        <f t="shared" si="28"/>
        <v/>
      </c>
      <c r="J65" s="1047" t="str">
        <f t="shared" si="28"/>
        <v/>
      </c>
      <c r="K65" s="1047" t="str">
        <f t="shared" si="28"/>
        <v/>
      </c>
      <c r="L65" s="1047" t="str">
        <f t="shared" si="28"/>
        <v/>
      </c>
      <c r="M65" s="1048" t="str">
        <f t="shared" si="28"/>
        <v/>
      </c>
      <c r="N65" s="1046" t="str">
        <f t="shared" si="28"/>
        <v/>
      </c>
      <c r="O65" s="1047" t="str">
        <f t="shared" si="28"/>
        <v/>
      </c>
      <c r="P65" s="1047" t="str">
        <f t="shared" si="28"/>
        <v/>
      </c>
      <c r="Q65" s="1047" t="str">
        <f t="shared" si="28"/>
        <v/>
      </c>
      <c r="R65" s="1047" t="str">
        <f t="shared" si="28"/>
        <v/>
      </c>
      <c r="S65" s="1047" t="str">
        <f t="shared" si="28"/>
        <v/>
      </c>
      <c r="T65" s="1048" t="str">
        <f t="shared" si="28"/>
        <v/>
      </c>
      <c r="U65" s="1046" t="str">
        <f t="shared" si="28"/>
        <v/>
      </c>
      <c r="V65" s="1047" t="str">
        <f t="shared" si="28"/>
        <v/>
      </c>
      <c r="W65" s="1047" t="str">
        <f t="shared" si="28"/>
        <v/>
      </c>
      <c r="X65" s="1047" t="str">
        <f t="shared" si="28"/>
        <v/>
      </c>
      <c r="Y65" s="1047" t="str">
        <f t="shared" si="28"/>
        <v/>
      </c>
      <c r="Z65" s="1047" t="str">
        <f t="shared" si="28"/>
        <v/>
      </c>
      <c r="AA65" s="1048" t="str">
        <f t="shared" si="28"/>
        <v/>
      </c>
      <c r="AB65" s="1046" t="str">
        <f t="shared" si="28"/>
        <v/>
      </c>
      <c r="AC65" s="1047" t="str">
        <f t="shared" si="28"/>
        <v/>
      </c>
      <c r="AD65" s="1047" t="str">
        <f t="shared" si="28"/>
        <v/>
      </c>
      <c r="AE65" s="1047" t="str">
        <f t="shared" si="28"/>
        <v/>
      </c>
      <c r="AF65" s="1047" t="str">
        <f t="shared" si="28"/>
        <v/>
      </c>
      <c r="AG65" s="1047" t="str">
        <f t="shared" si="28"/>
        <v/>
      </c>
      <c r="AH65" s="1048" t="str">
        <f t="shared" si="28"/>
        <v/>
      </c>
      <c r="AI65" s="1049" t="str">
        <f t="shared" si="28"/>
        <v/>
      </c>
      <c r="AJ65" s="1047" t="str">
        <f t="shared" si="28"/>
        <v/>
      </c>
      <c r="AK65" s="1047" t="str">
        <f t="shared" si="28"/>
        <v/>
      </c>
      <c r="AL65" s="1050">
        <f>SUM(G65:AH65)</f>
        <v>0</v>
      </c>
      <c r="AM65" s="1051">
        <f>AL65/4</f>
        <v>0</v>
      </c>
      <c r="AN65" s="1052" t="str">
        <f>IF(C64="","",C64)</f>
        <v/>
      </c>
      <c r="AO65" s="1053" t="str">
        <f>IF(D64="","",D64)</f>
        <v/>
      </c>
      <c r="AP65" s="1054" t="str">
        <f>IF(D64&lt;&gt;"",VLOOKUP(D64,$AU$2:$AV$6,2,FALSE),"")</f>
        <v/>
      </c>
      <c r="AQ65" s="1051">
        <f>ROUNDDOWN(AL65/$AL$6,2)</f>
        <v>0</v>
      </c>
      <c r="AR65" s="1051">
        <f>IF(AP65=1,"",AQ65)</f>
        <v>0</v>
      </c>
    </row>
    <row r="66" spans="1:44" ht="15.9" customHeight="1">
      <c r="A66" s="989"/>
      <c r="B66" s="2238" t="s">
        <v>1988</v>
      </c>
      <c r="C66" s="2239"/>
      <c r="D66" s="2241"/>
      <c r="E66" s="2243"/>
      <c r="F66" s="1034" t="s">
        <v>1959</v>
      </c>
      <c r="G66" s="1035"/>
      <c r="H66" s="1036"/>
      <c r="I66" s="1037"/>
      <c r="J66" s="1037"/>
      <c r="K66" s="1037"/>
      <c r="L66" s="1037"/>
      <c r="M66" s="1038"/>
      <c r="N66" s="1035"/>
      <c r="O66" s="1036"/>
      <c r="P66" s="1037"/>
      <c r="Q66" s="1037"/>
      <c r="R66" s="1037"/>
      <c r="S66" s="1037"/>
      <c r="T66" s="1038"/>
      <c r="U66" s="1035"/>
      <c r="V66" s="1036"/>
      <c r="W66" s="1037"/>
      <c r="X66" s="1037"/>
      <c r="Y66" s="1037"/>
      <c r="Z66" s="1037"/>
      <c r="AA66" s="1038"/>
      <c r="AB66" s="1035"/>
      <c r="AC66" s="1036"/>
      <c r="AD66" s="1037"/>
      <c r="AE66" s="1037"/>
      <c r="AF66" s="1037"/>
      <c r="AG66" s="1037"/>
      <c r="AH66" s="1038"/>
      <c r="AI66" s="1039"/>
      <c r="AJ66" s="1037"/>
      <c r="AK66" s="1037"/>
      <c r="AL66" s="1040">
        <f>SUM(G67:AK67)</f>
        <v>0</v>
      </c>
      <c r="AM66" s="1041"/>
      <c r="AN66" s="1042"/>
      <c r="AO66" s="1043"/>
      <c r="AP66" s="1041"/>
      <c r="AQ66" s="1044"/>
      <c r="AR66" s="1044"/>
    </row>
    <row r="67" spans="1:44" ht="15.9" customHeight="1">
      <c r="A67" s="989"/>
      <c r="B67" s="2238"/>
      <c r="C67" s="2240"/>
      <c r="D67" s="2242"/>
      <c r="E67" s="2244"/>
      <c r="F67" s="1045" t="s">
        <v>1960</v>
      </c>
      <c r="G67" s="1046" t="str">
        <f t="shared" ref="G67:AK67" si="29">IF(G66&lt;&gt;"",VLOOKUP(G66,$AC$197:$AL$221,9,FALSE),"")</f>
        <v/>
      </c>
      <c r="H67" s="1047" t="str">
        <f t="shared" si="29"/>
        <v/>
      </c>
      <c r="I67" s="1047" t="str">
        <f t="shared" si="29"/>
        <v/>
      </c>
      <c r="J67" s="1047" t="str">
        <f t="shared" si="29"/>
        <v/>
      </c>
      <c r="K67" s="1047" t="str">
        <f t="shared" si="29"/>
        <v/>
      </c>
      <c r="L67" s="1047" t="str">
        <f t="shared" si="29"/>
        <v/>
      </c>
      <c r="M67" s="1048" t="str">
        <f t="shared" si="29"/>
        <v/>
      </c>
      <c r="N67" s="1046" t="str">
        <f t="shared" si="29"/>
        <v/>
      </c>
      <c r="O67" s="1047" t="str">
        <f t="shared" si="29"/>
        <v/>
      </c>
      <c r="P67" s="1047" t="str">
        <f t="shared" si="29"/>
        <v/>
      </c>
      <c r="Q67" s="1047" t="str">
        <f t="shared" si="29"/>
        <v/>
      </c>
      <c r="R67" s="1047" t="str">
        <f t="shared" si="29"/>
        <v/>
      </c>
      <c r="S67" s="1047" t="str">
        <f t="shared" si="29"/>
        <v/>
      </c>
      <c r="T67" s="1048" t="str">
        <f t="shared" si="29"/>
        <v/>
      </c>
      <c r="U67" s="1046" t="str">
        <f t="shared" si="29"/>
        <v/>
      </c>
      <c r="V67" s="1047" t="str">
        <f t="shared" si="29"/>
        <v/>
      </c>
      <c r="W67" s="1047" t="str">
        <f t="shared" si="29"/>
        <v/>
      </c>
      <c r="X67" s="1047" t="str">
        <f t="shared" si="29"/>
        <v/>
      </c>
      <c r="Y67" s="1047" t="str">
        <f t="shared" si="29"/>
        <v/>
      </c>
      <c r="Z67" s="1047" t="str">
        <f t="shared" si="29"/>
        <v/>
      </c>
      <c r="AA67" s="1048" t="str">
        <f t="shared" si="29"/>
        <v/>
      </c>
      <c r="AB67" s="1046" t="str">
        <f t="shared" si="29"/>
        <v/>
      </c>
      <c r="AC67" s="1047" t="str">
        <f t="shared" si="29"/>
        <v/>
      </c>
      <c r="AD67" s="1047" t="str">
        <f t="shared" si="29"/>
        <v/>
      </c>
      <c r="AE67" s="1047" t="str">
        <f t="shared" si="29"/>
        <v/>
      </c>
      <c r="AF67" s="1047" t="str">
        <f t="shared" si="29"/>
        <v/>
      </c>
      <c r="AG67" s="1047" t="str">
        <f t="shared" si="29"/>
        <v/>
      </c>
      <c r="AH67" s="1048" t="str">
        <f t="shared" si="29"/>
        <v/>
      </c>
      <c r="AI67" s="1049" t="str">
        <f t="shared" si="29"/>
        <v/>
      </c>
      <c r="AJ67" s="1047" t="str">
        <f t="shared" si="29"/>
        <v/>
      </c>
      <c r="AK67" s="1047" t="str">
        <f t="shared" si="29"/>
        <v/>
      </c>
      <c r="AL67" s="1050">
        <f>SUM(G67:AH67)</f>
        <v>0</v>
      </c>
      <c r="AM67" s="1051">
        <f>AL67/4</f>
        <v>0</v>
      </c>
      <c r="AN67" s="1052" t="str">
        <f>IF(C66="","",C66)</f>
        <v/>
      </c>
      <c r="AO67" s="1053" t="str">
        <f>IF(D66="","",D66)</f>
        <v/>
      </c>
      <c r="AP67" s="1054" t="str">
        <f>IF(D66&lt;&gt;"",VLOOKUP(D66,$AU$2:$AV$6,2,FALSE),"")</f>
        <v/>
      </c>
      <c r="AQ67" s="1051">
        <f>ROUNDDOWN(AL67/$AL$6,2)</f>
        <v>0</v>
      </c>
      <c r="AR67" s="1051">
        <f>IF(AP67=1,"",AQ67)</f>
        <v>0</v>
      </c>
    </row>
    <row r="68" spans="1:44" ht="15.9" customHeight="1">
      <c r="A68" s="989"/>
      <c r="B68" s="2238" t="s">
        <v>1989</v>
      </c>
      <c r="C68" s="2239"/>
      <c r="D68" s="2241"/>
      <c r="E68" s="2243"/>
      <c r="F68" s="1034" t="s">
        <v>1959</v>
      </c>
      <c r="G68" s="1035"/>
      <c r="H68" s="1036"/>
      <c r="I68" s="1037"/>
      <c r="J68" s="1037"/>
      <c r="K68" s="1037"/>
      <c r="L68" s="1037"/>
      <c r="M68" s="1038"/>
      <c r="N68" s="1035"/>
      <c r="O68" s="1036"/>
      <c r="P68" s="1037"/>
      <c r="Q68" s="1037"/>
      <c r="R68" s="1037"/>
      <c r="S68" s="1037"/>
      <c r="T68" s="1038"/>
      <c r="U68" s="1035"/>
      <c r="V68" s="1036"/>
      <c r="W68" s="1037"/>
      <c r="X68" s="1037"/>
      <c r="Y68" s="1037"/>
      <c r="Z68" s="1037"/>
      <c r="AA68" s="1038"/>
      <c r="AB68" s="1035"/>
      <c r="AC68" s="1036"/>
      <c r="AD68" s="1037"/>
      <c r="AE68" s="1037"/>
      <c r="AF68" s="1037"/>
      <c r="AG68" s="1037"/>
      <c r="AH68" s="1038"/>
      <c r="AI68" s="1039"/>
      <c r="AJ68" s="1037"/>
      <c r="AK68" s="1037"/>
      <c r="AL68" s="1040">
        <f>SUM(G69:AK69)</f>
        <v>0</v>
      </c>
      <c r="AM68" s="1041"/>
      <c r="AN68" s="1042"/>
      <c r="AO68" s="1043"/>
      <c r="AP68" s="1041"/>
      <c r="AQ68" s="1044"/>
      <c r="AR68" s="1044"/>
    </row>
    <row r="69" spans="1:44" ht="15.9" customHeight="1">
      <c r="A69" s="989"/>
      <c r="B69" s="2238"/>
      <c r="C69" s="2240"/>
      <c r="D69" s="2242"/>
      <c r="E69" s="2244"/>
      <c r="F69" s="1045" t="s">
        <v>1960</v>
      </c>
      <c r="G69" s="1046" t="str">
        <f t="shared" ref="G69:AK69" si="30">IF(G68&lt;&gt;"",VLOOKUP(G68,$AC$197:$AL$221,9,FALSE),"")</f>
        <v/>
      </c>
      <c r="H69" s="1047" t="str">
        <f t="shared" si="30"/>
        <v/>
      </c>
      <c r="I69" s="1047" t="str">
        <f t="shared" si="30"/>
        <v/>
      </c>
      <c r="J69" s="1047" t="str">
        <f t="shared" si="30"/>
        <v/>
      </c>
      <c r="K69" s="1047" t="str">
        <f t="shared" si="30"/>
        <v/>
      </c>
      <c r="L69" s="1047" t="str">
        <f t="shared" si="30"/>
        <v/>
      </c>
      <c r="M69" s="1048" t="str">
        <f t="shared" si="30"/>
        <v/>
      </c>
      <c r="N69" s="1046" t="str">
        <f t="shared" si="30"/>
        <v/>
      </c>
      <c r="O69" s="1047" t="str">
        <f t="shared" si="30"/>
        <v/>
      </c>
      <c r="P69" s="1047" t="str">
        <f t="shared" si="30"/>
        <v/>
      </c>
      <c r="Q69" s="1047" t="str">
        <f t="shared" si="30"/>
        <v/>
      </c>
      <c r="R69" s="1047" t="str">
        <f t="shared" si="30"/>
        <v/>
      </c>
      <c r="S69" s="1047" t="str">
        <f t="shared" si="30"/>
        <v/>
      </c>
      <c r="T69" s="1048" t="str">
        <f t="shared" si="30"/>
        <v/>
      </c>
      <c r="U69" s="1046" t="str">
        <f t="shared" si="30"/>
        <v/>
      </c>
      <c r="V69" s="1047" t="str">
        <f t="shared" si="30"/>
        <v/>
      </c>
      <c r="W69" s="1047" t="str">
        <f t="shared" si="30"/>
        <v/>
      </c>
      <c r="X69" s="1047" t="str">
        <f t="shared" si="30"/>
        <v/>
      </c>
      <c r="Y69" s="1047" t="str">
        <f t="shared" si="30"/>
        <v/>
      </c>
      <c r="Z69" s="1047" t="str">
        <f t="shared" si="30"/>
        <v/>
      </c>
      <c r="AA69" s="1048" t="str">
        <f t="shared" si="30"/>
        <v/>
      </c>
      <c r="AB69" s="1046" t="str">
        <f t="shared" si="30"/>
        <v/>
      </c>
      <c r="AC69" s="1047" t="str">
        <f t="shared" si="30"/>
        <v/>
      </c>
      <c r="AD69" s="1047" t="str">
        <f t="shared" si="30"/>
        <v/>
      </c>
      <c r="AE69" s="1047" t="str">
        <f t="shared" si="30"/>
        <v/>
      </c>
      <c r="AF69" s="1047" t="str">
        <f t="shared" si="30"/>
        <v/>
      </c>
      <c r="AG69" s="1047" t="str">
        <f t="shared" si="30"/>
        <v/>
      </c>
      <c r="AH69" s="1048" t="str">
        <f t="shared" si="30"/>
        <v/>
      </c>
      <c r="AI69" s="1049" t="str">
        <f t="shared" si="30"/>
        <v/>
      </c>
      <c r="AJ69" s="1047" t="str">
        <f t="shared" si="30"/>
        <v/>
      </c>
      <c r="AK69" s="1047" t="str">
        <f t="shared" si="30"/>
        <v/>
      </c>
      <c r="AL69" s="1050">
        <f>SUM(G69:AH69)</f>
        <v>0</v>
      </c>
      <c r="AM69" s="1051">
        <f>AL69/4</f>
        <v>0</v>
      </c>
      <c r="AN69" s="1052" t="str">
        <f>IF(C68="","",C68)</f>
        <v/>
      </c>
      <c r="AO69" s="1053" t="str">
        <f>IF(D68="","",D68)</f>
        <v/>
      </c>
      <c r="AP69" s="1054" t="str">
        <f>IF(D68&lt;&gt;"",VLOOKUP(D68,$AU$2:$AV$6,2,FALSE),"")</f>
        <v/>
      </c>
      <c r="AQ69" s="1051">
        <f>ROUNDDOWN(AL69/$AL$6,2)</f>
        <v>0</v>
      </c>
      <c r="AR69" s="1051">
        <f>IF(AP69=1,"",AQ69)</f>
        <v>0</v>
      </c>
    </row>
    <row r="70" spans="1:44" ht="15.9" customHeight="1">
      <c r="A70" s="989"/>
      <c r="B70" s="2238" t="s">
        <v>1990</v>
      </c>
      <c r="C70" s="2239"/>
      <c r="D70" s="2241"/>
      <c r="E70" s="2243"/>
      <c r="F70" s="1034" t="s">
        <v>1959</v>
      </c>
      <c r="G70" s="1035"/>
      <c r="H70" s="1036"/>
      <c r="I70" s="1037"/>
      <c r="J70" s="1037"/>
      <c r="K70" s="1037"/>
      <c r="L70" s="1037"/>
      <c r="M70" s="1038"/>
      <c r="N70" s="1035"/>
      <c r="O70" s="1036"/>
      <c r="P70" s="1037"/>
      <c r="Q70" s="1037"/>
      <c r="R70" s="1037"/>
      <c r="S70" s="1037"/>
      <c r="T70" s="1038"/>
      <c r="U70" s="1035"/>
      <c r="V70" s="1036"/>
      <c r="W70" s="1037"/>
      <c r="X70" s="1037"/>
      <c r="Y70" s="1037"/>
      <c r="Z70" s="1037"/>
      <c r="AA70" s="1038"/>
      <c r="AB70" s="1035"/>
      <c r="AC70" s="1036"/>
      <c r="AD70" s="1037"/>
      <c r="AE70" s="1037"/>
      <c r="AF70" s="1037"/>
      <c r="AG70" s="1037"/>
      <c r="AH70" s="1038"/>
      <c r="AI70" s="1055"/>
      <c r="AJ70" s="1036"/>
      <c r="AK70" s="1036"/>
      <c r="AL70" s="1040">
        <f>SUM(G71:AK71)</f>
        <v>0</v>
      </c>
      <c r="AM70" s="1041"/>
      <c r="AN70" s="1042"/>
      <c r="AO70" s="1043"/>
      <c r="AP70" s="1041"/>
      <c r="AQ70" s="1044"/>
      <c r="AR70" s="1044"/>
    </row>
    <row r="71" spans="1:44" ht="15.9" customHeight="1">
      <c r="A71" s="989"/>
      <c r="B71" s="2238"/>
      <c r="C71" s="2240"/>
      <c r="D71" s="2242"/>
      <c r="E71" s="2244"/>
      <c r="F71" s="1045" t="s">
        <v>1960</v>
      </c>
      <c r="G71" s="1046" t="str">
        <f t="shared" ref="G71:AK71" si="31">IF(G70&lt;&gt;"",VLOOKUP(G70,$AC$197:$AL$221,9,FALSE),"")</f>
        <v/>
      </c>
      <c r="H71" s="1047" t="str">
        <f t="shared" si="31"/>
        <v/>
      </c>
      <c r="I71" s="1047" t="str">
        <f t="shared" si="31"/>
        <v/>
      </c>
      <c r="J71" s="1047" t="str">
        <f t="shared" si="31"/>
        <v/>
      </c>
      <c r="K71" s="1047" t="str">
        <f t="shared" si="31"/>
        <v/>
      </c>
      <c r="L71" s="1047" t="str">
        <f t="shared" si="31"/>
        <v/>
      </c>
      <c r="M71" s="1048" t="str">
        <f t="shared" si="31"/>
        <v/>
      </c>
      <c r="N71" s="1046" t="str">
        <f t="shared" si="31"/>
        <v/>
      </c>
      <c r="O71" s="1047" t="str">
        <f t="shared" si="31"/>
        <v/>
      </c>
      <c r="P71" s="1047" t="str">
        <f t="shared" si="31"/>
        <v/>
      </c>
      <c r="Q71" s="1047" t="str">
        <f t="shared" si="31"/>
        <v/>
      </c>
      <c r="R71" s="1047" t="str">
        <f t="shared" si="31"/>
        <v/>
      </c>
      <c r="S71" s="1047" t="str">
        <f t="shared" si="31"/>
        <v/>
      </c>
      <c r="T71" s="1048" t="str">
        <f t="shared" si="31"/>
        <v/>
      </c>
      <c r="U71" s="1046" t="str">
        <f t="shared" si="31"/>
        <v/>
      </c>
      <c r="V71" s="1047" t="str">
        <f t="shared" si="31"/>
        <v/>
      </c>
      <c r="W71" s="1047" t="str">
        <f t="shared" si="31"/>
        <v/>
      </c>
      <c r="X71" s="1047" t="str">
        <f t="shared" si="31"/>
        <v/>
      </c>
      <c r="Y71" s="1047" t="str">
        <f t="shared" si="31"/>
        <v/>
      </c>
      <c r="Z71" s="1047" t="str">
        <f t="shared" si="31"/>
        <v/>
      </c>
      <c r="AA71" s="1048" t="str">
        <f t="shared" si="31"/>
        <v/>
      </c>
      <c r="AB71" s="1046" t="str">
        <f t="shared" si="31"/>
        <v/>
      </c>
      <c r="AC71" s="1047" t="str">
        <f t="shared" si="31"/>
        <v/>
      </c>
      <c r="AD71" s="1047" t="str">
        <f t="shared" si="31"/>
        <v/>
      </c>
      <c r="AE71" s="1047" t="str">
        <f t="shared" si="31"/>
        <v/>
      </c>
      <c r="AF71" s="1047" t="str">
        <f t="shared" si="31"/>
        <v/>
      </c>
      <c r="AG71" s="1047" t="str">
        <f t="shared" si="31"/>
        <v/>
      </c>
      <c r="AH71" s="1048" t="str">
        <f t="shared" si="31"/>
        <v/>
      </c>
      <c r="AI71" s="1049" t="str">
        <f t="shared" si="31"/>
        <v/>
      </c>
      <c r="AJ71" s="1047" t="str">
        <f t="shared" si="31"/>
        <v/>
      </c>
      <c r="AK71" s="1047" t="str">
        <f t="shared" si="31"/>
        <v/>
      </c>
      <c r="AL71" s="1050">
        <f>SUM(G71:AH71)</f>
        <v>0</v>
      </c>
      <c r="AM71" s="1051">
        <f>AL71/4</f>
        <v>0</v>
      </c>
      <c r="AN71" s="1052" t="str">
        <f>IF(C70="","",C70)</f>
        <v/>
      </c>
      <c r="AO71" s="1053" t="str">
        <f>IF(D70="","",D70)</f>
        <v/>
      </c>
      <c r="AP71" s="1054" t="str">
        <f>IF(D70&lt;&gt;"",VLOOKUP(D70,$AU$2:$AV$6,2,FALSE),"")</f>
        <v/>
      </c>
      <c r="AQ71" s="1051">
        <f>ROUNDDOWN(AL71/$AL$6,2)</f>
        <v>0</v>
      </c>
      <c r="AR71" s="1051">
        <f>IF(AP71=1,"",AQ71)</f>
        <v>0</v>
      </c>
    </row>
    <row r="72" spans="1:44" ht="15.9" customHeight="1">
      <c r="A72" s="989"/>
      <c r="B72" s="2238" t="s">
        <v>1991</v>
      </c>
      <c r="C72" s="2239"/>
      <c r="D72" s="2241"/>
      <c r="E72" s="2243"/>
      <c r="F72" s="1034" t="s">
        <v>1959</v>
      </c>
      <c r="G72" s="1035"/>
      <c r="H72" s="1036"/>
      <c r="I72" s="1037"/>
      <c r="J72" s="1037"/>
      <c r="K72" s="1037"/>
      <c r="L72" s="1037"/>
      <c r="M72" s="1038"/>
      <c r="N72" s="1035"/>
      <c r="O72" s="1036"/>
      <c r="P72" s="1037"/>
      <c r="Q72" s="1037"/>
      <c r="R72" s="1037"/>
      <c r="S72" s="1037"/>
      <c r="T72" s="1038"/>
      <c r="U72" s="1035"/>
      <c r="V72" s="1036"/>
      <c r="W72" s="1037"/>
      <c r="X72" s="1037"/>
      <c r="Y72" s="1037"/>
      <c r="Z72" s="1037"/>
      <c r="AA72" s="1038"/>
      <c r="AB72" s="1035"/>
      <c r="AC72" s="1036"/>
      <c r="AD72" s="1037"/>
      <c r="AE72" s="1037"/>
      <c r="AF72" s="1037"/>
      <c r="AG72" s="1037"/>
      <c r="AH72" s="1038"/>
      <c r="AI72" s="1055"/>
      <c r="AJ72" s="1036"/>
      <c r="AK72" s="1036"/>
      <c r="AL72" s="1040">
        <f>SUM(G73:AK73)</f>
        <v>0</v>
      </c>
      <c r="AM72" s="1041"/>
      <c r="AN72" s="1042"/>
      <c r="AO72" s="1043"/>
      <c r="AP72" s="1041"/>
      <c r="AQ72" s="1044"/>
      <c r="AR72" s="1044"/>
    </row>
    <row r="73" spans="1:44" ht="15.9" customHeight="1">
      <c r="A73" s="989"/>
      <c r="B73" s="2238"/>
      <c r="C73" s="2240"/>
      <c r="D73" s="2242"/>
      <c r="E73" s="2244"/>
      <c r="F73" s="1045" t="s">
        <v>1960</v>
      </c>
      <c r="G73" s="1046" t="str">
        <f t="shared" ref="G73:AK73" si="32">IF(G72&lt;&gt;"",VLOOKUP(G72,$AC$197:$AL$221,9,FALSE),"")</f>
        <v/>
      </c>
      <c r="H73" s="1047" t="str">
        <f t="shared" si="32"/>
        <v/>
      </c>
      <c r="I73" s="1047" t="str">
        <f t="shared" si="32"/>
        <v/>
      </c>
      <c r="J73" s="1047" t="str">
        <f t="shared" si="32"/>
        <v/>
      </c>
      <c r="K73" s="1047" t="str">
        <f t="shared" si="32"/>
        <v/>
      </c>
      <c r="L73" s="1047" t="str">
        <f t="shared" si="32"/>
        <v/>
      </c>
      <c r="M73" s="1048" t="str">
        <f t="shared" si="32"/>
        <v/>
      </c>
      <c r="N73" s="1046" t="str">
        <f t="shared" si="32"/>
        <v/>
      </c>
      <c r="O73" s="1047" t="str">
        <f t="shared" si="32"/>
        <v/>
      </c>
      <c r="P73" s="1047" t="str">
        <f t="shared" si="32"/>
        <v/>
      </c>
      <c r="Q73" s="1047" t="str">
        <f t="shared" si="32"/>
        <v/>
      </c>
      <c r="R73" s="1047" t="str">
        <f t="shared" si="32"/>
        <v/>
      </c>
      <c r="S73" s="1047" t="str">
        <f t="shared" si="32"/>
        <v/>
      </c>
      <c r="T73" s="1048" t="str">
        <f t="shared" si="32"/>
        <v/>
      </c>
      <c r="U73" s="1046" t="str">
        <f t="shared" si="32"/>
        <v/>
      </c>
      <c r="V73" s="1047" t="str">
        <f t="shared" si="32"/>
        <v/>
      </c>
      <c r="W73" s="1047" t="str">
        <f t="shared" si="32"/>
        <v/>
      </c>
      <c r="X73" s="1047" t="str">
        <f t="shared" si="32"/>
        <v/>
      </c>
      <c r="Y73" s="1047" t="str">
        <f t="shared" si="32"/>
        <v/>
      </c>
      <c r="Z73" s="1047" t="str">
        <f t="shared" si="32"/>
        <v/>
      </c>
      <c r="AA73" s="1048" t="str">
        <f t="shared" si="32"/>
        <v/>
      </c>
      <c r="AB73" s="1046" t="str">
        <f t="shared" si="32"/>
        <v/>
      </c>
      <c r="AC73" s="1047" t="str">
        <f t="shared" si="32"/>
        <v/>
      </c>
      <c r="AD73" s="1047" t="str">
        <f t="shared" si="32"/>
        <v/>
      </c>
      <c r="AE73" s="1047" t="str">
        <f t="shared" si="32"/>
        <v/>
      </c>
      <c r="AF73" s="1047" t="str">
        <f t="shared" si="32"/>
        <v/>
      </c>
      <c r="AG73" s="1047" t="str">
        <f t="shared" si="32"/>
        <v/>
      </c>
      <c r="AH73" s="1048" t="str">
        <f t="shared" si="32"/>
        <v/>
      </c>
      <c r="AI73" s="1049" t="str">
        <f t="shared" si="32"/>
        <v/>
      </c>
      <c r="AJ73" s="1047" t="str">
        <f t="shared" si="32"/>
        <v/>
      </c>
      <c r="AK73" s="1047" t="str">
        <f t="shared" si="32"/>
        <v/>
      </c>
      <c r="AL73" s="1050">
        <f>SUM(G73:AH73)</f>
        <v>0</v>
      </c>
      <c r="AM73" s="1051">
        <f>AL73/4</f>
        <v>0</v>
      </c>
      <c r="AN73" s="1052" t="str">
        <f>IF(C72="","",C72)</f>
        <v/>
      </c>
      <c r="AO73" s="1053" t="str">
        <f>IF(D72="","",D72)</f>
        <v/>
      </c>
      <c r="AP73" s="1054" t="str">
        <f>IF(D72&lt;&gt;"",VLOOKUP(D72,$AU$2:$AV$6,2,FALSE),"")</f>
        <v/>
      </c>
      <c r="AQ73" s="1051">
        <f>ROUNDDOWN(AL73/$AL$6,2)</f>
        <v>0</v>
      </c>
      <c r="AR73" s="1051">
        <f>IF(AP73=1,"",AQ73)</f>
        <v>0</v>
      </c>
    </row>
    <row r="74" spans="1:44" ht="15.9" customHeight="1">
      <c r="A74" s="989"/>
      <c r="B74" s="2238" t="s">
        <v>1992</v>
      </c>
      <c r="C74" s="2239"/>
      <c r="D74" s="2241"/>
      <c r="E74" s="2243"/>
      <c r="F74" s="1034" t="s">
        <v>1959</v>
      </c>
      <c r="G74" s="1035"/>
      <c r="H74" s="1036"/>
      <c r="I74" s="1037"/>
      <c r="J74" s="1037"/>
      <c r="K74" s="1037"/>
      <c r="L74" s="1037"/>
      <c r="M74" s="1038"/>
      <c r="N74" s="1035"/>
      <c r="O74" s="1036"/>
      <c r="P74" s="1037"/>
      <c r="Q74" s="1037"/>
      <c r="R74" s="1037"/>
      <c r="S74" s="1037"/>
      <c r="T74" s="1038"/>
      <c r="U74" s="1035"/>
      <c r="V74" s="1036"/>
      <c r="W74" s="1037"/>
      <c r="X74" s="1037"/>
      <c r="Y74" s="1037"/>
      <c r="Z74" s="1037"/>
      <c r="AA74" s="1038"/>
      <c r="AB74" s="1035"/>
      <c r="AC74" s="1036"/>
      <c r="AD74" s="1037"/>
      <c r="AE74" s="1037"/>
      <c r="AF74" s="1037"/>
      <c r="AG74" s="1037"/>
      <c r="AH74" s="1038"/>
      <c r="AI74" s="1039"/>
      <c r="AJ74" s="1037"/>
      <c r="AK74" s="1037"/>
      <c r="AL74" s="1040">
        <f>SUM(G75:AK75)</f>
        <v>0</v>
      </c>
      <c r="AM74" s="1041"/>
      <c r="AN74" s="1042"/>
      <c r="AO74" s="1043"/>
      <c r="AP74" s="1041"/>
      <c r="AQ74" s="1044"/>
      <c r="AR74" s="1044"/>
    </row>
    <row r="75" spans="1:44" ht="15.9" customHeight="1">
      <c r="A75" s="989"/>
      <c r="B75" s="2238"/>
      <c r="C75" s="2240"/>
      <c r="D75" s="2242"/>
      <c r="E75" s="2244"/>
      <c r="F75" s="1045" t="s">
        <v>1960</v>
      </c>
      <c r="G75" s="1046" t="str">
        <f t="shared" ref="G75:AK75" si="33">IF(G74&lt;&gt;"",VLOOKUP(G74,$AC$197:$AL$221,9,FALSE),"")</f>
        <v/>
      </c>
      <c r="H75" s="1047" t="str">
        <f t="shared" si="33"/>
        <v/>
      </c>
      <c r="I75" s="1047" t="str">
        <f t="shared" si="33"/>
        <v/>
      </c>
      <c r="J75" s="1047" t="str">
        <f t="shared" si="33"/>
        <v/>
      </c>
      <c r="K75" s="1047" t="str">
        <f t="shared" si="33"/>
        <v/>
      </c>
      <c r="L75" s="1047" t="str">
        <f t="shared" si="33"/>
        <v/>
      </c>
      <c r="M75" s="1048" t="str">
        <f t="shared" si="33"/>
        <v/>
      </c>
      <c r="N75" s="1046" t="str">
        <f t="shared" si="33"/>
        <v/>
      </c>
      <c r="O75" s="1047" t="str">
        <f t="shared" si="33"/>
        <v/>
      </c>
      <c r="P75" s="1047" t="str">
        <f t="shared" si="33"/>
        <v/>
      </c>
      <c r="Q75" s="1047" t="str">
        <f t="shared" si="33"/>
        <v/>
      </c>
      <c r="R75" s="1047" t="str">
        <f t="shared" si="33"/>
        <v/>
      </c>
      <c r="S75" s="1047" t="str">
        <f t="shared" si="33"/>
        <v/>
      </c>
      <c r="T75" s="1048" t="str">
        <f t="shared" si="33"/>
        <v/>
      </c>
      <c r="U75" s="1046" t="str">
        <f t="shared" si="33"/>
        <v/>
      </c>
      <c r="V75" s="1047" t="str">
        <f t="shared" si="33"/>
        <v/>
      </c>
      <c r="W75" s="1047" t="str">
        <f t="shared" si="33"/>
        <v/>
      </c>
      <c r="X75" s="1047" t="str">
        <f t="shared" si="33"/>
        <v/>
      </c>
      <c r="Y75" s="1047" t="str">
        <f t="shared" si="33"/>
        <v/>
      </c>
      <c r="Z75" s="1047" t="str">
        <f t="shared" si="33"/>
        <v/>
      </c>
      <c r="AA75" s="1048" t="str">
        <f t="shared" si="33"/>
        <v/>
      </c>
      <c r="AB75" s="1046" t="str">
        <f t="shared" si="33"/>
        <v/>
      </c>
      <c r="AC75" s="1047" t="str">
        <f t="shared" si="33"/>
        <v/>
      </c>
      <c r="AD75" s="1047" t="str">
        <f t="shared" si="33"/>
        <v/>
      </c>
      <c r="AE75" s="1047" t="str">
        <f t="shared" si="33"/>
        <v/>
      </c>
      <c r="AF75" s="1047" t="str">
        <f t="shared" si="33"/>
        <v/>
      </c>
      <c r="AG75" s="1047" t="str">
        <f t="shared" si="33"/>
        <v/>
      </c>
      <c r="AH75" s="1048" t="str">
        <f t="shared" si="33"/>
        <v/>
      </c>
      <c r="AI75" s="1049" t="str">
        <f t="shared" si="33"/>
        <v/>
      </c>
      <c r="AJ75" s="1047" t="str">
        <f t="shared" si="33"/>
        <v/>
      </c>
      <c r="AK75" s="1047" t="str">
        <f t="shared" si="33"/>
        <v/>
      </c>
      <c r="AL75" s="1050">
        <f>SUM(G75:AH75)</f>
        <v>0</v>
      </c>
      <c r="AM75" s="1051">
        <f>AL75/4</f>
        <v>0</v>
      </c>
      <c r="AN75" s="1052" t="str">
        <f>IF(C74="","",C74)</f>
        <v/>
      </c>
      <c r="AO75" s="1053" t="str">
        <f>IF(D74="","",D74)</f>
        <v/>
      </c>
      <c r="AP75" s="1054" t="str">
        <f>IF(D74&lt;&gt;"",VLOOKUP(D74,$AU$2:$AV$6,2,FALSE),"")</f>
        <v/>
      </c>
      <c r="AQ75" s="1051">
        <f>ROUNDDOWN(AL75/$AL$6,2)</f>
        <v>0</v>
      </c>
      <c r="AR75" s="1051">
        <f>IF(AP75=1,"",AQ75)</f>
        <v>0</v>
      </c>
    </row>
    <row r="76" spans="1:44" ht="15.9" customHeight="1">
      <c r="A76" s="989"/>
      <c r="B76" s="2238" t="s">
        <v>1993</v>
      </c>
      <c r="C76" s="2239"/>
      <c r="D76" s="2241"/>
      <c r="E76" s="2243"/>
      <c r="F76" s="1034" t="s">
        <v>1959</v>
      </c>
      <c r="G76" s="1035"/>
      <c r="H76" s="1036"/>
      <c r="I76" s="1037"/>
      <c r="J76" s="1037"/>
      <c r="K76" s="1037"/>
      <c r="L76" s="1037"/>
      <c r="M76" s="1038"/>
      <c r="N76" s="1035"/>
      <c r="O76" s="1036"/>
      <c r="P76" s="1037"/>
      <c r="Q76" s="1037"/>
      <c r="R76" s="1037"/>
      <c r="S76" s="1037"/>
      <c r="T76" s="1038"/>
      <c r="U76" s="1035"/>
      <c r="V76" s="1036"/>
      <c r="W76" s="1037"/>
      <c r="X76" s="1037"/>
      <c r="Y76" s="1037"/>
      <c r="Z76" s="1037"/>
      <c r="AA76" s="1038"/>
      <c r="AB76" s="1035"/>
      <c r="AC76" s="1036"/>
      <c r="AD76" s="1037"/>
      <c r="AE76" s="1037"/>
      <c r="AF76" s="1037"/>
      <c r="AG76" s="1037"/>
      <c r="AH76" s="1038"/>
      <c r="AI76" s="1039"/>
      <c r="AJ76" s="1037"/>
      <c r="AK76" s="1037"/>
      <c r="AL76" s="1040">
        <f>SUM(G77:AK77)</f>
        <v>0</v>
      </c>
      <c r="AM76" s="1041"/>
      <c r="AN76" s="1042"/>
      <c r="AO76" s="1043"/>
      <c r="AP76" s="1041"/>
      <c r="AQ76" s="1044"/>
      <c r="AR76" s="1044"/>
    </row>
    <row r="77" spans="1:44" ht="15.9" customHeight="1">
      <c r="A77" s="989"/>
      <c r="B77" s="2238"/>
      <c r="C77" s="2240"/>
      <c r="D77" s="2242"/>
      <c r="E77" s="2244"/>
      <c r="F77" s="1045" t="s">
        <v>1960</v>
      </c>
      <c r="G77" s="1046" t="str">
        <f t="shared" ref="G77:AK77" si="34">IF(G76&lt;&gt;"",VLOOKUP(G76,$AC$197:$AL$221,9,FALSE),"")</f>
        <v/>
      </c>
      <c r="H77" s="1047" t="str">
        <f t="shared" si="34"/>
        <v/>
      </c>
      <c r="I77" s="1047" t="str">
        <f t="shared" si="34"/>
        <v/>
      </c>
      <c r="J77" s="1047" t="str">
        <f t="shared" si="34"/>
        <v/>
      </c>
      <c r="K77" s="1047" t="str">
        <f t="shared" si="34"/>
        <v/>
      </c>
      <c r="L77" s="1047" t="str">
        <f t="shared" si="34"/>
        <v/>
      </c>
      <c r="M77" s="1048" t="str">
        <f t="shared" si="34"/>
        <v/>
      </c>
      <c r="N77" s="1046" t="str">
        <f t="shared" si="34"/>
        <v/>
      </c>
      <c r="O77" s="1047" t="str">
        <f t="shared" si="34"/>
        <v/>
      </c>
      <c r="P77" s="1047" t="str">
        <f t="shared" si="34"/>
        <v/>
      </c>
      <c r="Q77" s="1047" t="str">
        <f t="shared" si="34"/>
        <v/>
      </c>
      <c r="R77" s="1047" t="str">
        <f t="shared" si="34"/>
        <v/>
      </c>
      <c r="S77" s="1047" t="str">
        <f t="shared" si="34"/>
        <v/>
      </c>
      <c r="T77" s="1048" t="str">
        <f t="shared" si="34"/>
        <v/>
      </c>
      <c r="U77" s="1046" t="str">
        <f t="shared" si="34"/>
        <v/>
      </c>
      <c r="V77" s="1047" t="str">
        <f t="shared" si="34"/>
        <v/>
      </c>
      <c r="W77" s="1047" t="str">
        <f t="shared" si="34"/>
        <v/>
      </c>
      <c r="X77" s="1047" t="str">
        <f t="shared" si="34"/>
        <v/>
      </c>
      <c r="Y77" s="1047" t="str">
        <f t="shared" si="34"/>
        <v/>
      </c>
      <c r="Z77" s="1047" t="str">
        <f t="shared" si="34"/>
        <v/>
      </c>
      <c r="AA77" s="1048" t="str">
        <f t="shared" si="34"/>
        <v/>
      </c>
      <c r="AB77" s="1046" t="str">
        <f t="shared" si="34"/>
        <v/>
      </c>
      <c r="AC77" s="1047" t="str">
        <f t="shared" si="34"/>
        <v/>
      </c>
      <c r="AD77" s="1047" t="str">
        <f t="shared" si="34"/>
        <v/>
      </c>
      <c r="AE77" s="1047" t="str">
        <f t="shared" si="34"/>
        <v/>
      </c>
      <c r="AF77" s="1047" t="str">
        <f t="shared" si="34"/>
        <v/>
      </c>
      <c r="AG77" s="1047" t="str">
        <f t="shared" si="34"/>
        <v/>
      </c>
      <c r="AH77" s="1048" t="str">
        <f t="shared" si="34"/>
        <v/>
      </c>
      <c r="AI77" s="1049" t="str">
        <f t="shared" si="34"/>
        <v/>
      </c>
      <c r="AJ77" s="1047" t="str">
        <f t="shared" si="34"/>
        <v/>
      </c>
      <c r="AK77" s="1047" t="str">
        <f t="shared" si="34"/>
        <v/>
      </c>
      <c r="AL77" s="1050">
        <f>SUM(G77:AH77)</f>
        <v>0</v>
      </c>
      <c r="AM77" s="1051">
        <f>AL77/4</f>
        <v>0</v>
      </c>
      <c r="AN77" s="1052" t="str">
        <f>IF(C76="","",C76)</f>
        <v/>
      </c>
      <c r="AO77" s="1053" t="str">
        <f>IF(D76="","",D76)</f>
        <v/>
      </c>
      <c r="AP77" s="1054" t="str">
        <f>IF(D76&lt;&gt;"",VLOOKUP(D76,$AU$2:$AV$6,2,FALSE),"")</f>
        <v/>
      </c>
      <c r="AQ77" s="1051">
        <f>ROUNDDOWN(AL77/$AL$6,2)</f>
        <v>0</v>
      </c>
      <c r="AR77" s="1051">
        <f>IF(AP77=1,"",AQ77)</f>
        <v>0</v>
      </c>
    </row>
    <row r="78" spans="1:44" ht="15.9" hidden="1" customHeight="1">
      <c r="A78" s="989"/>
      <c r="B78" s="2238" t="s">
        <v>1994</v>
      </c>
      <c r="C78" s="2239"/>
      <c r="D78" s="2241"/>
      <c r="E78" s="2243"/>
      <c r="F78" s="1034" t="s">
        <v>1959</v>
      </c>
      <c r="G78" s="1035"/>
      <c r="H78" s="1036"/>
      <c r="I78" s="1037"/>
      <c r="J78" s="1037"/>
      <c r="K78" s="1037"/>
      <c r="L78" s="1037"/>
      <c r="M78" s="1038"/>
      <c r="N78" s="1035"/>
      <c r="O78" s="1036"/>
      <c r="P78" s="1037"/>
      <c r="Q78" s="1037"/>
      <c r="R78" s="1037"/>
      <c r="S78" s="1037"/>
      <c r="T78" s="1038"/>
      <c r="U78" s="1035"/>
      <c r="V78" s="1036"/>
      <c r="W78" s="1037"/>
      <c r="X78" s="1037"/>
      <c r="Y78" s="1037"/>
      <c r="Z78" s="1037"/>
      <c r="AA78" s="1038"/>
      <c r="AB78" s="1035"/>
      <c r="AC78" s="1036"/>
      <c r="AD78" s="1037"/>
      <c r="AE78" s="1037"/>
      <c r="AF78" s="1037"/>
      <c r="AG78" s="1037"/>
      <c r="AH78" s="1038"/>
      <c r="AI78" s="1055"/>
      <c r="AJ78" s="1036"/>
      <c r="AK78" s="1036"/>
      <c r="AL78" s="1040">
        <f>SUM(G79:AK79)</f>
        <v>0</v>
      </c>
      <c r="AM78" s="1041"/>
      <c r="AN78" s="1042"/>
      <c r="AO78" s="1043"/>
      <c r="AP78" s="1041"/>
      <c r="AQ78" s="1044"/>
      <c r="AR78" s="1044"/>
    </row>
    <row r="79" spans="1:44" ht="15.9" hidden="1" customHeight="1">
      <c r="A79" s="989"/>
      <c r="B79" s="2238"/>
      <c r="C79" s="2240"/>
      <c r="D79" s="2242"/>
      <c r="E79" s="2244"/>
      <c r="F79" s="1045" t="s">
        <v>1960</v>
      </c>
      <c r="G79" s="1046" t="str">
        <f t="shared" ref="G79:AK79" si="35">IF(G78&lt;&gt;"",VLOOKUP(G78,$AC$197:$AL$221,9,FALSE),"")</f>
        <v/>
      </c>
      <c r="H79" s="1047" t="str">
        <f t="shared" si="35"/>
        <v/>
      </c>
      <c r="I79" s="1047" t="str">
        <f t="shared" si="35"/>
        <v/>
      </c>
      <c r="J79" s="1047" t="str">
        <f t="shared" si="35"/>
        <v/>
      </c>
      <c r="K79" s="1047" t="str">
        <f t="shared" si="35"/>
        <v/>
      </c>
      <c r="L79" s="1047" t="str">
        <f t="shared" si="35"/>
        <v/>
      </c>
      <c r="M79" s="1048" t="str">
        <f t="shared" si="35"/>
        <v/>
      </c>
      <c r="N79" s="1046" t="str">
        <f t="shared" si="35"/>
        <v/>
      </c>
      <c r="O79" s="1047" t="str">
        <f t="shared" si="35"/>
        <v/>
      </c>
      <c r="P79" s="1047" t="str">
        <f t="shared" si="35"/>
        <v/>
      </c>
      <c r="Q79" s="1047" t="str">
        <f t="shared" si="35"/>
        <v/>
      </c>
      <c r="R79" s="1047" t="str">
        <f t="shared" si="35"/>
        <v/>
      </c>
      <c r="S79" s="1047" t="str">
        <f t="shared" si="35"/>
        <v/>
      </c>
      <c r="T79" s="1048" t="str">
        <f t="shared" si="35"/>
        <v/>
      </c>
      <c r="U79" s="1046" t="str">
        <f t="shared" si="35"/>
        <v/>
      </c>
      <c r="V79" s="1047" t="str">
        <f t="shared" si="35"/>
        <v/>
      </c>
      <c r="W79" s="1047" t="str">
        <f t="shared" si="35"/>
        <v/>
      </c>
      <c r="X79" s="1047" t="str">
        <f t="shared" si="35"/>
        <v/>
      </c>
      <c r="Y79" s="1047" t="str">
        <f t="shared" si="35"/>
        <v/>
      </c>
      <c r="Z79" s="1047" t="str">
        <f t="shared" si="35"/>
        <v/>
      </c>
      <c r="AA79" s="1048" t="str">
        <f t="shared" si="35"/>
        <v/>
      </c>
      <c r="AB79" s="1046" t="str">
        <f t="shared" si="35"/>
        <v/>
      </c>
      <c r="AC79" s="1047" t="str">
        <f t="shared" si="35"/>
        <v/>
      </c>
      <c r="AD79" s="1047" t="str">
        <f t="shared" si="35"/>
        <v/>
      </c>
      <c r="AE79" s="1047" t="str">
        <f t="shared" si="35"/>
        <v/>
      </c>
      <c r="AF79" s="1047" t="str">
        <f t="shared" si="35"/>
        <v/>
      </c>
      <c r="AG79" s="1047" t="str">
        <f t="shared" si="35"/>
        <v/>
      </c>
      <c r="AH79" s="1048" t="str">
        <f t="shared" si="35"/>
        <v/>
      </c>
      <c r="AI79" s="1049" t="str">
        <f t="shared" si="35"/>
        <v/>
      </c>
      <c r="AJ79" s="1047" t="str">
        <f t="shared" si="35"/>
        <v/>
      </c>
      <c r="AK79" s="1047" t="str">
        <f t="shared" si="35"/>
        <v/>
      </c>
      <c r="AL79" s="1050">
        <f>SUM(G79:AH79)</f>
        <v>0</v>
      </c>
      <c r="AM79" s="1051">
        <f>AL79/4</f>
        <v>0</v>
      </c>
      <c r="AN79" s="1052" t="str">
        <f>IF(C78="","",C78)</f>
        <v/>
      </c>
      <c r="AO79" s="1053" t="str">
        <f>IF(D78="","",D78)</f>
        <v/>
      </c>
      <c r="AP79" s="1054" t="str">
        <f>IF(D78&lt;&gt;"",VLOOKUP(D78,$AU$2:$AV$6,2,FALSE),"")</f>
        <v/>
      </c>
      <c r="AQ79" s="1051">
        <f>ROUNDDOWN(AL79/$AL$6,2)</f>
        <v>0</v>
      </c>
      <c r="AR79" s="1051">
        <f>IF(AP79=1,"",AQ79)</f>
        <v>0</v>
      </c>
    </row>
    <row r="80" spans="1:44" ht="15.9" hidden="1" customHeight="1">
      <c r="A80" s="989"/>
      <c r="B80" s="2238" t="s">
        <v>1995</v>
      </c>
      <c r="C80" s="2239"/>
      <c r="D80" s="2241"/>
      <c r="E80" s="2243"/>
      <c r="F80" s="1034" t="s">
        <v>1959</v>
      </c>
      <c r="G80" s="1035"/>
      <c r="H80" s="1036"/>
      <c r="I80" s="1037"/>
      <c r="J80" s="1037"/>
      <c r="K80" s="1037"/>
      <c r="L80" s="1037"/>
      <c r="M80" s="1038"/>
      <c r="N80" s="1035"/>
      <c r="O80" s="1036"/>
      <c r="P80" s="1037"/>
      <c r="Q80" s="1037"/>
      <c r="R80" s="1037"/>
      <c r="S80" s="1037"/>
      <c r="T80" s="1038"/>
      <c r="U80" s="1035"/>
      <c r="V80" s="1036"/>
      <c r="W80" s="1037"/>
      <c r="X80" s="1037"/>
      <c r="Y80" s="1037"/>
      <c r="Z80" s="1037"/>
      <c r="AA80" s="1038"/>
      <c r="AB80" s="1035"/>
      <c r="AC80" s="1036"/>
      <c r="AD80" s="1037"/>
      <c r="AE80" s="1037"/>
      <c r="AF80" s="1037"/>
      <c r="AG80" s="1037"/>
      <c r="AH80" s="1038"/>
      <c r="AI80" s="1055"/>
      <c r="AJ80" s="1036"/>
      <c r="AK80" s="1036"/>
      <c r="AL80" s="1040">
        <f>SUM(G81:AK81)</f>
        <v>0</v>
      </c>
      <c r="AM80" s="1041"/>
      <c r="AN80" s="1042"/>
      <c r="AO80" s="1043"/>
      <c r="AP80" s="1041"/>
      <c r="AQ80" s="1044"/>
      <c r="AR80" s="1044"/>
    </row>
    <row r="81" spans="1:44" ht="15.9" hidden="1" customHeight="1">
      <c r="A81" s="989"/>
      <c r="B81" s="2238"/>
      <c r="C81" s="2240"/>
      <c r="D81" s="2242"/>
      <c r="E81" s="2244"/>
      <c r="F81" s="1045" t="s">
        <v>1960</v>
      </c>
      <c r="G81" s="1046" t="str">
        <f t="shared" ref="G81:AK81" si="36">IF(G80&lt;&gt;"",VLOOKUP(G80,$AC$197:$AL$221,9,FALSE),"")</f>
        <v/>
      </c>
      <c r="H81" s="1047" t="str">
        <f t="shared" si="36"/>
        <v/>
      </c>
      <c r="I81" s="1047" t="str">
        <f t="shared" si="36"/>
        <v/>
      </c>
      <c r="J81" s="1047" t="str">
        <f t="shared" si="36"/>
        <v/>
      </c>
      <c r="K81" s="1047" t="str">
        <f t="shared" si="36"/>
        <v/>
      </c>
      <c r="L81" s="1047" t="str">
        <f t="shared" si="36"/>
        <v/>
      </c>
      <c r="M81" s="1048" t="str">
        <f t="shared" si="36"/>
        <v/>
      </c>
      <c r="N81" s="1046" t="str">
        <f t="shared" si="36"/>
        <v/>
      </c>
      <c r="O81" s="1047" t="str">
        <f t="shared" si="36"/>
        <v/>
      </c>
      <c r="P81" s="1047" t="str">
        <f t="shared" si="36"/>
        <v/>
      </c>
      <c r="Q81" s="1047" t="str">
        <f t="shared" si="36"/>
        <v/>
      </c>
      <c r="R81" s="1047" t="str">
        <f t="shared" si="36"/>
        <v/>
      </c>
      <c r="S81" s="1047" t="str">
        <f t="shared" si="36"/>
        <v/>
      </c>
      <c r="T81" s="1048" t="str">
        <f t="shared" si="36"/>
        <v/>
      </c>
      <c r="U81" s="1046" t="str">
        <f t="shared" si="36"/>
        <v/>
      </c>
      <c r="V81" s="1047" t="str">
        <f t="shared" si="36"/>
        <v/>
      </c>
      <c r="W81" s="1047" t="str">
        <f t="shared" si="36"/>
        <v/>
      </c>
      <c r="X81" s="1047" t="str">
        <f t="shared" si="36"/>
        <v/>
      </c>
      <c r="Y81" s="1047" t="str">
        <f t="shared" si="36"/>
        <v/>
      </c>
      <c r="Z81" s="1047" t="str">
        <f t="shared" si="36"/>
        <v/>
      </c>
      <c r="AA81" s="1048" t="str">
        <f t="shared" si="36"/>
        <v/>
      </c>
      <c r="AB81" s="1046" t="str">
        <f t="shared" si="36"/>
        <v/>
      </c>
      <c r="AC81" s="1047" t="str">
        <f t="shared" si="36"/>
        <v/>
      </c>
      <c r="AD81" s="1047" t="str">
        <f t="shared" si="36"/>
        <v/>
      </c>
      <c r="AE81" s="1047" t="str">
        <f t="shared" si="36"/>
        <v/>
      </c>
      <c r="AF81" s="1047" t="str">
        <f t="shared" si="36"/>
        <v/>
      </c>
      <c r="AG81" s="1047" t="str">
        <f t="shared" si="36"/>
        <v/>
      </c>
      <c r="AH81" s="1048" t="str">
        <f t="shared" si="36"/>
        <v/>
      </c>
      <c r="AI81" s="1049" t="str">
        <f t="shared" si="36"/>
        <v/>
      </c>
      <c r="AJ81" s="1047" t="str">
        <f t="shared" si="36"/>
        <v/>
      </c>
      <c r="AK81" s="1047" t="str">
        <f t="shared" si="36"/>
        <v/>
      </c>
      <c r="AL81" s="1050">
        <f>SUM(G81:AH81)</f>
        <v>0</v>
      </c>
      <c r="AM81" s="1051">
        <f>AL81/4</f>
        <v>0</v>
      </c>
      <c r="AN81" s="1052" t="str">
        <f>IF(C80="","",C80)</f>
        <v/>
      </c>
      <c r="AO81" s="1053" t="str">
        <f>IF(D80="","",D80)</f>
        <v/>
      </c>
      <c r="AP81" s="1054" t="str">
        <f>IF(D80&lt;&gt;"",VLOOKUP(D80,$AU$2:$AV$6,2,FALSE),"")</f>
        <v/>
      </c>
      <c r="AQ81" s="1051">
        <f>ROUNDDOWN(AL81/$AL$6,2)</f>
        <v>0</v>
      </c>
      <c r="AR81" s="1051">
        <f>IF(AP81=1,"",AQ81)</f>
        <v>0</v>
      </c>
    </row>
    <row r="82" spans="1:44" ht="15.9" hidden="1" customHeight="1">
      <c r="A82" s="989"/>
      <c r="B82" s="2238" t="s">
        <v>1996</v>
      </c>
      <c r="C82" s="2239"/>
      <c r="D82" s="2241"/>
      <c r="E82" s="2243"/>
      <c r="F82" s="1034" t="s">
        <v>1959</v>
      </c>
      <c r="G82" s="1035"/>
      <c r="H82" s="1036"/>
      <c r="I82" s="1037"/>
      <c r="J82" s="1037"/>
      <c r="K82" s="1037"/>
      <c r="L82" s="1037"/>
      <c r="M82" s="1038"/>
      <c r="N82" s="1035"/>
      <c r="O82" s="1036"/>
      <c r="P82" s="1037"/>
      <c r="Q82" s="1037"/>
      <c r="R82" s="1037"/>
      <c r="S82" s="1037"/>
      <c r="T82" s="1038"/>
      <c r="U82" s="1035"/>
      <c r="V82" s="1036"/>
      <c r="W82" s="1037"/>
      <c r="X82" s="1037"/>
      <c r="Y82" s="1037"/>
      <c r="Z82" s="1037"/>
      <c r="AA82" s="1038"/>
      <c r="AB82" s="1035"/>
      <c r="AC82" s="1036"/>
      <c r="AD82" s="1037"/>
      <c r="AE82" s="1037"/>
      <c r="AF82" s="1037"/>
      <c r="AG82" s="1037"/>
      <c r="AH82" s="1038"/>
      <c r="AI82" s="1039"/>
      <c r="AJ82" s="1037"/>
      <c r="AK82" s="1037"/>
      <c r="AL82" s="1040">
        <f>SUM(G83:AK83)</f>
        <v>0</v>
      </c>
      <c r="AM82" s="1041"/>
      <c r="AN82" s="1042"/>
      <c r="AO82" s="1043"/>
      <c r="AP82" s="1041"/>
      <c r="AQ82" s="1044"/>
      <c r="AR82" s="1044"/>
    </row>
    <row r="83" spans="1:44" ht="15.9" hidden="1" customHeight="1">
      <c r="A83" s="989"/>
      <c r="B83" s="2238"/>
      <c r="C83" s="2240"/>
      <c r="D83" s="2242"/>
      <c r="E83" s="2244"/>
      <c r="F83" s="1045" t="s">
        <v>1960</v>
      </c>
      <c r="G83" s="1046" t="str">
        <f t="shared" ref="G83:AK83" si="37">IF(G82&lt;&gt;"",VLOOKUP(G82,$AC$197:$AL$221,9,FALSE),"")</f>
        <v/>
      </c>
      <c r="H83" s="1047" t="str">
        <f t="shared" si="37"/>
        <v/>
      </c>
      <c r="I83" s="1047" t="str">
        <f t="shared" si="37"/>
        <v/>
      </c>
      <c r="J83" s="1047" t="str">
        <f t="shared" si="37"/>
        <v/>
      </c>
      <c r="K83" s="1047" t="str">
        <f t="shared" si="37"/>
        <v/>
      </c>
      <c r="L83" s="1047" t="str">
        <f t="shared" si="37"/>
        <v/>
      </c>
      <c r="M83" s="1048" t="str">
        <f t="shared" si="37"/>
        <v/>
      </c>
      <c r="N83" s="1046" t="str">
        <f t="shared" si="37"/>
        <v/>
      </c>
      <c r="O83" s="1047" t="str">
        <f t="shared" si="37"/>
        <v/>
      </c>
      <c r="P83" s="1047" t="str">
        <f t="shared" si="37"/>
        <v/>
      </c>
      <c r="Q83" s="1047" t="str">
        <f t="shared" si="37"/>
        <v/>
      </c>
      <c r="R83" s="1047" t="str">
        <f t="shared" si="37"/>
        <v/>
      </c>
      <c r="S83" s="1047" t="str">
        <f t="shared" si="37"/>
        <v/>
      </c>
      <c r="T83" s="1048" t="str">
        <f t="shared" si="37"/>
        <v/>
      </c>
      <c r="U83" s="1046" t="str">
        <f t="shared" si="37"/>
        <v/>
      </c>
      <c r="V83" s="1047" t="str">
        <f t="shared" si="37"/>
        <v/>
      </c>
      <c r="W83" s="1047" t="str">
        <f t="shared" si="37"/>
        <v/>
      </c>
      <c r="X83" s="1047" t="str">
        <f t="shared" si="37"/>
        <v/>
      </c>
      <c r="Y83" s="1047" t="str">
        <f t="shared" si="37"/>
        <v/>
      </c>
      <c r="Z83" s="1047" t="str">
        <f t="shared" si="37"/>
        <v/>
      </c>
      <c r="AA83" s="1048" t="str">
        <f t="shared" si="37"/>
        <v/>
      </c>
      <c r="AB83" s="1046" t="str">
        <f t="shared" si="37"/>
        <v/>
      </c>
      <c r="AC83" s="1047" t="str">
        <f t="shared" si="37"/>
        <v/>
      </c>
      <c r="AD83" s="1047" t="str">
        <f t="shared" si="37"/>
        <v/>
      </c>
      <c r="AE83" s="1047" t="str">
        <f t="shared" si="37"/>
        <v/>
      </c>
      <c r="AF83" s="1047" t="str">
        <f t="shared" si="37"/>
        <v/>
      </c>
      <c r="AG83" s="1047" t="str">
        <f t="shared" si="37"/>
        <v/>
      </c>
      <c r="AH83" s="1048" t="str">
        <f t="shared" si="37"/>
        <v/>
      </c>
      <c r="AI83" s="1049" t="str">
        <f t="shared" si="37"/>
        <v/>
      </c>
      <c r="AJ83" s="1047" t="str">
        <f t="shared" si="37"/>
        <v/>
      </c>
      <c r="AK83" s="1047" t="str">
        <f t="shared" si="37"/>
        <v/>
      </c>
      <c r="AL83" s="1050">
        <f>SUM(G83:AH83)</f>
        <v>0</v>
      </c>
      <c r="AM83" s="1051">
        <f>AL83/4</f>
        <v>0</v>
      </c>
      <c r="AN83" s="1052" t="str">
        <f>IF(C82="","",C82)</f>
        <v/>
      </c>
      <c r="AO83" s="1053" t="str">
        <f>IF(D82="","",D82)</f>
        <v/>
      </c>
      <c r="AP83" s="1054" t="str">
        <f>IF(D82&lt;&gt;"",VLOOKUP(D82,$AU$2:$AV$6,2,FALSE),"")</f>
        <v/>
      </c>
      <c r="AQ83" s="1051">
        <f>ROUNDDOWN(AL83/$AL$6,2)</f>
        <v>0</v>
      </c>
      <c r="AR83" s="1051">
        <f>IF(AP83=1,"",AQ83)</f>
        <v>0</v>
      </c>
    </row>
    <row r="84" spans="1:44" ht="15.9" hidden="1" customHeight="1">
      <c r="A84" s="989"/>
      <c r="B84" s="2238" t="s">
        <v>1997</v>
      </c>
      <c r="C84" s="2239"/>
      <c r="D84" s="2241"/>
      <c r="E84" s="2243"/>
      <c r="F84" s="1034" t="s">
        <v>1959</v>
      </c>
      <c r="G84" s="1035"/>
      <c r="H84" s="1036"/>
      <c r="I84" s="1037"/>
      <c r="J84" s="1037"/>
      <c r="K84" s="1037"/>
      <c r="L84" s="1037"/>
      <c r="M84" s="1038"/>
      <c r="N84" s="1035"/>
      <c r="O84" s="1036"/>
      <c r="P84" s="1037"/>
      <c r="Q84" s="1037"/>
      <c r="R84" s="1037"/>
      <c r="S84" s="1037"/>
      <c r="T84" s="1038"/>
      <c r="U84" s="1035"/>
      <c r="V84" s="1036"/>
      <c r="W84" s="1037"/>
      <c r="X84" s="1037"/>
      <c r="Y84" s="1037"/>
      <c r="Z84" s="1037"/>
      <c r="AA84" s="1038"/>
      <c r="AB84" s="1035"/>
      <c r="AC84" s="1036"/>
      <c r="AD84" s="1037"/>
      <c r="AE84" s="1037"/>
      <c r="AF84" s="1037"/>
      <c r="AG84" s="1037"/>
      <c r="AH84" s="1038"/>
      <c r="AI84" s="1039"/>
      <c r="AJ84" s="1037"/>
      <c r="AK84" s="1037"/>
      <c r="AL84" s="1040">
        <f>SUM(G85:AK85)</f>
        <v>0</v>
      </c>
      <c r="AM84" s="1041"/>
      <c r="AN84" s="1042"/>
      <c r="AO84" s="1043"/>
      <c r="AP84" s="1041"/>
      <c r="AQ84" s="1044"/>
      <c r="AR84" s="1044"/>
    </row>
    <row r="85" spans="1:44" ht="15.9" hidden="1" customHeight="1">
      <c r="A85" s="989"/>
      <c r="B85" s="2238"/>
      <c r="C85" s="2240"/>
      <c r="D85" s="2242"/>
      <c r="E85" s="2244"/>
      <c r="F85" s="1045" t="s">
        <v>1960</v>
      </c>
      <c r="G85" s="1046" t="str">
        <f t="shared" ref="G85:AK85" si="38">IF(G84&lt;&gt;"",VLOOKUP(G84,$AC$197:$AL$221,9,FALSE),"")</f>
        <v/>
      </c>
      <c r="H85" s="1047" t="str">
        <f t="shared" si="38"/>
        <v/>
      </c>
      <c r="I85" s="1047" t="str">
        <f t="shared" si="38"/>
        <v/>
      </c>
      <c r="J85" s="1047" t="str">
        <f t="shared" si="38"/>
        <v/>
      </c>
      <c r="K85" s="1047" t="str">
        <f t="shared" si="38"/>
        <v/>
      </c>
      <c r="L85" s="1047" t="str">
        <f t="shared" si="38"/>
        <v/>
      </c>
      <c r="M85" s="1048" t="str">
        <f t="shared" si="38"/>
        <v/>
      </c>
      <c r="N85" s="1046" t="str">
        <f t="shared" si="38"/>
        <v/>
      </c>
      <c r="O85" s="1047" t="str">
        <f t="shared" si="38"/>
        <v/>
      </c>
      <c r="P85" s="1047" t="str">
        <f t="shared" si="38"/>
        <v/>
      </c>
      <c r="Q85" s="1047" t="str">
        <f t="shared" si="38"/>
        <v/>
      </c>
      <c r="R85" s="1047" t="str">
        <f t="shared" si="38"/>
        <v/>
      </c>
      <c r="S85" s="1047" t="str">
        <f t="shared" si="38"/>
        <v/>
      </c>
      <c r="T85" s="1048" t="str">
        <f t="shared" si="38"/>
        <v/>
      </c>
      <c r="U85" s="1046" t="str">
        <f t="shared" si="38"/>
        <v/>
      </c>
      <c r="V85" s="1047" t="str">
        <f t="shared" si="38"/>
        <v/>
      </c>
      <c r="W85" s="1047" t="str">
        <f t="shared" si="38"/>
        <v/>
      </c>
      <c r="X85" s="1047" t="str">
        <f t="shared" si="38"/>
        <v/>
      </c>
      <c r="Y85" s="1047" t="str">
        <f t="shared" si="38"/>
        <v/>
      </c>
      <c r="Z85" s="1047" t="str">
        <f t="shared" si="38"/>
        <v/>
      </c>
      <c r="AA85" s="1048" t="str">
        <f t="shared" si="38"/>
        <v/>
      </c>
      <c r="AB85" s="1046" t="str">
        <f t="shared" si="38"/>
        <v/>
      </c>
      <c r="AC85" s="1047" t="str">
        <f t="shared" si="38"/>
        <v/>
      </c>
      <c r="AD85" s="1047" t="str">
        <f t="shared" si="38"/>
        <v/>
      </c>
      <c r="AE85" s="1047" t="str">
        <f t="shared" si="38"/>
        <v/>
      </c>
      <c r="AF85" s="1047" t="str">
        <f t="shared" si="38"/>
        <v/>
      </c>
      <c r="AG85" s="1047" t="str">
        <f t="shared" si="38"/>
        <v/>
      </c>
      <c r="AH85" s="1048" t="str">
        <f t="shared" si="38"/>
        <v/>
      </c>
      <c r="AI85" s="1049" t="str">
        <f t="shared" si="38"/>
        <v/>
      </c>
      <c r="AJ85" s="1047" t="str">
        <f t="shared" si="38"/>
        <v/>
      </c>
      <c r="AK85" s="1047" t="str">
        <f t="shared" si="38"/>
        <v/>
      </c>
      <c r="AL85" s="1050">
        <f>SUM(G85:AH85)</f>
        <v>0</v>
      </c>
      <c r="AM85" s="1051">
        <f>AL85/4</f>
        <v>0</v>
      </c>
      <c r="AN85" s="1052" t="str">
        <f>IF(C84="","",C84)</f>
        <v/>
      </c>
      <c r="AO85" s="1053" t="str">
        <f>IF(D84="","",D84)</f>
        <v/>
      </c>
      <c r="AP85" s="1054" t="str">
        <f>IF(D84&lt;&gt;"",VLOOKUP(D84,$AU$2:$AV$6,2,FALSE),"")</f>
        <v/>
      </c>
      <c r="AQ85" s="1051">
        <f>ROUNDDOWN(AL85/$AL$6,2)</f>
        <v>0</v>
      </c>
      <c r="AR85" s="1051">
        <f>IF(AP85=1,"",AQ85)</f>
        <v>0</v>
      </c>
    </row>
    <row r="86" spans="1:44" ht="15.9" hidden="1" customHeight="1">
      <c r="A86" s="989"/>
      <c r="B86" s="2238" t="s">
        <v>1998</v>
      </c>
      <c r="C86" s="2239"/>
      <c r="D86" s="2241"/>
      <c r="E86" s="2243"/>
      <c r="F86" s="1034" t="s">
        <v>1959</v>
      </c>
      <c r="G86" s="1035"/>
      <c r="H86" s="1036"/>
      <c r="I86" s="1037"/>
      <c r="J86" s="1037"/>
      <c r="K86" s="1037"/>
      <c r="L86" s="1037"/>
      <c r="M86" s="1038"/>
      <c r="N86" s="1035"/>
      <c r="O86" s="1036"/>
      <c r="P86" s="1037"/>
      <c r="Q86" s="1037"/>
      <c r="R86" s="1037"/>
      <c r="S86" s="1037"/>
      <c r="T86" s="1038"/>
      <c r="U86" s="1035"/>
      <c r="V86" s="1036"/>
      <c r="W86" s="1037"/>
      <c r="X86" s="1037"/>
      <c r="Y86" s="1037"/>
      <c r="Z86" s="1037"/>
      <c r="AA86" s="1038"/>
      <c r="AB86" s="1035"/>
      <c r="AC86" s="1036"/>
      <c r="AD86" s="1037"/>
      <c r="AE86" s="1037"/>
      <c r="AF86" s="1037"/>
      <c r="AG86" s="1037"/>
      <c r="AH86" s="1038"/>
      <c r="AI86" s="1055"/>
      <c r="AJ86" s="1036"/>
      <c r="AK86" s="1036"/>
      <c r="AL86" s="1040">
        <f>SUM(G87:AK87)</f>
        <v>0</v>
      </c>
      <c r="AM86" s="1041"/>
      <c r="AN86" s="1042"/>
      <c r="AO86" s="1043"/>
      <c r="AP86" s="1041"/>
      <c r="AQ86" s="1044"/>
      <c r="AR86" s="1044"/>
    </row>
    <row r="87" spans="1:44" ht="15.9" hidden="1" customHeight="1">
      <c r="A87" s="989"/>
      <c r="B87" s="2238"/>
      <c r="C87" s="2240"/>
      <c r="D87" s="2242"/>
      <c r="E87" s="2244"/>
      <c r="F87" s="1045" t="s">
        <v>1960</v>
      </c>
      <c r="G87" s="1046" t="str">
        <f t="shared" ref="G87:AK87" si="39">IF(G86&lt;&gt;"",VLOOKUP(G86,$AC$197:$AL$221,9,FALSE),"")</f>
        <v/>
      </c>
      <c r="H87" s="1047" t="str">
        <f t="shared" si="39"/>
        <v/>
      </c>
      <c r="I87" s="1047" t="str">
        <f t="shared" si="39"/>
        <v/>
      </c>
      <c r="J87" s="1047" t="str">
        <f t="shared" si="39"/>
        <v/>
      </c>
      <c r="K87" s="1047" t="str">
        <f t="shared" si="39"/>
        <v/>
      </c>
      <c r="L87" s="1047" t="str">
        <f t="shared" si="39"/>
        <v/>
      </c>
      <c r="M87" s="1048" t="str">
        <f t="shared" si="39"/>
        <v/>
      </c>
      <c r="N87" s="1046" t="str">
        <f t="shared" si="39"/>
        <v/>
      </c>
      <c r="O87" s="1047" t="str">
        <f t="shared" si="39"/>
        <v/>
      </c>
      <c r="P87" s="1047" t="str">
        <f t="shared" si="39"/>
        <v/>
      </c>
      <c r="Q87" s="1047" t="str">
        <f t="shared" si="39"/>
        <v/>
      </c>
      <c r="R87" s="1047" t="str">
        <f t="shared" si="39"/>
        <v/>
      </c>
      <c r="S87" s="1047" t="str">
        <f t="shared" si="39"/>
        <v/>
      </c>
      <c r="T87" s="1048" t="str">
        <f t="shared" si="39"/>
        <v/>
      </c>
      <c r="U87" s="1046" t="str">
        <f t="shared" si="39"/>
        <v/>
      </c>
      <c r="V87" s="1047" t="str">
        <f t="shared" si="39"/>
        <v/>
      </c>
      <c r="W87" s="1047" t="str">
        <f t="shared" si="39"/>
        <v/>
      </c>
      <c r="X87" s="1047" t="str">
        <f t="shared" si="39"/>
        <v/>
      </c>
      <c r="Y87" s="1047" t="str">
        <f t="shared" si="39"/>
        <v/>
      </c>
      <c r="Z87" s="1047" t="str">
        <f t="shared" si="39"/>
        <v/>
      </c>
      <c r="AA87" s="1048" t="str">
        <f t="shared" si="39"/>
        <v/>
      </c>
      <c r="AB87" s="1046" t="str">
        <f t="shared" si="39"/>
        <v/>
      </c>
      <c r="AC87" s="1047" t="str">
        <f t="shared" si="39"/>
        <v/>
      </c>
      <c r="AD87" s="1047" t="str">
        <f t="shared" si="39"/>
        <v/>
      </c>
      <c r="AE87" s="1047" t="str">
        <f t="shared" si="39"/>
        <v/>
      </c>
      <c r="AF87" s="1047" t="str">
        <f t="shared" si="39"/>
        <v/>
      </c>
      <c r="AG87" s="1047" t="str">
        <f t="shared" si="39"/>
        <v/>
      </c>
      <c r="AH87" s="1048" t="str">
        <f t="shared" si="39"/>
        <v/>
      </c>
      <c r="AI87" s="1049" t="str">
        <f t="shared" si="39"/>
        <v/>
      </c>
      <c r="AJ87" s="1047" t="str">
        <f t="shared" si="39"/>
        <v/>
      </c>
      <c r="AK87" s="1047" t="str">
        <f t="shared" si="39"/>
        <v/>
      </c>
      <c r="AL87" s="1050">
        <f>SUM(G87:AH87)</f>
        <v>0</v>
      </c>
      <c r="AM87" s="1051">
        <f>AL87/4</f>
        <v>0</v>
      </c>
      <c r="AN87" s="1052" t="str">
        <f>IF(C86="","",C86)</f>
        <v/>
      </c>
      <c r="AO87" s="1053" t="str">
        <f>IF(D86="","",D86)</f>
        <v/>
      </c>
      <c r="AP87" s="1054" t="str">
        <f>IF(D86&lt;&gt;"",VLOOKUP(D86,$AU$2:$AV$6,2,FALSE),"")</f>
        <v/>
      </c>
      <c r="AQ87" s="1051">
        <f>ROUNDDOWN(AL87/$AL$6,2)</f>
        <v>0</v>
      </c>
      <c r="AR87" s="1051">
        <f>IF(AP87=1,"",AQ87)</f>
        <v>0</v>
      </c>
    </row>
    <row r="88" spans="1:44" ht="15.9" hidden="1" customHeight="1">
      <c r="A88" s="989"/>
      <c r="B88" s="2238" t="s">
        <v>1999</v>
      </c>
      <c r="C88" s="2239"/>
      <c r="D88" s="2241"/>
      <c r="E88" s="2243"/>
      <c r="F88" s="1034" t="s">
        <v>1959</v>
      </c>
      <c r="G88" s="1035"/>
      <c r="H88" s="1036"/>
      <c r="I88" s="1037"/>
      <c r="J88" s="1037"/>
      <c r="K88" s="1037"/>
      <c r="L88" s="1037"/>
      <c r="M88" s="1038"/>
      <c r="N88" s="1035"/>
      <c r="O88" s="1036"/>
      <c r="P88" s="1037"/>
      <c r="Q88" s="1037"/>
      <c r="R88" s="1037"/>
      <c r="S88" s="1037"/>
      <c r="T88" s="1038"/>
      <c r="U88" s="1035"/>
      <c r="V88" s="1036"/>
      <c r="W88" s="1037"/>
      <c r="X88" s="1037"/>
      <c r="Y88" s="1037"/>
      <c r="Z88" s="1037"/>
      <c r="AA88" s="1038"/>
      <c r="AB88" s="1035"/>
      <c r="AC88" s="1036"/>
      <c r="AD88" s="1037"/>
      <c r="AE88" s="1037"/>
      <c r="AF88" s="1037"/>
      <c r="AG88" s="1037"/>
      <c r="AH88" s="1038"/>
      <c r="AI88" s="1055"/>
      <c r="AJ88" s="1036"/>
      <c r="AK88" s="1036"/>
      <c r="AL88" s="1040">
        <f>SUM(G89:AK89)</f>
        <v>0</v>
      </c>
      <c r="AM88" s="1041"/>
      <c r="AN88" s="1042"/>
      <c r="AO88" s="1043"/>
      <c r="AP88" s="1041"/>
      <c r="AQ88" s="1044"/>
      <c r="AR88" s="1044"/>
    </row>
    <row r="89" spans="1:44" ht="15.9" hidden="1" customHeight="1">
      <c r="A89" s="989"/>
      <c r="B89" s="2238"/>
      <c r="C89" s="2240"/>
      <c r="D89" s="2242"/>
      <c r="E89" s="2244"/>
      <c r="F89" s="1045" t="s">
        <v>1960</v>
      </c>
      <c r="G89" s="1046" t="str">
        <f t="shared" ref="G89:AK89" si="40">IF(G88&lt;&gt;"",VLOOKUP(G88,$AC$197:$AL$221,9,FALSE),"")</f>
        <v/>
      </c>
      <c r="H89" s="1047" t="str">
        <f t="shared" si="40"/>
        <v/>
      </c>
      <c r="I89" s="1047" t="str">
        <f t="shared" si="40"/>
        <v/>
      </c>
      <c r="J89" s="1047" t="str">
        <f t="shared" si="40"/>
        <v/>
      </c>
      <c r="K89" s="1047" t="str">
        <f t="shared" si="40"/>
        <v/>
      </c>
      <c r="L89" s="1047" t="str">
        <f t="shared" si="40"/>
        <v/>
      </c>
      <c r="M89" s="1048" t="str">
        <f t="shared" si="40"/>
        <v/>
      </c>
      <c r="N89" s="1046" t="str">
        <f t="shared" si="40"/>
        <v/>
      </c>
      <c r="O89" s="1047" t="str">
        <f t="shared" si="40"/>
        <v/>
      </c>
      <c r="P89" s="1047" t="str">
        <f t="shared" si="40"/>
        <v/>
      </c>
      <c r="Q89" s="1047" t="str">
        <f t="shared" si="40"/>
        <v/>
      </c>
      <c r="R89" s="1047" t="str">
        <f t="shared" si="40"/>
        <v/>
      </c>
      <c r="S89" s="1047" t="str">
        <f t="shared" si="40"/>
        <v/>
      </c>
      <c r="T89" s="1048" t="str">
        <f t="shared" si="40"/>
        <v/>
      </c>
      <c r="U89" s="1046" t="str">
        <f t="shared" si="40"/>
        <v/>
      </c>
      <c r="V89" s="1047" t="str">
        <f t="shared" si="40"/>
        <v/>
      </c>
      <c r="W89" s="1047" t="str">
        <f t="shared" si="40"/>
        <v/>
      </c>
      <c r="X89" s="1047" t="str">
        <f t="shared" si="40"/>
        <v/>
      </c>
      <c r="Y89" s="1047" t="str">
        <f t="shared" si="40"/>
        <v/>
      </c>
      <c r="Z89" s="1047" t="str">
        <f t="shared" si="40"/>
        <v/>
      </c>
      <c r="AA89" s="1048" t="str">
        <f t="shared" si="40"/>
        <v/>
      </c>
      <c r="AB89" s="1046" t="str">
        <f t="shared" si="40"/>
        <v/>
      </c>
      <c r="AC89" s="1047" t="str">
        <f t="shared" si="40"/>
        <v/>
      </c>
      <c r="AD89" s="1047" t="str">
        <f t="shared" si="40"/>
        <v/>
      </c>
      <c r="AE89" s="1047" t="str">
        <f t="shared" si="40"/>
        <v/>
      </c>
      <c r="AF89" s="1047" t="str">
        <f t="shared" si="40"/>
        <v/>
      </c>
      <c r="AG89" s="1047" t="str">
        <f t="shared" si="40"/>
        <v/>
      </c>
      <c r="AH89" s="1048" t="str">
        <f t="shared" si="40"/>
        <v/>
      </c>
      <c r="AI89" s="1049" t="str">
        <f t="shared" si="40"/>
        <v/>
      </c>
      <c r="AJ89" s="1047" t="str">
        <f t="shared" si="40"/>
        <v/>
      </c>
      <c r="AK89" s="1047" t="str">
        <f t="shared" si="40"/>
        <v/>
      </c>
      <c r="AL89" s="1050">
        <f>SUM(G89:AH89)</f>
        <v>0</v>
      </c>
      <c r="AM89" s="1051">
        <f>AL89/4</f>
        <v>0</v>
      </c>
      <c r="AN89" s="1052" t="str">
        <f>IF(C88="","",C88)</f>
        <v/>
      </c>
      <c r="AO89" s="1053" t="str">
        <f>IF(D88="","",D88)</f>
        <v/>
      </c>
      <c r="AP89" s="1054" t="str">
        <f>IF(D88&lt;&gt;"",VLOOKUP(D88,$AU$2:$AV$6,2,FALSE),"")</f>
        <v/>
      </c>
      <c r="AQ89" s="1051">
        <f>ROUNDDOWN(AL89/$AL$6,2)</f>
        <v>0</v>
      </c>
      <c r="AR89" s="1051">
        <f>IF(AP89=1,"",AQ89)</f>
        <v>0</v>
      </c>
    </row>
    <row r="90" spans="1:44" ht="15.9" hidden="1" customHeight="1">
      <c r="A90" s="989"/>
      <c r="B90" s="2238" t="s">
        <v>2000</v>
      </c>
      <c r="C90" s="2239"/>
      <c r="D90" s="2241"/>
      <c r="E90" s="2243"/>
      <c r="F90" s="1034" t="s">
        <v>1959</v>
      </c>
      <c r="G90" s="1035"/>
      <c r="H90" s="1036"/>
      <c r="I90" s="1037"/>
      <c r="J90" s="1037"/>
      <c r="K90" s="1037"/>
      <c r="L90" s="1037"/>
      <c r="M90" s="1038"/>
      <c r="N90" s="1035"/>
      <c r="O90" s="1036"/>
      <c r="P90" s="1037"/>
      <c r="Q90" s="1037"/>
      <c r="R90" s="1037"/>
      <c r="S90" s="1037"/>
      <c r="T90" s="1038"/>
      <c r="U90" s="1035"/>
      <c r="V90" s="1036"/>
      <c r="W90" s="1037"/>
      <c r="X90" s="1037"/>
      <c r="Y90" s="1037"/>
      <c r="Z90" s="1037"/>
      <c r="AA90" s="1038"/>
      <c r="AB90" s="1035"/>
      <c r="AC90" s="1036"/>
      <c r="AD90" s="1037"/>
      <c r="AE90" s="1037"/>
      <c r="AF90" s="1037"/>
      <c r="AG90" s="1037"/>
      <c r="AH90" s="1038"/>
      <c r="AI90" s="1039"/>
      <c r="AJ90" s="1037"/>
      <c r="AK90" s="1037"/>
      <c r="AL90" s="1040">
        <f>SUM(G91:AK91)</f>
        <v>0</v>
      </c>
      <c r="AM90" s="1041"/>
      <c r="AN90" s="1042"/>
      <c r="AO90" s="1043"/>
      <c r="AP90" s="1041"/>
      <c r="AQ90" s="1044"/>
      <c r="AR90" s="1044"/>
    </row>
    <row r="91" spans="1:44" ht="15.9" hidden="1" customHeight="1">
      <c r="A91" s="989"/>
      <c r="B91" s="2238"/>
      <c r="C91" s="2240"/>
      <c r="D91" s="2242"/>
      <c r="E91" s="2244"/>
      <c r="F91" s="1045" t="s">
        <v>1960</v>
      </c>
      <c r="G91" s="1046" t="str">
        <f t="shared" ref="G91:AK91" si="41">IF(G90&lt;&gt;"",VLOOKUP(G90,$AC$197:$AL$221,9,FALSE),"")</f>
        <v/>
      </c>
      <c r="H91" s="1047" t="str">
        <f t="shared" si="41"/>
        <v/>
      </c>
      <c r="I91" s="1047" t="str">
        <f t="shared" si="41"/>
        <v/>
      </c>
      <c r="J91" s="1047" t="str">
        <f t="shared" si="41"/>
        <v/>
      </c>
      <c r="K91" s="1047" t="str">
        <f t="shared" si="41"/>
        <v/>
      </c>
      <c r="L91" s="1047" t="str">
        <f t="shared" si="41"/>
        <v/>
      </c>
      <c r="M91" s="1048" t="str">
        <f t="shared" si="41"/>
        <v/>
      </c>
      <c r="N91" s="1046" t="str">
        <f t="shared" si="41"/>
        <v/>
      </c>
      <c r="O91" s="1047" t="str">
        <f t="shared" si="41"/>
        <v/>
      </c>
      <c r="P91" s="1047" t="str">
        <f t="shared" si="41"/>
        <v/>
      </c>
      <c r="Q91" s="1047" t="str">
        <f t="shared" si="41"/>
        <v/>
      </c>
      <c r="R91" s="1047" t="str">
        <f t="shared" si="41"/>
        <v/>
      </c>
      <c r="S91" s="1047" t="str">
        <f t="shared" si="41"/>
        <v/>
      </c>
      <c r="T91" s="1048" t="str">
        <f t="shared" si="41"/>
        <v/>
      </c>
      <c r="U91" s="1046" t="str">
        <f t="shared" si="41"/>
        <v/>
      </c>
      <c r="V91" s="1047" t="str">
        <f t="shared" si="41"/>
        <v/>
      </c>
      <c r="W91" s="1047" t="str">
        <f t="shared" si="41"/>
        <v/>
      </c>
      <c r="X91" s="1047" t="str">
        <f t="shared" si="41"/>
        <v/>
      </c>
      <c r="Y91" s="1047" t="str">
        <f t="shared" si="41"/>
        <v/>
      </c>
      <c r="Z91" s="1047" t="str">
        <f t="shared" si="41"/>
        <v/>
      </c>
      <c r="AA91" s="1048" t="str">
        <f t="shared" si="41"/>
        <v/>
      </c>
      <c r="AB91" s="1046" t="str">
        <f t="shared" si="41"/>
        <v/>
      </c>
      <c r="AC91" s="1047" t="str">
        <f t="shared" si="41"/>
        <v/>
      </c>
      <c r="AD91" s="1047" t="str">
        <f t="shared" si="41"/>
        <v/>
      </c>
      <c r="AE91" s="1047" t="str">
        <f t="shared" si="41"/>
        <v/>
      </c>
      <c r="AF91" s="1047" t="str">
        <f t="shared" si="41"/>
        <v/>
      </c>
      <c r="AG91" s="1047" t="str">
        <f t="shared" si="41"/>
        <v/>
      </c>
      <c r="AH91" s="1048" t="str">
        <f t="shared" si="41"/>
        <v/>
      </c>
      <c r="AI91" s="1049" t="str">
        <f t="shared" si="41"/>
        <v/>
      </c>
      <c r="AJ91" s="1047" t="str">
        <f t="shared" si="41"/>
        <v/>
      </c>
      <c r="AK91" s="1047" t="str">
        <f t="shared" si="41"/>
        <v/>
      </c>
      <c r="AL91" s="1050">
        <f>SUM(G91:AH91)</f>
        <v>0</v>
      </c>
      <c r="AM91" s="1051">
        <f>AL91/4</f>
        <v>0</v>
      </c>
      <c r="AN91" s="1052" t="str">
        <f>IF(C90="","",C90)</f>
        <v/>
      </c>
      <c r="AO91" s="1053" t="str">
        <f>IF(D90="","",D90)</f>
        <v/>
      </c>
      <c r="AP91" s="1054" t="str">
        <f>IF(D90&lt;&gt;"",VLOOKUP(D90,$AU$2:$AV$6,2,FALSE),"")</f>
        <v/>
      </c>
      <c r="AQ91" s="1051">
        <f>ROUNDDOWN(AL91/$AL$6,2)</f>
        <v>0</v>
      </c>
      <c r="AR91" s="1051">
        <f>IF(AP91=1,"",AQ91)</f>
        <v>0</v>
      </c>
    </row>
    <row r="92" spans="1:44" ht="15.9" hidden="1" customHeight="1">
      <c r="A92" s="989"/>
      <c r="B92" s="2238" t="s">
        <v>2001</v>
      </c>
      <c r="C92" s="2239"/>
      <c r="D92" s="2241"/>
      <c r="E92" s="2243"/>
      <c r="F92" s="1034" t="s">
        <v>1959</v>
      </c>
      <c r="G92" s="1035"/>
      <c r="H92" s="1036"/>
      <c r="I92" s="1037"/>
      <c r="J92" s="1037"/>
      <c r="K92" s="1037"/>
      <c r="L92" s="1037"/>
      <c r="M92" s="1038"/>
      <c r="N92" s="1035"/>
      <c r="O92" s="1036"/>
      <c r="P92" s="1037"/>
      <c r="Q92" s="1037"/>
      <c r="R92" s="1037"/>
      <c r="S92" s="1037"/>
      <c r="T92" s="1038"/>
      <c r="U92" s="1035"/>
      <c r="V92" s="1036"/>
      <c r="W92" s="1037"/>
      <c r="X92" s="1037"/>
      <c r="Y92" s="1037"/>
      <c r="Z92" s="1037"/>
      <c r="AA92" s="1038"/>
      <c r="AB92" s="1035"/>
      <c r="AC92" s="1036"/>
      <c r="AD92" s="1037"/>
      <c r="AE92" s="1037"/>
      <c r="AF92" s="1037"/>
      <c r="AG92" s="1037"/>
      <c r="AH92" s="1038"/>
      <c r="AI92" s="1039"/>
      <c r="AJ92" s="1037"/>
      <c r="AK92" s="1037"/>
      <c r="AL92" s="1040">
        <f>SUM(G93:AK93)</f>
        <v>0</v>
      </c>
      <c r="AM92" s="1041"/>
      <c r="AN92" s="1042"/>
      <c r="AO92" s="1043"/>
      <c r="AP92" s="1041"/>
      <c r="AQ92" s="1044"/>
      <c r="AR92" s="1044"/>
    </row>
    <row r="93" spans="1:44" ht="15.9" hidden="1" customHeight="1">
      <c r="A93" s="989"/>
      <c r="B93" s="2238"/>
      <c r="C93" s="2240"/>
      <c r="D93" s="2242"/>
      <c r="E93" s="2244"/>
      <c r="F93" s="1045" t="s">
        <v>1960</v>
      </c>
      <c r="G93" s="1046" t="str">
        <f t="shared" ref="G93:AK93" si="42">IF(G92&lt;&gt;"",VLOOKUP(G92,$AC$197:$AL$221,9,FALSE),"")</f>
        <v/>
      </c>
      <c r="H93" s="1047" t="str">
        <f t="shared" si="42"/>
        <v/>
      </c>
      <c r="I93" s="1047" t="str">
        <f t="shared" si="42"/>
        <v/>
      </c>
      <c r="J93" s="1047" t="str">
        <f t="shared" si="42"/>
        <v/>
      </c>
      <c r="K93" s="1047" t="str">
        <f t="shared" si="42"/>
        <v/>
      </c>
      <c r="L93" s="1047" t="str">
        <f t="shared" si="42"/>
        <v/>
      </c>
      <c r="M93" s="1048" t="str">
        <f t="shared" si="42"/>
        <v/>
      </c>
      <c r="N93" s="1046" t="str">
        <f t="shared" si="42"/>
        <v/>
      </c>
      <c r="O93" s="1047" t="str">
        <f t="shared" si="42"/>
        <v/>
      </c>
      <c r="P93" s="1047" t="str">
        <f t="shared" si="42"/>
        <v/>
      </c>
      <c r="Q93" s="1047" t="str">
        <f t="shared" si="42"/>
        <v/>
      </c>
      <c r="R93" s="1047" t="str">
        <f t="shared" si="42"/>
        <v/>
      </c>
      <c r="S93" s="1047" t="str">
        <f t="shared" si="42"/>
        <v/>
      </c>
      <c r="T93" s="1048" t="str">
        <f t="shared" si="42"/>
        <v/>
      </c>
      <c r="U93" s="1046" t="str">
        <f t="shared" si="42"/>
        <v/>
      </c>
      <c r="V93" s="1047" t="str">
        <f t="shared" si="42"/>
        <v/>
      </c>
      <c r="W93" s="1047" t="str">
        <f t="shared" si="42"/>
        <v/>
      </c>
      <c r="X93" s="1047" t="str">
        <f t="shared" si="42"/>
        <v/>
      </c>
      <c r="Y93" s="1047" t="str">
        <f t="shared" si="42"/>
        <v/>
      </c>
      <c r="Z93" s="1047" t="str">
        <f t="shared" si="42"/>
        <v/>
      </c>
      <c r="AA93" s="1048" t="str">
        <f t="shared" si="42"/>
        <v/>
      </c>
      <c r="AB93" s="1046" t="str">
        <f t="shared" si="42"/>
        <v/>
      </c>
      <c r="AC93" s="1047" t="str">
        <f t="shared" si="42"/>
        <v/>
      </c>
      <c r="AD93" s="1047" t="str">
        <f t="shared" si="42"/>
        <v/>
      </c>
      <c r="AE93" s="1047" t="str">
        <f t="shared" si="42"/>
        <v/>
      </c>
      <c r="AF93" s="1047" t="str">
        <f t="shared" si="42"/>
        <v/>
      </c>
      <c r="AG93" s="1047" t="str">
        <f t="shared" si="42"/>
        <v/>
      </c>
      <c r="AH93" s="1048" t="str">
        <f t="shared" si="42"/>
        <v/>
      </c>
      <c r="AI93" s="1049" t="str">
        <f t="shared" si="42"/>
        <v/>
      </c>
      <c r="AJ93" s="1047" t="str">
        <f t="shared" si="42"/>
        <v/>
      </c>
      <c r="AK93" s="1047" t="str">
        <f t="shared" si="42"/>
        <v/>
      </c>
      <c r="AL93" s="1050">
        <f>SUM(G93:AH93)</f>
        <v>0</v>
      </c>
      <c r="AM93" s="1051">
        <f>AL93/4</f>
        <v>0</v>
      </c>
      <c r="AN93" s="1052" t="str">
        <f>IF(C92="","",C92)</f>
        <v/>
      </c>
      <c r="AO93" s="1053" t="str">
        <f>IF(D92="","",D92)</f>
        <v/>
      </c>
      <c r="AP93" s="1054" t="str">
        <f>IF(D92&lt;&gt;"",VLOOKUP(D92,$AU$2:$AV$6,2,FALSE),"")</f>
        <v/>
      </c>
      <c r="AQ93" s="1051">
        <f>ROUNDDOWN(AL93/$AL$6,2)</f>
        <v>0</v>
      </c>
      <c r="AR93" s="1051">
        <f>IF(AP93=1,"",AQ93)</f>
        <v>0</v>
      </c>
    </row>
    <row r="94" spans="1:44" ht="15.9" hidden="1" customHeight="1">
      <c r="A94" s="989"/>
      <c r="B94" s="2238" t="s">
        <v>2002</v>
      </c>
      <c r="C94" s="2239"/>
      <c r="D94" s="2241"/>
      <c r="E94" s="2243"/>
      <c r="F94" s="1034" t="s">
        <v>1959</v>
      </c>
      <c r="G94" s="1035"/>
      <c r="H94" s="1036"/>
      <c r="I94" s="1037"/>
      <c r="J94" s="1037"/>
      <c r="K94" s="1037"/>
      <c r="L94" s="1037"/>
      <c r="M94" s="1038"/>
      <c r="N94" s="1035"/>
      <c r="O94" s="1036"/>
      <c r="P94" s="1037"/>
      <c r="Q94" s="1037"/>
      <c r="R94" s="1037"/>
      <c r="S94" s="1037"/>
      <c r="T94" s="1038"/>
      <c r="U94" s="1035"/>
      <c r="V94" s="1036"/>
      <c r="W94" s="1037"/>
      <c r="X94" s="1037"/>
      <c r="Y94" s="1037"/>
      <c r="Z94" s="1037"/>
      <c r="AA94" s="1038"/>
      <c r="AB94" s="1035"/>
      <c r="AC94" s="1036"/>
      <c r="AD94" s="1037"/>
      <c r="AE94" s="1037"/>
      <c r="AF94" s="1037"/>
      <c r="AG94" s="1037"/>
      <c r="AH94" s="1038"/>
      <c r="AI94" s="1055"/>
      <c r="AJ94" s="1036"/>
      <c r="AK94" s="1036"/>
      <c r="AL94" s="1040">
        <f>SUM(G95:AK95)</f>
        <v>0</v>
      </c>
      <c r="AM94" s="1041"/>
      <c r="AN94" s="1042"/>
      <c r="AO94" s="1043"/>
      <c r="AP94" s="1041"/>
      <c r="AQ94" s="1044"/>
      <c r="AR94" s="1044"/>
    </row>
    <row r="95" spans="1:44" ht="15.9" hidden="1" customHeight="1">
      <c r="A95" s="989"/>
      <c r="B95" s="2238"/>
      <c r="C95" s="2240"/>
      <c r="D95" s="2242"/>
      <c r="E95" s="2244"/>
      <c r="F95" s="1045" t="s">
        <v>1960</v>
      </c>
      <c r="G95" s="1046" t="str">
        <f t="shared" ref="G95:AK95" si="43">IF(G94&lt;&gt;"",VLOOKUP(G94,$AC$197:$AL$221,9,FALSE),"")</f>
        <v/>
      </c>
      <c r="H95" s="1047" t="str">
        <f t="shared" si="43"/>
        <v/>
      </c>
      <c r="I95" s="1047" t="str">
        <f t="shared" si="43"/>
        <v/>
      </c>
      <c r="J95" s="1047" t="str">
        <f t="shared" si="43"/>
        <v/>
      </c>
      <c r="K95" s="1047" t="str">
        <f t="shared" si="43"/>
        <v/>
      </c>
      <c r="L95" s="1047" t="str">
        <f t="shared" si="43"/>
        <v/>
      </c>
      <c r="M95" s="1048" t="str">
        <f t="shared" si="43"/>
        <v/>
      </c>
      <c r="N95" s="1046" t="str">
        <f t="shared" si="43"/>
        <v/>
      </c>
      <c r="O95" s="1047" t="str">
        <f t="shared" si="43"/>
        <v/>
      </c>
      <c r="P95" s="1047" t="str">
        <f t="shared" si="43"/>
        <v/>
      </c>
      <c r="Q95" s="1047" t="str">
        <f t="shared" si="43"/>
        <v/>
      </c>
      <c r="R95" s="1047" t="str">
        <f t="shared" si="43"/>
        <v/>
      </c>
      <c r="S95" s="1047" t="str">
        <f t="shared" si="43"/>
        <v/>
      </c>
      <c r="T95" s="1048" t="str">
        <f t="shared" si="43"/>
        <v/>
      </c>
      <c r="U95" s="1046" t="str">
        <f t="shared" si="43"/>
        <v/>
      </c>
      <c r="V95" s="1047" t="str">
        <f t="shared" si="43"/>
        <v/>
      </c>
      <c r="W95" s="1047" t="str">
        <f t="shared" si="43"/>
        <v/>
      </c>
      <c r="X95" s="1047" t="str">
        <f t="shared" si="43"/>
        <v/>
      </c>
      <c r="Y95" s="1047" t="str">
        <f t="shared" si="43"/>
        <v/>
      </c>
      <c r="Z95" s="1047" t="str">
        <f t="shared" si="43"/>
        <v/>
      </c>
      <c r="AA95" s="1048" t="str">
        <f t="shared" si="43"/>
        <v/>
      </c>
      <c r="AB95" s="1046" t="str">
        <f t="shared" si="43"/>
        <v/>
      </c>
      <c r="AC95" s="1047" t="str">
        <f t="shared" si="43"/>
        <v/>
      </c>
      <c r="AD95" s="1047" t="str">
        <f t="shared" si="43"/>
        <v/>
      </c>
      <c r="AE95" s="1047" t="str">
        <f t="shared" si="43"/>
        <v/>
      </c>
      <c r="AF95" s="1047" t="str">
        <f t="shared" si="43"/>
        <v/>
      </c>
      <c r="AG95" s="1047" t="str">
        <f t="shared" si="43"/>
        <v/>
      </c>
      <c r="AH95" s="1048" t="str">
        <f t="shared" si="43"/>
        <v/>
      </c>
      <c r="AI95" s="1049" t="str">
        <f t="shared" si="43"/>
        <v/>
      </c>
      <c r="AJ95" s="1047" t="str">
        <f t="shared" si="43"/>
        <v/>
      </c>
      <c r="AK95" s="1047" t="str">
        <f t="shared" si="43"/>
        <v/>
      </c>
      <c r="AL95" s="1050">
        <f>SUM(G95:AH95)</f>
        <v>0</v>
      </c>
      <c r="AM95" s="1051">
        <f>AL95/4</f>
        <v>0</v>
      </c>
      <c r="AN95" s="1052" t="str">
        <f>IF(C94="","",C94)</f>
        <v/>
      </c>
      <c r="AO95" s="1053" t="str">
        <f>IF(D94="","",D94)</f>
        <v/>
      </c>
      <c r="AP95" s="1054" t="str">
        <f>IF(D94&lt;&gt;"",VLOOKUP(D94,$AU$2:$AV$6,2,FALSE),"")</f>
        <v/>
      </c>
      <c r="AQ95" s="1051">
        <f>ROUNDDOWN(AL95/$AL$6,2)</f>
        <v>0</v>
      </c>
      <c r="AR95" s="1051">
        <f>IF(AP95=1,"",AQ95)</f>
        <v>0</v>
      </c>
    </row>
    <row r="96" spans="1:44" ht="15.9" hidden="1" customHeight="1">
      <c r="A96" s="989"/>
      <c r="B96" s="2238" t="s">
        <v>2003</v>
      </c>
      <c r="C96" s="2239"/>
      <c r="D96" s="2241"/>
      <c r="E96" s="2243"/>
      <c r="F96" s="1034" t="s">
        <v>1959</v>
      </c>
      <c r="G96" s="1035"/>
      <c r="H96" s="1036"/>
      <c r="I96" s="1037"/>
      <c r="J96" s="1037"/>
      <c r="K96" s="1037"/>
      <c r="L96" s="1037"/>
      <c r="M96" s="1038"/>
      <c r="N96" s="1035"/>
      <c r="O96" s="1036"/>
      <c r="P96" s="1037"/>
      <c r="Q96" s="1037"/>
      <c r="R96" s="1037"/>
      <c r="S96" s="1037"/>
      <c r="T96" s="1038"/>
      <c r="U96" s="1035"/>
      <c r="V96" s="1036"/>
      <c r="W96" s="1037"/>
      <c r="X96" s="1037"/>
      <c r="Y96" s="1037"/>
      <c r="Z96" s="1037"/>
      <c r="AA96" s="1038"/>
      <c r="AB96" s="1035"/>
      <c r="AC96" s="1036"/>
      <c r="AD96" s="1037"/>
      <c r="AE96" s="1037"/>
      <c r="AF96" s="1037"/>
      <c r="AG96" s="1037"/>
      <c r="AH96" s="1038"/>
      <c r="AI96" s="1055"/>
      <c r="AJ96" s="1036"/>
      <c r="AK96" s="1036"/>
      <c r="AL96" s="1040">
        <f>SUM(G97:AK97)</f>
        <v>0</v>
      </c>
      <c r="AM96" s="1041"/>
      <c r="AN96" s="1042"/>
      <c r="AO96" s="1043"/>
      <c r="AP96" s="1041"/>
      <c r="AQ96" s="1044"/>
      <c r="AR96" s="1044"/>
    </row>
    <row r="97" spans="1:44" ht="15.9" hidden="1" customHeight="1">
      <c r="A97" s="989"/>
      <c r="B97" s="2238"/>
      <c r="C97" s="2240"/>
      <c r="D97" s="2242"/>
      <c r="E97" s="2244"/>
      <c r="F97" s="1045" t="s">
        <v>1960</v>
      </c>
      <c r="G97" s="1046" t="str">
        <f t="shared" ref="G97:AK97" si="44">IF(G96&lt;&gt;"",VLOOKUP(G96,$AC$197:$AL$221,9,FALSE),"")</f>
        <v/>
      </c>
      <c r="H97" s="1047" t="str">
        <f t="shared" si="44"/>
        <v/>
      </c>
      <c r="I97" s="1047" t="str">
        <f t="shared" si="44"/>
        <v/>
      </c>
      <c r="J97" s="1047" t="str">
        <f t="shared" si="44"/>
        <v/>
      </c>
      <c r="K97" s="1047" t="str">
        <f t="shared" si="44"/>
        <v/>
      </c>
      <c r="L97" s="1047" t="str">
        <f t="shared" si="44"/>
        <v/>
      </c>
      <c r="M97" s="1048" t="str">
        <f t="shared" si="44"/>
        <v/>
      </c>
      <c r="N97" s="1046" t="str">
        <f t="shared" si="44"/>
        <v/>
      </c>
      <c r="O97" s="1047" t="str">
        <f t="shared" si="44"/>
        <v/>
      </c>
      <c r="P97" s="1047" t="str">
        <f t="shared" si="44"/>
        <v/>
      </c>
      <c r="Q97" s="1047" t="str">
        <f t="shared" si="44"/>
        <v/>
      </c>
      <c r="R97" s="1047" t="str">
        <f t="shared" si="44"/>
        <v/>
      </c>
      <c r="S97" s="1047" t="str">
        <f t="shared" si="44"/>
        <v/>
      </c>
      <c r="T97" s="1048" t="str">
        <f t="shared" si="44"/>
        <v/>
      </c>
      <c r="U97" s="1046" t="str">
        <f t="shared" si="44"/>
        <v/>
      </c>
      <c r="V97" s="1047" t="str">
        <f t="shared" si="44"/>
        <v/>
      </c>
      <c r="W97" s="1047" t="str">
        <f t="shared" si="44"/>
        <v/>
      </c>
      <c r="X97" s="1047" t="str">
        <f t="shared" si="44"/>
        <v/>
      </c>
      <c r="Y97" s="1047" t="str">
        <f t="shared" si="44"/>
        <v/>
      </c>
      <c r="Z97" s="1047" t="str">
        <f t="shared" si="44"/>
        <v/>
      </c>
      <c r="AA97" s="1048" t="str">
        <f t="shared" si="44"/>
        <v/>
      </c>
      <c r="AB97" s="1046" t="str">
        <f t="shared" si="44"/>
        <v/>
      </c>
      <c r="AC97" s="1047" t="str">
        <f t="shared" si="44"/>
        <v/>
      </c>
      <c r="AD97" s="1047" t="str">
        <f t="shared" si="44"/>
        <v/>
      </c>
      <c r="AE97" s="1047" t="str">
        <f t="shared" si="44"/>
        <v/>
      </c>
      <c r="AF97" s="1047" t="str">
        <f t="shared" si="44"/>
        <v/>
      </c>
      <c r="AG97" s="1047" t="str">
        <f t="shared" si="44"/>
        <v/>
      </c>
      <c r="AH97" s="1048" t="str">
        <f t="shared" si="44"/>
        <v/>
      </c>
      <c r="AI97" s="1049" t="str">
        <f t="shared" si="44"/>
        <v/>
      </c>
      <c r="AJ97" s="1047" t="str">
        <f t="shared" si="44"/>
        <v/>
      </c>
      <c r="AK97" s="1047" t="str">
        <f t="shared" si="44"/>
        <v/>
      </c>
      <c r="AL97" s="1050">
        <f>SUM(G97:AH97)</f>
        <v>0</v>
      </c>
      <c r="AM97" s="1051">
        <f>AL97/4</f>
        <v>0</v>
      </c>
      <c r="AN97" s="1052" t="str">
        <f>IF(C96="","",C96)</f>
        <v/>
      </c>
      <c r="AO97" s="1053" t="str">
        <f>IF(D96="","",D96)</f>
        <v/>
      </c>
      <c r="AP97" s="1054" t="str">
        <f>IF(D96&lt;&gt;"",VLOOKUP(D96,$AU$2:$AV$6,2,FALSE),"")</f>
        <v/>
      </c>
      <c r="AQ97" s="1051">
        <f>ROUNDDOWN(AL97/$AL$6,2)</f>
        <v>0</v>
      </c>
      <c r="AR97" s="1051">
        <f>IF(AP97=1,"",AQ97)</f>
        <v>0</v>
      </c>
    </row>
    <row r="98" spans="1:44" ht="15.9" hidden="1" customHeight="1">
      <c r="A98" s="989"/>
      <c r="B98" s="2238" t="s">
        <v>2004</v>
      </c>
      <c r="C98" s="2239"/>
      <c r="D98" s="2241"/>
      <c r="E98" s="2243"/>
      <c r="F98" s="1034" t="s">
        <v>1959</v>
      </c>
      <c r="G98" s="1035"/>
      <c r="H98" s="1036"/>
      <c r="I98" s="1037"/>
      <c r="J98" s="1037"/>
      <c r="K98" s="1037"/>
      <c r="L98" s="1037"/>
      <c r="M98" s="1038"/>
      <c r="N98" s="1035"/>
      <c r="O98" s="1036"/>
      <c r="P98" s="1037"/>
      <c r="Q98" s="1037"/>
      <c r="R98" s="1037"/>
      <c r="S98" s="1037"/>
      <c r="T98" s="1038"/>
      <c r="U98" s="1035"/>
      <c r="V98" s="1036"/>
      <c r="W98" s="1037"/>
      <c r="X98" s="1037"/>
      <c r="Y98" s="1037"/>
      <c r="Z98" s="1037"/>
      <c r="AA98" s="1038"/>
      <c r="AB98" s="1035"/>
      <c r="AC98" s="1036"/>
      <c r="AD98" s="1037"/>
      <c r="AE98" s="1037"/>
      <c r="AF98" s="1037"/>
      <c r="AG98" s="1037"/>
      <c r="AH98" s="1038"/>
      <c r="AI98" s="1039"/>
      <c r="AJ98" s="1037"/>
      <c r="AK98" s="1037"/>
      <c r="AL98" s="1040">
        <f>SUM(G99:AK99)</f>
        <v>0</v>
      </c>
      <c r="AM98" s="1041"/>
      <c r="AN98" s="1042"/>
      <c r="AO98" s="1043"/>
      <c r="AP98" s="1041"/>
      <c r="AQ98" s="1044"/>
      <c r="AR98" s="1044"/>
    </row>
    <row r="99" spans="1:44" ht="15.9" hidden="1" customHeight="1">
      <c r="A99" s="989"/>
      <c r="B99" s="2238"/>
      <c r="C99" s="2240"/>
      <c r="D99" s="2242"/>
      <c r="E99" s="2244"/>
      <c r="F99" s="1045" t="s">
        <v>1960</v>
      </c>
      <c r="G99" s="1046" t="str">
        <f t="shared" ref="G99:AK99" si="45">IF(G98&lt;&gt;"",VLOOKUP(G98,$AC$197:$AL$221,9,FALSE),"")</f>
        <v/>
      </c>
      <c r="H99" s="1047" t="str">
        <f t="shared" si="45"/>
        <v/>
      </c>
      <c r="I99" s="1047" t="str">
        <f t="shared" si="45"/>
        <v/>
      </c>
      <c r="J99" s="1047" t="str">
        <f t="shared" si="45"/>
        <v/>
      </c>
      <c r="K99" s="1047" t="str">
        <f t="shared" si="45"/>
        <v/>
      </c>
      <c r="L99" s="1047" t="str">
        <f t="shared" si="45"/>
        <v/>
      </c>
      <c r="M99" s="1048" t="str">
        <f t="shared" si="45"/>
        <v/>
      </c>
      <c r="N99" s="1046" t="str">
        <f t="shared" si="45"/>
        <v/>
      </c>
      <c r="O99" s="1047" t="str">
        <f t="shared" si="45"/>
        <v/>
      </c>
      <c r="P99" s="1047" t="str">
        <f t="shared" si="45"/>
        <v/>
      </c>
      <c r="Q99" s="1047" t="str">
        <f t="shared" si="45"/>
        <v/>
      </c>
      <c r="R99" s="1047" t="str">
        <f t="shared" si="45"/>
        <v/>
      </c>
      <c r="S99" s="1047" t="str">
        <f t="shared" si="45"/>
        <v/>
      </c>
      <c r="T99" s="1048" t="str">
        <f t="shared" si="45"/>
        <v/>
      </c>
      <c r="U99" s="1046" t="str">
        <f t="shared" si="45"/>
        <v/>
      </c>
      <c r="V99" s="1047" t="str">
        <f t="shared" si="45"/>
        <v/>
      </c>
      <c r="W99" s="1047" t="str">
        <f t="shared" si="45"/>
        <v/>
      </c>
      <c r="X99" s="1047" t="str">
        <f t="shared" si="45"/>
        <v/>
      </c>
      <c r="Y99" s="1047" t="str">
        <f t="shared" si="45"/>
        <v/>
      </c>
      <c r="Z99" s="1047" t="str">
        <f t="shared" si="45"/>
        <v/>
      </c>
      <c r="AA99" s="1048" t="str">
        <f t="shared" si="45"/>
        <v/>
      </c>
      <c r="AB99" s="1046" t="str">
        <f t="shared" si="45"/>
        <v/>
      </c>
      <c r="AC99" s="1047" t="str">
        <f t="shared" si="45"/>
        <v/>
      </c>
      <c r="AD99" s="1047" t="str">
        <f t="shared" si="45"/>
        <v/>
      </c>
      <c r="AE99" s="1047" t="str">
        <f t="shared" si="45"/>
        <v/>
      </c>
      <c r="AF99" s="1047" t="str">
        <f t="shared" si="45"/>
        <v/>
      </c>
      <c r="AG99" s="1047" t="str">
        <f t="shared" si="45"/>
        <v/>
      </c>
      <c r="AH99" s="1048" t="str">
        <f t="shared" si="45"/>
        <v/>
      </c>
      <c r="AI99" s="1049" t="str">
        <f t="shared" si="45"/>
        <v/>
      </c>
      <c r="AJ99" s="1047" t="str">
        <f t="shared" si="45"/>
        <v/>
      </c>
      <c r="AK99" s="1047" t="str">
        <f t="shared" si="45"/>
        <v/>
      </c>
      <c r="AL99" s="1050">
        <f>SUM(G99:AH99)</f>
        <v>0</v>
      </c>
      <c r="AM99" s="1051">
        <f>AL99/4</f>
        <v>0</v>
      </c>
      <c r="AN99" s="1052" t="str">
        <f>IF(C98="","",C98)</f>
        <v/>
      </c>
      <c r="AO99" s="1053" t="str">
        <f>IF(D98="","",D98)</f>
        <v/>
      </c>
      <c r="AP99" s="1054" t="str">
        <f>IF(D98&lt;&gt;"",VLOOKUP(D98,$AU$2:$AV$6,2,FALSE),"")</f>
        <v/>
      </c>
      <c r="AQ99" s="1051">
        <f>ROUNDDOWN(AL99/$AL$6,2)</f>
        <v>0</v>
      </c>
      <c r="AR99" s="1051">
        <f>IF(AP99=1,"",AQ99)</f>
        <v>0</v>
      </c>
    </row>
    <row r="100" spans="1:44" ht="15.9" hidden="1" customHeight="1">
      <c r="A100" s="989"/>
      <c r="B100" s="2238" t="s">
        <v>2005</v>
      </c>
      <c r="C100" s="2239"/>
      <c r="D100" s="2241"/>
      <c r="E100" s="2243"/>
      <c r="F100" s="1034" t="s">
        <v>1959</v>
      </c>
      <c r="G100" s="1035"/>
      <c r="H100" s="1036"/>
      <c r="I100" s="1037"/>
      <c r="J100" s="1037"/>
      <c r="K100" s="1037"/>
      <c r="L100" s="1037"/>
      <c r="M100" s="1038"/>
      <c r="N100" s="1035"/>
      <c r="O100" s="1036"/>
      <c r="P100" s="1037"/>
      <c r="Q100" s="1037"/>
      <c r="R100" s="1037"/>
      <c r="S100" s="1037"/>
      <c r="T100" s="1038"/>
      <c r="U100" s="1035"/>
      <c r="V100" s="1036"/>
      <c r="W100" s="1037"/>
      <c r="X100" s="1037"/>
      <c r="Y100" s="1037"/>
      <c r="Z100" s="1037"/>
      <c r="AA100" s="1038"/>
      <c r="AB100" s="1035"/>
      <c r="AC100" s="1036"/>
      <c r="AD100" s="1037"/>
      <c r="AE100" s="1037"/>
      <c r="AF100" s="1037"/>
      <c r="AG100" s="1037"/>
      <c r="AH100" s="1038"/>
      <c r="AI100" s="1039"/>
      <c r="AJ100" s="1037"/>
      <c r="AK100" s="1037"/>
      <c r="AL100" s="1040">
        <f>SUM(G101:AK101)</f>
        <v>0</v>
      </c>
      <c r="AM100" s="1041"/>
      <c r="AN100" s="1042"/>
      <c r="AO100" s="1043"/>
      <c r="AP100" s="1041"/>
      <c r="AQ100" s="1044"/>
      <c r="AR100" s="1044"/>
    </row>
    <row r="101" spans="1:44" ht="15.9" hidden="1" customHeight="1">
      <c r="A101" s="989"/>
      <c r="B101" s="2238"/>
      <c r="C101" s="2240"/>
      <c r="D101" s="2242"/>
      <c r="E101" s="2244"/>
      <c r="F101" s="1045" t="s">
        <v>1960</v>
      </c>
      <c r="G101" s="1046" t="str">
        <f t="shared" ref="G101:AK101" si="46">IF(G100&lt;&gt;"",VLOOKUP(G100,$AC$197:$AL$221,9,FALSE),"")</f>
        <v/>
      </c>
      <c r="H101" s="1047" t="str">
        <f t="shared" si="46"/>
        <v/>
      </c>
      <c r="I101" s="1047" t="str">
        <f t="shared" si="46"/>
        <v/>
      </c>
      <c r="J101" s="1047" t="str">
        <f t="shared" si="46"/>
        <v/>
      </c>
      <c r="K101" s="1047" t="str">
        <f t="shared" si="46"/>
        <v/>
      </c>
      <c r="L101" s="1047" t="str">
        <f t="shared" si="46"/>
        <v/>
      </c>
      <c r="M101" s="1048" t="str">
        <f t="shared" si="46"/>
        <v/>
      </c>
      <c r="N101" s="1046" t="str">
        <f t="shared" si="46"/>
        <v/>
      </c>
      <c r="O101" s="1047" t="str">
        <f t="shared" si="46"/>
        <v/>
      </c>
      <c r="P101" s="1047" t="str">
        <f t="shared" si="46"/>
        <v/>
      </c>
      <c r="Q101" s="1047" t="str">
        <f t="shared" si="46"/>
        <v/>
      </c>
      <c r="R101" s="1047" t="str">
        <f t="shared" si="46"/>
        <v/>
      </c>
      <c r="S101" s="1047" t="str">
        <f t="shared" si="46"/>
        <v/>
      </c>
      <c r="T101" s="1048" t="str">
        <f t="shared" si="46"/>
        <v/>
      </c>
      <c r="U101" s="1046" t="str">
        <f t="shared" si="46"/>
        <v/>
      </c>
      <c r="V101" s="1047" t="str">
        <f t="shared" si="46"/>
        <v/>
      </c>
      <c r="W101" s="1047" t="str">
        <f t="shared" si="46"/>
        <v/>
      </c>
      <c r="X101" s="1047" t="str">
        <f t="shared" si="46"/>
        <v/>
      </c>
      <c r="Y101" s="1047" t="str">
        <f t="shared" si="46"/>
        <v/>
      </c>
      <c r="Z101" s="1047" t="str">
        <f t="shared" si="46"/>
        <v/>
      </c>
      <c r="AA101" s="1048" t="str">
        <f t="shared" si="46"/>
        <v/>
      </c>
      <c r="AB101" s="1046" t="str">
        <f t="shared" si="46"/>
        <v/>
      </c>
      <c r="AC101" s="1047" t="str">
        <f t="shared" si="46"/>
        <v/>
      </c>
      <c r="AD101" s="1047" t="str">
        <f t="shared" si="46"/>
        <v/>
      </c>
      <c r="AE101" s="1047" t="str">
        <f t="shared" si="46"/>
        <v/>
      </c>
      <c r="AF101" s="1047" t="str">
        <f t="shared" si="46"/>
        <v/>
      </c>
      <c r="AG101" s="1047" t="str">
        <f t="shared" si="46"/>
        <v/>
      </c>
      <c r="AH101" s="1048" t="str">
        <f t="shared" si="46"/>
        <v/>
      </c>
      <c r="AI101" s="1049" t="str">
        <f t="shared" si="46"/>
        <v/>
      </c>
      <c r="AJ101" s="1047" t="str">
        <f t="shared" si="46"/>
        <v/>
      </c>
      <c r="AK101" s="1047" t="str">
        <f t="shared" si="46"/>
        <v/>
      </c>
      <c r="AL101" s="1050">
        <f>SUM(G101:AH101)</f>
        <v>0</v>
      </c>
      <c r="AM101" s="1051">
        <f>AL101/4</f>
        <v>0</v>
      </c>
      <c r="AN101" s="1052" t="str">
        <f>IF(C100="","",C100)</f>
        <v/>
      </c>
      <c r="AO101" s="1053" t="str">
        <f>IF(D100="","",D100)</f>
        <v/>
      </c>
      <c r="AP101" s="1054" t="str">
        <f>IF(D100&lt;&gt;"",VLOOKUP(D100,$AU$2:$AV$6,2,FALSE),"")</f>
        <v/>
      </c>
      <c r="AQ101" s="1051">
        <f>ROUNDDOWN(AL101/$AL$6,2)</f>
        <v>0</v>
      </c>
      <c r="AR101" s="1051">
        <f>IF(AP101=1,"",AQ101)</f>
        <v>0</v>
      </c>
    </row>
    <row r="102" spans="1:44" ht="15.9" hidden="1" customHeight="1">
      <c r="A102" s="989"/>
      <c r="B102" s="2238" t="s">
        <v>2006</v>
      </c>
      <c r="C102" s="2239"/>
      <c r="D102" s="2241"/>
      <c r="E102" s="2243"/>
      <c r="F102" s="1034" t="s">
        <v>1959</v>
      </c>
      <c r="G102" s="1035"/>
      <c r="H102" s="1036"/>
      <c r="I102" s="1037"/>
      <c r="J102" s="1037"/>
      <c r="K102" s="1037"/>
      <c r="L102" s="1037"/>
      <c r="M102" s="1038"/>
      <c r="N102" s="1035"/>
      <c r="O102" s="1036"/>
      <c r="P102" s="1037"/>
      <c r="Q102" s="1037"/>
      <c r="R102" s="1037"/>
      <c r="S102" s="1037"/>
      <c r="T102" s="1038"/>
      <c r="U102" s="1035"/>
      <c r="V102" s="1036"/>
      <c r="W102" s="1037"/>
      <c r="X102" s="1037"/>
      <c r="Y102" s="1037"/>
      <c r="Z102" s="1037"/>
      <c r="AA102" s="1038"/>
      <c r="AB102" s="1035"/>
      <c r="AC102" s="1036"/>
      <c r="AD102" s="1037"/>
      <c r="AE102" s="1037"/>
      <c r="AF102" s="1037"/>
      <c r="AG102" s="1037"/>
      <c r="AH102" s="1038"/>
      <c r="AI102" s="1055"/>
      <c r="AJ102" s="1036"/>
      <c r="AK102" s="1036"/>
      <c r="AL102" s="1040">
        <f>SUM(G103:AK103)</f>
        <v>0</v>
      </c>
      <c r="AM102" s="1041"/>
      <c r="AN102" s="1042"/>
      <c r="AO102" s="1043"/>
      <c r="AP102" s="1041"/>
      <c r="AQ102" s="1044"/>
      <c r="AR102" s="1044"/>
    </row>
    <row r="103" spans="1:44" ht="15.9" hidden="1" customHeight="1">
      <c r="A103" s="989"/>
      <c r="B103" s="2238"/>
      <c r="C103" s="2240"/>
      <c r="D103" s="2242"/>
      <c r="E103" s="2244"/>
      <c r="F103" s="1045" t="s">
        <v>1960</v>
      </c>
      <c r="G103" s="1046" t="str">
        <f t="shared" ref="G103:AK103" si="47">IF(G102&lt;&gt;"",VLOOKUP(G102,$AC$197:$AL$221,9,FALSE),"")</f>
        <v/>
      </c>
      <c r="H103" s="1047" t="str">
        <f t="shared" si="47"/>
        <v/>
      </c>
      <c r="I103" s="1047" t="str">
        <f t="shared" si="47"/>
        <v/>
      </c>
      <c r="J103" s="1047" t="str">
        <f t="shared" si="47"/>
        <v/>
      </c>
      <c r="K103" s="1047" t="str">
        <f t="shared" si="47"/>
        <v/>
      </c>
      <c r="L103" s="1047" t="str">
        <f t="shared" si="47"/>
        <v/>
      </c>
      <c r="M103" s="1048" t="str">
        <f t="shared" si="47"/>
        <v/>
      </c>
      <c r="N103" s="1046" t="str">
        <f t="shared" si="47"/>
        <v/>
      </c>
      <c r="O103" s="1047" t="str">
        <f t="shared" si="47"/>
        <v/>
      </c>
      <c r="P103" s="1047" t="str">
        <f t="shared" si="47"/>
        <v/>
      </c>
      <c r="Q103" s="1047" t="str">
        <f t="shared" si="47"/>
        <v/>
      </c>
      <c r="R103" s="1047" t="str">
        <f t="shared" si="47"/>
        <v/>
      </c>
      <c r="S103" s="1047" t="str">
        <f t="shared" si="47"/>
        <v/>
      </c>
      <c r="T103" s="1048" t="str">
        <f t="shared" si="47"/>
        <v/>
      </c>
      <c r="U103" s="1046" t="str">
        <f t="shared" si="47"/>
        <v/>
      </c>
      <c r="V103" s="1047" t="str">
        <f t="shared" si="47"/>
        <v/>
      </c>
      <c r="W103" s="1047" t="str">
        <f t="shared" si="47"/>
        <v/>
      </c>
      <c r="X103" s="1047" t="str">
        <f t="shared" si="47"/>
        <v/>
      </c>
      <c r="Y103" s="1047" t="str">
        <f t="shared" si="47"/>
        <v/>
      </c>
      <c r="Z103" s="1047" t="str">
        <f t="shared" si="47"/>
        <v/>
      </c>
      <c r="AA103" s="1048" t="str">
        <f t="shared" si="47"/>
        <v/>
      </c>
      <c r="AB103" s="1046" t="str">
        <f t="shared" si="47"/>
        <v/>
      </c>
      <c r="AC103" s="1047" t="str">
        <f t="shared" si="47"/>
        <v/>
      </c>
      <c r="AD103" s="1047" t="str">
        <f t="shared" si="47"/>
        <v/>
      </c>
      <c r="AE103" s="1047" t="str">
        <f t="shared" si="47"/>
        <v/>
      </c>
      <c r="AF103" s="1047" t="str">
        <f t="shared" si="47"/>
        <v/>
      </c>
      <c r="AG103" s="1047" t="str">
        <f t="shared" si="47"/>
        <v/>
      </c>
      <c r="AH103" s="1048" t="str">
        <f t="shared" si="47"/>
        <v/>
      </c>
      <c r="AI103" s="1049" t="str">
        <f t="shared" si="47"/>
        <v/>
      </c>
      <c r="AJ103" s="1047" t="str">
        <f t="shared" si="47"/>
        <v/>
      </c>
      <c r="AK103" s="1047" t="str">
        <f t="shared" si="47"/>
        <v/>
      </c>
      <c r="AL103" s="1050">
        <f>SUM(G103:AH103)</f>
        <v>0</v>
      </c>
      <c r="AM103" s="1051">
        <f>AL103/4</f>
        <v>0</v>
      </c>
      <c r="AN103" s="1052" t="str">
        <f>IF(C102="","",C102)</f>
        <v/>
      </c>
      <c r="AO103" s="1053" t="str">
        <f>IF(D102="","",D102)</f>
        <v/>
      </c>
      <c r="AP103" s="1054" t="str">
        <f>IF(D102&lt;&gt;"",VLOOKUP(D102,$AU$2:$AV$6,2,FALSE),"")</f>
        <v/>
      </c>
      <c r="AQ103" s="1051">
        <f>ROUNDDOWN(AL103/$AL$6,2)</f>
        <v>0</v>
      </c>
      <c r="AR103" s="1051">
        <f>IF(AP103=1,"",AQ103)</f>
        <v>0</v>
      </c>
    </row>
    <row r="104" spans="1:44" ht="15.9" hidden="1" customHeight="1">
      <c r="A104" s="989"/>
      <c r="B104" s="2238" t="s">
        <v>2007</v>
      </c>
      <c r="C104" s="2239"/>
      <c r="D104" s="2241"/>
      <c r="E104" s="2243"/>
      <c r="F104" s="1034" t="s">
        <v>1959</v>
      </c>
      <c r="G104" s="1035"/>
      <c r="H104" s="1036"/>
      <c r="I104" s="1037"/>
      <c r="J104" s="1037"/>
      <c r="K104" s="1037"/>
      <c r="L104" s="1037"/>
      <c r="M104" s="1038"/>
      <c r="N104" s="1035"/>
      <c r="O104" s="1036"/>
      <c r="P104" s="1037"/>
      <c r="Q104" s="1037"/>
      <c r="R104" s="1037"/>
      <c r="S104" s="1037"/>
      <c r="T104" s="1038"/>
      <c r="U104" s="1035"/>
      <c r="V104" s="1036"/>
      <c r="W104" s="1037"/>
      <c r="X104" s="1037"/>
      <c r="Y104" s="1037"/>
      <c r="Z104" s="1037"/>
      <c r="AA104" s="1038"/>
      <c r="AB104" s="1035"/>
      <c r="AC104" s="1036"/>
      <c r="AD104" s="1037"/>
      <c r="AE104" s="1037"/>
      <c r="AF104" s="1037"/>
      <c r="AG104" s="1037"/>
      <c r="AH104" s="1038"/>
      <c r="AI104" s="1055"/>
      <c r="AJ104" s="1036"/>
      <c r="AK104" s="1036"/>
      <c r="AL104" s="1040">
        <f>SUM(G105:AK105)</f>
        <v>0</v>
      </c>
      <c r="AM104" s="1041"/>
      <c r="AN104" s="1042"/>
      <c r="AO104" s="1043"/>
      <c r="AP104" s="1041"/>
      <c r="AQ104" s="1044"/>
      <c r="AR104" s="1044"/>
    </row>
    <row r="105" spans="1:44" ht="15.9" hidden="1" customHeight="1">
      <c r="A105" s="989"/>
      <c r="B105" s="2238"/>
      <c r="C105" s="2240"/>
      <c r="D105" s="2242"/>
      <c r="E105" s="2244"/>
      <c r="F105" s="1045" t="s">
        <v>1960</v>
      </c>
      <c r="G105" s="1046" t="str">
        <f t="shared" ref="G105:AK105" si="48">IF(G104&lt;&gt;"",VLOOKUP(G104,$AC$197:$AL$221,9,FALSE),"")</f>
        <v/>
      </c>
      <c r="H105" s="1047" t="str">
        <f t="shared" si="48"/>
        <v/>
      </c>
      <c r="I105" s="1047" t="str">
        <f t="shared" si="48"/>
        <v/>
      </c>
      <c r="J105" s="1047" t="str">
        <f t="shared" si="48"/>
        <v/>
      </c>
      <c r="K105" s="1047" t="str">
        <f t="shared" si="48"/>
        <v/>
      </c>
      <c r="L105" s="1047" t="str">
        <f t="shared" si="48"/>
        <v/>
      </c>
      <c r="M105" s="1048" t="str">
        <f t="shared" si="48"/>
        <v/>
      </c>
      <c r="N105" s="1046" t="str">
        <f t="shared" si="48"/>
        <v/>
      </c>
      <c r="O105" s="1047" t="str">
        <f t="shared" si="48"/>
        <v/>
      </c>
      <c r="P105" s="1047" t="str">
        <f t="shared" si="48"/>
        <v/>
      </c>
      <c r="Q105" s="1047" t="str">
        <f t="shared" si="48"/>
        <v/>
      </c>
      <c r="R105" s="1047" t="str">
        <f t="shared" si="48"/>
        <v/>
      </c>
      <c r="S105" s="1047" t="str">
        <f t="shared" si="48"/>
        <v/>
      </c>
      <c r="T105" s="1048" t="str">
        <f t="shared" si="48"/>
        <v/>
      </c>
      <c r="U105" s="1046" t="str">
        <f t="shared" si="48"/>
        <v/>
      </c>
      <c r="V105" s="1047" t="str">
        <f t="shared" si="48"/>
        <v/>
      </c>
      <c r="W105" s="1047" t="str">
        <f t="shared" si="48"/>
        <v/>
      </c>
      <c r="X105" s="1047" t="str">
        <f t="shared" si="48"/>
        <v/>
      </c>
      <c r="Y105" s="1047" t="str">
        <f t="shared" si="48"/>
        <v/>
      </c>
      <c r="Z105" s="1047" t="str">
        <f t="shared" si="48"/>
        <v/>
      </c>
      <c r="AA105" s="1048" t="str">
        <f t="shared" si="48"/>
        <v/>
      </c>
      <c r="AB105" s="1046" t="str">
        <f t="shared" si="48"/>
        <v/>
      </c>
      <c r="AC105" s="1047" t="str">
        <f t="shared" si="48"/>
        <v/>
      </c>
      <c r="AD105" s="1047" t="str">
        <f t="shared" si="48"/>
        <v/>
      </c>
      <c r="AE105" s="1047" t="str">
        <f t="shared" si="48"/>
        <v/>
      </c>
      <c r="AF105" s="1047" t="str">
        <f t="shared" si="48"/>
        <v/>
      </c>
      <c r="AG105" s="1047" t="str">
        <f t="shared" si="48"/>
        <v/>
      </c>
      <c r="AH105" s="1048" t="str">
        <f t="shared" si="48"/>
        <v/>
      </c>
      <c r="AI105" s="1049" t="str">
        <f t="shared" si="48"/>
        <v/>
      </c>
      <c r="AJ105" s="1047" t="str">
        <f t="shared" si="48"/>
        <v/>
      </c>
      <c r="AK105" s="1047" t="str">
        <f t="shared" si="48"/>
        <v/>
      </c>
      <c r="AL105" s="1050">
        <f>SUM(G105:AH105)</f>
        <v>0</v>
      </c>
      <c r="AM105" s="1051">
        <f>AL105/4</f>
        <v>0</v>
      </c>
      <c r="AN105" s="1052" t="str">
        <f>IF(C104="","",C104)</f>
        <v/>
      </c>
      <c r="AO105" s="1053" t="str">
        <f>IF(D104="","",D104)</f>
        <v/>
      </c>
      <c r="AP105" s="1054" t="str">
        <f>IF(D104&lt;&gt;"",VLOOKUP(D104,$AU$2:$AV$6,2,FALSE),"")</f>
        <v/>
      </c>
      <c r="AQ105" s="1051">
        <f>ROUNDDOWN(AL105/$AL$6,2)</f>
        <v>0</v>
      </c>
      <c r="AR105" s="1051">
        <f>IF(AP105=1,"",AQ105)</f>
        <v>0</v>
      </c>
    </row>
    <row r="106" spans="1:44" ht="15.9" hidden="1" customHeight="1">
      <c r="A106" s="989"/>
      <c r="B106" s="2238" t="s">
        <v>2008</v>
      </c>
      <c r="C106" s="2239"/>
      <c r="D106" s="2241"/>
      <c r="E106" s="2243"/>
      <c r="F106" s="1034" t="s">
        <v>1959</v>
      </c>
      <c r="G106" s="1035"/>
      <c r="H106" s="1036"/>
      <c r="I106" s="1037"/>
      <c r="J106" s="1037"/>
      <c r="K106" s="1037"/>
      <c r="L106" s="1037"/>
      <c r="M106" s="1038"/>
      <c r="N106" s="1035"/>
      <c r="O106" s="1036"/>
      <c r="P106" s="1037"/>
      <c r="Q106" s="1037"/>
      <c r="R106" s="1037"/>
      <c r="S106" s="1037"/>
      <c r="T106" s="1038"/>
      <c r="U106" s="1035"/>
      <c r="V106" s="1036"/>
      <c r="W106" s="1037"/>
      <c r="X106" s="1037"/>
      <c r="Y106" s="1037"/>
      <c r="Z106" s="1037"/>
      <c r="AA106" s="1038"/>
      <c r="AB106" s="1035"/>
      <c r="AC106" s="1036"/>
      <c r="AD106" s="1037"/>
      <c r="AE106" s="1037"/>
      <c r="AF106" s="1037"/>
      <c r="AG106" s="1037"/>
      <c r="AH106" s="1038"/>
      <c r="AI106" s="1039"/>
      <c r="AJ106" s="1037"/>
      <c r="AK106" s="1037"/>
      <c r="AL106" s="1040">
        <f>SUM(G107:AK107)</f>
        <v>0</v>
      </c>
      <c r="AM106" s="1041"/>
      <c r="AN106" s="1042"/>
      <c r="AO106" s="1043"/>
      <c r="AP106" s="1041"/>
      <c r="AQ106" s="1044"/>
      <c r="AR106" s="1044"/>
    </row>
    <row r="107" spans="1:44" ht="15.9" hidden="1" customHeight="1">
      <c r="A107" s="989"/>
      <c r="B107" s="2238"/>
      <c r="C107" s="2240"/>
      <c r="D107" s="2242"/>
      <c r="E107" s="2244"/>
      <c r="F107" s="1045" t="s">
        <v>1960</v>
      </c>
      <c r="G107" s="1046" t="str">
        <f t="shared" ref="G107:AK107" si="49">IF(G106&lt;&gt;"",VLOOKUP(G106,$AC$197:$AL$221,9,FALSE),"")</f>
        <v/>
      </c>
      <c r="H107" s="1047" t="str">
        <f t="shared" si="49"/>
        <v/>
      </c>
      <c r="I107" s="1047" t="str">
        <f t="shared" si="49"/>
        <v/>
      </c>
      <c r="J107" s="1047" t="str">
        <f t="shared" si="49"/>
        <v/>
      </c>
      <c r="K107" s="1047" t="str">
        <f t="shared" si="49"/>
        <v/>
      </c>
      <c r="L107" s="1047" t="str">
        <f t="shared" si="49"/>
        <v/>
      </c>
      <c r="M107" s="1048" t="str">
        <f t="shared" si="49"/>
        <v/>
      </c>
      <c r="N107" s="1046" t="str">
        <f t="shared" si="49"/>
        <v/>
      </c>
      <c r="O107" s="1047" t="str">
        <f t="shared" si="49"/>
        <v/>
      </c>
      <c r="P107" s="1047" t="str">
        <f t="shared" si="49"/>
        <v/>
      </c>
      <c r="Q107" s="1047" t="str">
        <f t="shared" si="49"/>
        <v/>
      </c>
      <c r="R107" s="1047" t="str">
        <f t="shared" si="49"/>
        <v/>
      </c>
      <c r="S107" s="1047" t="str">
        <f t="shared" si="49"/>
        <v/>
      </c>
      <c r="T107" s="1048" t="str">
        <f t="shared" si="49"/>
        <v/>
      </c>
      <c r="U107" s="1046" t="str">
        <f t="shared" si="49"/>
        <v/>
      </c>
      <c r="V107" s="1047" t="str">
        <f t="shared" si="49"/>
        <v/>
      </c>
      <c r="W107" s="1047" t="str">
        <f t="shared" si="49"/>
        <v/>
      </c>
      <c r="X107" s="1047" t="str">
        <f t="shared" si="49"/>
        <v/>
      </c>
      <c r="Y107" s="1047" t="str">
        <f t="shared" si="49"/>
        <v/>
      </c>
      <c r="Z107" s="1047" t="str">
        <f t="shared" si="49"/>
        <v/>
      </c>
      <c r="AA107" s="1048" t="str">
        <f t="shared" si="49"/>
        <v/>
      </c>
      <c r="AB107" s="1046" t="str">
        <f t="shared" si="49"/>
        <v/>
      </c>
      <c r="AC107" s="1047" t="str">
        <f t="shared" si="49"/>
        <v/>
      </c>
      <c r="AD107" s="1047" t="str">
        <f t="shared" si="49"/>
        <v/>
      </c>
      <c r="AE107" s="1047" t="str">
        <f t="shared" si="49"/>
        <v/>
      </c>
      <c r="AF107" s="1047" t="str">
        <f t="shared" si="49"/>
        <v/>
      </c>
      <c r="AG107" s="1047" t="str">
        <f t="shared" si="49"/>
        <v/>
      </c>
      <c r="AH107" s="1048" t="str">
        <f t="shared" si="49"/>
        <v/>
      </c>
      <c r="AI107" s="1049" t="str">
        <f t="shared" si="49"/>
        <v/>
      </c>
      <c r="AJ107" s="1047" t="str">
        <f t="shared" si="49"/>
        <v/>
      </c>
      <c r="AK107" s="1047" t="str">
        <f t="shared" si="49"/>
        <v/>
      </c>
      <c r="AL107" s="1050">
        <f>SUM(G107:AH107)</f>
        <v>0</v>
      </c>
      <c r="AM107" s="1051">
        <f>AL107/4</f>
        <v>0</v>
      </c>
      <c r="AN107" s="1052" t="str">
        <f>IF(C106="","",C106)</f>
        <v/>
      </c>
      <c r="AO107" s="1053" t="str">
        <f>IF(D106="","",D106)</f>
        <v/>
      </c>
      <c r="AP107" s="1054" t="str">
        <f>IF(D106&lt;&gt;"",VLOOKUP(D106,$AU$2:$AV$6,2,FALSE),"")</f>
        <v/>
      </c>
      <c r="AQ107" s="1051">
        <f>ROUNDDOWN(AL107/$AL$6,2)</f>
        <v>0</v>
      </c>
      <c r="AR107" s="1051">
        <f>IF(AP107=1,"",AQ107)</f>
        <v>0</v>
      </c>
    </row>
    <row r="108" spans="1:44" ht="15.9" hidden="1" customHeight="1">
      <c r="A108" s="989"/>
      <c r="B108" s="2238" t="s">
        <v>2009</v>
      </c>
      <c r="C108" s="2239"/>
      <c r="D108" s="2241"/>
      <c r="E108" s="2243"/>
      <c r="F108" s="1034" t="s">
        <v>1959</v>
      </c>
      <c r="G108" s="1035"/>
      <c r="H108" s="1036"/>
      <c r="I108" s="1037"/>
      <c r="J108" s="1037"/>
      <c r="K108" s="1037"/>
      <c r="L108" s="1037"/>
      <c r="M108" s="1038"/>
      <c r="N108" s="1035"/>
      <c r="O108" s="1036"/>
      <c r="P108" s="1037"/>
      <c r="Q108" s="1037"/>
      <c r="R108" s="1037"/>
      <c r="S108" s="1037"/>
      <c r="T108" s="1038"/>
      <c r="U108" s="1035"/>
      <c r="V108" s="1036"/>
      <c r="W108" s="1037"/>
      <c r="X108" s="1037"/>
      <c r="Y108" s="1037"/>
      <c r="Z108" s="1037"/>
      <c r="AA108" s="1038"/>
      <c r="AB108" s="1035"/>
      <c r="AC108" s="1036"/>
      <c r="AD108" s="1037"/>
      <c r="AE108" s="1037"/>
      <c r="AF108" s="1037"/>
      <c r="AG108" s="1037"/>
      <c r="AH108" s="1038"/>
      <c r="AI108" s="1039"/>
      <c r="AJ108" s="1037"/>
      <c r="AK108" s="1037"/>
      <c r="AL108" s="1040">
        <f>SUM(G109:AK109)</f>
        <v>0</v>
      </c>
      <c r="AM108" s="1041"/>
      <c r="AN108" s="1042"/>
      <c r="AO108" s="1043"/>
      <c r="AP108" s="1041"/>
      <c r="AQ108" s="1044"/>
      <c r="AR108" s="1044"/>
    </row>
    <row r="109" spans="1:44" ht="15.9" hidden="1" customHeight="1">
      <c r="A109" s="989"/>
      <c r="B109" s="2238"/>
      <c r="C109" s="2240"/>
      <c r="D109" s="2242"/>
      <c r="E109" s="2244"/>
      <c r="F109" s="1045" t="s">
        <v>1960</v>
      </c>
      <c r="G109" s="1046" t="str">
        <f t="shared" ref="G109:AK109" si="50">IF(G108&lt;&gt;"",VLOOKUP(G108,$AC$197:$AL$221,9,FALSE),"")</f>
        <v/>
      </c>
      <c r="H109" s="1047" t="str">
        <f t="shared" si="50"/>
        <v/>
      </c>
      <c r="I109" s="1047" t="str">
        <f t="shared" si="50"/>
        <v/>
      </c>
      <c r="J109" s="1047" t="str">
        <f t="shared" si="50"/>
        <v/>
      </c>
      <c r="K109" s="1047" t="str">
        <f t="shared" si="50"/>
        <v/>
      </c>
      <c r="L109" s="1047" t="str">
        <f t="shared" si="50"/>
        <v/>
      </c>
      <c r="M109" s="1048" t="str">
        <f t="shared" si="50"/>
        <v/>
      </c>
      <c r="N109" s="1046" t="str">
        <f t="shared" si="50"/>
        <v/>
      </c>
      <c r="O109" s="1047" t="str">
        <f t="shared" si="50"/>
        <v/>
      </c>
      <c r="P109" s="1047" t="str">
        <f t="shared" si="50"/>
        <v/>
      </c>
      <c r="Q109" s="1047" t="str">
        <f t="shared" si="50"/>
        <v/>
      </c>
      <c r="R109" s="1047" t="str">
        <f t="shared" si="50"/>
        <v/>
      </c>
      <c r="S109" s="1047" t="str">
        <f t="shared" si="50"/>
        <v/>
      </c>
      <c r="T109" s="1048" t="str">
        <f t="shared" si="50"/>
        <v/>
      </c>
      <c r="U109" s="1046" t="str">
        <f t="shared" si="50"/>
        <v/>
      </c>
      <c r="V109" s="1047" t="str">
        <f t="shared" si="50"/>
        <v/>
      </c>
      <c r="W109" s="1047" t="str">
        <f t="shared" si="50"/>
        <v/>
      </c>
      <c r="X109" s="1047" t="str">
        <f t="shared" si="50"/>
        <v/>
      </c>
      <c r="Y109" s="1047" t="str">
        <f t="shared" si="50"/>
        <v/>
      </c>
      <c r="Z109" s="1047" t="str">
        <f t="shared" si="50"/>
        <v/>
      </c>
      <c r="AA109" s="1048" t="str">
        <f t="shared" si="50"/>
        <v/>
      </c>
      <c r="AB109" s="1046" t="str">
        <f t="shared" si="50"/>
        <v/>
      </c>
      <c r="AC109" s="1047" t="str">
        <f t="shared" si="50"/>
        <v/>
      </c>
      <c r="AD109" s="1047" t="str">
        <f t="shared" si="50"/>
        <v/>
      </c>
      <c r="AE109" s="1047" t="str">
        <f t="shared" si="50"/>
        <v/>
      </c>
      <c r="AF109" s="1047" t="str">
        <f t="shared" si="50"/>
        <v/>
      </c>
      <c r="AG109" s="1047" t="str">
        <f t="shared" si="50"/>
        <v/>
      </c>
      <c r="AH109" s="1048" t="str">
        <f t="shared" si="50"/>
        <v/>
      </c>
      <c r="AI109" s="1049" t="str">
        <f t="shared" si="50"/>
        <v/>
      </c>
      <c r="AJ109" s="1047" t="str">
        <f t="shared" si="50"/>
        <v/>
      </c>
      <c r="AK109" s="1047" t="str">
        <f t="shared" si="50"/>
        <v/>
      </c>
      <c r="AL109" s="1050">
        <f>SUM(G109:AH109)</f>
        <v>0</v>
      </c>
      <c r="AM109" s="1051">
        <f>AL109/4</f>
        <v>0</v>
      </c>
      <c r="AN109" s="1052" t="str">
        <f>IF(C108="","",C108)</f>
        <v/>
      </c>
      <c r="AO109" s="1053" t="str">
        <f>IF(D108="","",D108)</f>
        <v/>
      </c>
      <c r="AP109" s="1054" t="str">
        <f>IF(D108&lt;&gt;"",VLOOKUP(D108,$AU$2:$AV$6,2,FALSE),"")</f>
        <v/>
      </c>
      <c r="AQ109" s="1051">
        <f>ROUNDDOWN(AL109/$AL$6,2)</f>
        <v>0</v>
      </c>
      <c r="AR109" s="1051">
        <f>IF(AP109=1,"",AQ109)</f>
        <v>0</v>
      </c>
    </row>
    <row r="110" spans="1:44" ht="15.9" hidden="1" customHeight="1">
      <c r="A110" s="989"/>
      <c r="B110" s="2238" t="s">
        <v>2010</v>
      </c>
      <c r="C110" s="2239"/>
      <c r="D110" s="2241"/>
      <c r="E110" s="2243"/>
      <c r="F110" s="1034" t="s">
        <v>1959</v>
      </c>
      <c r="G110" s="1035"/>
      <c r="H110" s="1036"/>
      <c r="I110" s="1037"/>
      <c r="J110" s="1037"/>
      <c r="K110" s="1037"/>
      <c r="L110" s="1037"/>
      <c r="M110" s="1038"/>
      <c r="N110" s="1035"/>
      <c r="O110" s="1036"/>
      <c r="P110" s="1037"/>
      <c r="Q110" s="1037"/>
      <c r="R110" s="1037"/>
      <c r="S110" s="1037"/>
      <c r="T110" s="1038"/>
      <c r="U110" s="1035"/>
      <c r="V110" s="1036"/>
      <c r="W110" s="1037"/>
      <c r="X110" s="1037"/>
      <c r="Y110" s="1037"/>
      <c r="Z110" s="1037"/>
      <c r="AA110" s="1038"/>
      <c r="AB110" s="1035"/>
      <c r="AC110" s="1036"/>
      <c r="AD110" s="1037"/>
      <c r="AE110" s="1037"/>
      <c r="AF110" s="1037"/>
      <c r="AG110" s="1037"/>
      <c r="AH110" s="1038"/>
      <c r="AI110" s="1055"/>
      <c r="AJ110" s="1036"/>
      <c r="AK110" s="1036"/>
      <c r="AL110" s="1040">
        <f>SUM(G111:AK111)</f>
        <v>0</v>
      </c>
      <c r="AM110" s="1041"/>
      <c r="AN110" s="1042"/>
      <c r="AO110" s="1043"/>
      <c r="AP110" s="1041"/>
      <c r="AQ110" s="1044"/>
      <c r="AR110" s="1044"/>
    </row>
    <row r="111" spans="1:44" ht="15.9" hidden="1" customHeight="1">
      <c r="A111" s="989"/>
      <c r="B111" s="2238"/>
      <c r="C111" s="2240"/>
      <c r="D111" s="2242"/>
      <c r="E111" s="2244"/>
      <c r="F111" s="1045" t="s">
        <v>1960</v>
      </c>
      <c r="G111" s="1046" t="str">
        <f t="shared" ref="G111:AK111" si="51">IF(G110&lt;&gt;"",VLOOKUP(G110,$AC$197:$AL$221,9,FALSE),"")</f>
        <v/>
      </c>
      <c r="H111" s="1047" t="str">
        <f t="shared" si="51"/>
        <v/>
      </c>
      <c r="I111" s="1047" t="str">
        <f t="shared" si="51"/>
        <v/>
      </c>
      <c r="J111" s="1047" t="str">
        <f t="shared" si="51"/>
        <v/>
      </c>
      <c r="K111" s="1047" t="str">
        <f t="shared" si="51"/>
        <v/>
      </c>
      <c r="L111" s="1047" t="str">
        <f t="shared" si="51"/>
        <v/>
      </c>
      <c r="M111" s="1048" t="str">
        <f t="shared" si="51"/>
        <v/>
      </c>
      <c r="N111" s="1046" t="str">
        <f t="shared" si="51"/>
        <v/>
      </c>
      <c r="O111" s="1047" t="str">
        <f t="shared" si="51"/>
        <v/>
      </c>
      <c r="P111" s="1047" t="str">
        <f t="shared" si="51"/>
        <v/>
      </c>
      <c r="Q111" s="1047" t="str">
        <f t="shared" si="51"/>
        <v/>
      </c>
      <c r="R111" s="1047" t="str">
        <f t="shared" si="51"/>
        <v/>
      </c>
      <c r="S111" s="1047" t="str">
        <f t="shared" si="51"/>
        <v/>
      </c>
      <c r="T111" s="1048" t="str">
        <f t="shared" si="51"/>
        <v/>
      </c>
      <c r="U111" s="1046" t="str">
        <f t="shared" si="51"/>
        <v/>
      </c>
      <c r="V111" s="1047" t="str">
        <f t="shared" si="51"/>
        <v/>
      </c>
      <c r="W111" s="1047" t="str">
        <f t="shared" si="51"/>
        <v/>
      </c>
      <c r="X111" s="1047" t="str">
        <f t="shared" si="51"/>
        <v/>
      </c>
      <c r="Y111" s="1047" t="str">
        <f t="shared" si="51"/>
        <v/>
      </c>
      <c r="Z111" s="1047" t="str">
        <f t="shared" si="51"/>
        <v/>
      </c>
      <c r="AA111" s="1048" t="str">
        <f t="shared" si="51"/>
        <v/>
      </c>
      <c r="AB111" s="1046" t="str">
        <f t="shared" si="51"/>
        <v/>
      </c>
      <c r="AC111" s="1047" t="str">
        <f t="shared" si="51"/>
        <v/>
      </c>
      <c r="AD111" s="1047" t="str">
        <f t="shared" si="51"/>
        <v/>
      </c>
      <c r="AE111" s="1047" t="str">
        <f t="shared" si="51"/>
        <v/>
      </c>
      <c r="AF111" s="1047" t="str">
        <f t="shared" si="51"/>
        <v/>
      </c>
      <c r="AG111" s="1047" t="str">
        <f t="shared" si="51"/>
        <v/>
      </c>
      <c r="AH111" s="1048" t="str">
        <f t="shared" si="51"/>
        <v/>
      </c>
      <c r="AI111" s="1049" t="str">
        <f t="shared" si="51"/>
        <v/>
      </c>
      <c r="AJ111" s="1047" t="str">
        <f t="shared" si="51"/>
        <v/>
      </c>
      <c r="AK111" s="1047" t="str">
        <f t="shared" si="51"/>
        <v/>
      </c>
      <c r="AL111" s="1050">
        <f>SUM(G111:AH111)</f>
        <v>0</v>
      </c>
      <c r="AM111" s="1051">
        <f>AL111/4</f>
        <v>0</v>
      </c>
      <c r="AN111" s="1052" t="str">
        <f>IF(C110="","",C110)</f>
        <v/>
      </c>
      <c r="AO111" s="1053" t="str">
        <f>IF(D110="","",D110)</f>
        <v/>
      </c>
      <c r="AP111" s="1054" t="str">
        <f>IF(D110&lt;&gt;"",VLOOKUP(D110,$AU$2:$AV$6,2,FALSE),"")</f>
        <v/>
      </c>
      <c r="AQ111" s="1051">
        <f>ROUNDDOWN(AL111/$AL$6,2)</f>
        <v>0</v>
      </c>
      <c r="AR111" s="1051">
        <f>IF(AP111=1,"",AQ111)</f>
        <v>0</v>
      </c>
    </row>
    <row r="112" spans="1:44" ht="15.9" hidden="1" customHeight="1">
      <c r="A112" s="989"/>
      <c r="B112" s="2238" t="s">
        <v>2011</v>
      </c>
      <c r="C112" s="2239"/>
      <c r="D112" s="2241"/>
      <c r="E112" s="2243"/>
      <c r="F112" s="1034" t="s">
        <v>1959</v>
      </c>
      <c r="G112" s="1035"/>
      <c r="H112" s="1036"/>
      <c r="I112" s="1037"/>
      <c r="J112" s="1037"/>
      <c r="K112" s="1037"/>
      <c r="L112" s="1037"/>
      <c r="M112" s="1038"/>
      <c r="N112" s="1035"/>
      <c r="O112" s="1036"/>
      <c r="P112" s="1037"/>
      <c r="Q112" s="1037"/>
      <c r="R112" s="1037"/>
      <c r="S112" s="1037"/>
      <c r="T112" s="1038"/>
      <c r="U112" s="1035"/>
      <c r="V112" s="1036"/>
      <c r="W112" s="1037"/>
      <c r="X112" s="1037"/>
      <c r="Y112" s="1037"/>
      <c r="Z112" s="1037"/>
      <c r="AA112" s="1038"/>
      <c r="AB112" s="1035"/>
      <c r="AC112" s="1036"/>
      <c r="AD112" s="1037"/>
      <c r="AE112" s="1037"/>
      <c r="AF112" s="1037"/>
      <c r="AG112" s="1037"/>
      <c r="AH112" s="1038"/>
      <c r="AI112" s="1055"/>
      <c r="AJ112" s="1036"/>
      <c r="AK112" s="1036"/>
      <c r="AL112" s="1040">
        <f>SUM(G113:AK113)</f>
        <v>0</v>
      </c>
      <c r="AM112" s="1041"/>
      <c r="AN112" s="1042"/>
      <c r="AO112" s="1043"/>
      <c r="AP112" s="1041"/>
      <c r="AQ112" s="1044"/>
      <c r="AR112" s="1044"/>
    </row>
    <row r="113" spans="1:44" ht="15.9" hidden="1" customHeight="1">
      <c r="A113" s="989"/>
      <c r="B113" s="2238"/>
      <c r="C113" s="2240"/>
      <c r="D113" s="2242"/>
      <c r="E113" s="2244"/>
      <c r="F113" s="1045" t="s">
        <v>1960</v>
      </c>
      <c r="G113" s="1046" t="str">
        <f t="shared" ref="G113:AK113" si="52">IF(G112&lt;&gt;"",VLOOKUP(G112,$AC$197:$AL$221,9,FALSE),"")</f>
        <v/>
      </c>
      <c r="H113" s="1047" t="str">
        <f t="shared" si="52"/>
        <v/>
      </c>
      <c r="I113" s="1047" t="str">
        <f t="shared" si="52"/>
        <v/>
      </c>
      <c r="J113" s="1047" t="str">
        <f t="shared" si="52"/>
        <v/>
      </c>
      <c r="K113" s="1047" t="str">
        <f t="shared" si="52"/>
        <v/>
      </c>
      <c r="L113" s="1047" t="str">
        <f t="shared" si="52"/>
        <v/>
      </c>
      <c r="M113" s="1048" t="str">
        <f t="shared" si="52"/>
        <v/>
      </c>
      <c r="N113" s="1046" t="str">
        <f t="shared" si="52"/>
        <v/>
      </c>
      <c r="O113" s="1047" t="str">
        <f t="shared" si="52"/>
        <v/>
      </c>
      <c r="P113" s="1047" t="str">
        <f t="shared" si="52"/>
        <v/>
      </c>
      <c r="Q113" s="1047" t="str">
        <f t="shared" si="52"/>
        <v/>
      </c>
      <c r="R113" s="1047" t="str">
        <f t="shared" si="52"/>
        <v/>
      </c>
      <c r="S113" s="1047" t="str">
        <f t="shared" si="52"/>
        <v/>
      </c>
      <c r="T113" s="1048" t="str">
        <f t="shared" si="52"/>
        <v/>
      </c>
      <c r="U113" s="1046" t="str">
        <f t="shared" si="52"/>
        <v/>
      </c>
      <c r="V113" s="1047" t="str">
        <f t="shared" si="52"/>
        <v/>
      </c>
      <c r="W113" s="1047" t="str">
        <f t="shared" si="52"/>
        <v/>
      </c>
      <c r="X113" s="1047" t="str">
        <f t="shared" si="52"/>
        <v/>
      </c>
      <c r="Y113" s="1047" t="str">
        <f t="shared" si="52"/>
        <v/>
      </c>
      <c r="Z113" s="1047" t="str">
        <f t="shared" si="52"/>
        <v/>
      </c>
      <c r="AA113" s="1048" t="str">
        <f t="shared" si="52"/>
        <v/>
      </c>
      <c r="AB113" s="1046" t="str">
        <f t="shared" si="52"/>
        <v/>
      </c>
      <c r="AC113" s="1047" t="str">
        <f t="shared" si="52"/>
        <v/>
      </c>
      <c r="AD113" s="1047" t="str">
        <f t="shared" si="52"/>
        <v/>
      </c>
      <c r="AE113" s="1047" t="str">
        <f t="shared" si="52"/>
        <v/>
      </c>
      <c r="AF113" s="1047" t="str">
        <f t="shared" si="52"/>
        <v/>
      </c>
      <c r="AG113" s="1047" t="str">
        <f t="shared" si="52"/>
        <v/>
      </c>
      <c r="AH113" s="1048" t="str">
        <f t="shared" si="52"/>
        <v/>
      </c>
      <c r="AI113" s="1049" t="str">
        <f t="shared" si="52"/>
        <v/>
      </c>
      <c r="AJ113" s="1047" t="str">
        <f t="shared" si="52"/>
        <v/>
      </c>
      <c r="AK113" s="1047" t="str">
        <f t="shared" si="52"/>
        <v/>
      </c>
      <c r="AL113" s="1050">
        <f>SUM(G113:AH113)</f>
        <v>0</v>
      </c>
      <c r="AM113" s="1051">
        <f>AL113/4</f>
        <v>0</v>
      </c>
      <c r="AN113" s="1052" t="str">
        <f>IF(C112="","",C112)</f>
        <v/>
      </c>
      <c r="AO113" s="1053" t="str">
        <f>IF(D112="","",D112)</f>
        <v/>
      </c>
      <c r="AP113" s="1054" t="str">
        <f>IF(D112&lt;&gt;"",VLOOKUP(D112,$AU$2:$AV$6,2,FALSE),"")</f>
        <v/>
      </c>
      <c r="AQ113" s="1051">
        <f>ROUNDDOWN(AL113/$AL$6,2)</f>
        <v>0</v>
      </c>
      <c r="AR113" s="1051">
        <f>IF(AP113=1,"",AQ113)</f>
        <v>0</v>
      </c>
    </row>
    <row r="114" spans="1:44" ht="15.9" hidden="1" customHeight="1">
      <c r="A114" s="989"/>
      <c r="B114" s="2238" t="s">
        <v>2012</v>
      </c>
      <c r="C114" s="2239"/>
      <c r="D114" s="2241"/>
      <c r="E114" s="2243"/>
      <c r="F114" s="1034" t="s">
        <v>1959</v>
      </c>
      <c r="G114" s="1035"/>
      <c r="H114" s="1036"/>
      <c r="I114" s="1037"/>
      <c r="J114" s="1037"/>
      <c r="K114" s="1037"/>
      <c r="L114" s="1037"/>
      <c r="M114" s="1038"/>
      <c r="N114" s="1035"/>
      <c r="O114" s="1036"/>
      <c r="P114" s="1037"/>
      <c r="Q114" s="1037"/>
      <c r="R114" s="1037"/>
      <c r="S114" s="1037"/>
      <c r="T114" s="1038"/>
      <c r="U114" s="1035"/>
      <c r="V114" s="1036"/>
      <c r="W114" s="1037"/>
      <c r="X114" s="1037"/>
      <c r="Y114" s="1037"/>
      <c r="Z114" s="1037"/>
      <c r="AA114" s="1038"/>
      <c r="AB114" s="1035"/>
      <c r="AC114" s="1036"/>
      <c r="AD114" s="1037"/>
      <c r="AE114" s="1037"/>
      <c r="AF114" s="1037"/>
      <c r="AG114" s="1037"/>
      <c r="AH114" s="1038"/>
      <c r="AI114" s="1039"/>
      <c r="AJ114" s="1037"/>
      <c r="AK114" s="1037"/>
      <c r="AL114" s="1040">
        <f>SUM(G115:AK115)</f>
        <v>0</v>
      </c>
      <c r="AM114" s="1041"/>
      <c r="AN114" s="1042"/>
      <c r="AO114" s="1043"/>
      <c r="AP114" s="1041"/>
      <c r="AQ114" s="1044"/>
      <c r="AR114" s="1044"/>
    </row>
    <row r="115" spans="1:44" ht="15.9" hidden="1" customHeight="1">
      <c r="A115" s="989"/>
      <c r="B115" s="2238"/>
      <c r="C115" s="2240"/>
      <c r="D115" s="2242"/>
      <c r="E115" s="2244"/>
      <c r="F115" s="1045" t="s">
        <v>1960</v>
      </c>
      <c r="G115" s="1046" t="str">
        <f t="shared" ref="G115:AK115" si="53">IF(G114&lt;&gt;"",VLOOKUP(G114,$AC$197:$AL$221,9,FALSE),"")</f>
        <v/>
      </c>
      <c r="H115" s="1047" t="str">
        <f t="shared" si="53"/>
        <v/>
      </c>
      <c r="I115" s="1047" t="str">
        <f t="shared" si="53"/>
        <v/>
      </c>
      <c r="J115" s="1047" t="str">
        <f t="shared" si="53"/>
        <v/>
      </c>
      <c r="K115" s="1047" t="str">
        <f t="shared" si="53"/>
        <v/>
      </c>
      <c r="L115" s="1047" t="str">
        <f t="shared" si="53"/>
        <v/>
      </c>
      <c r="M115" s="1048" t="str">
        <f t="shared" si="53"/>
        <v/>
      </c>
      <c r="N115" s="1046" t="str">
        <f t="shared" si="53"/>
        <v/>
      </c>
      <c r="O115" s="1047" t="str">
        <f t="shared" si="53"/>
        <v/>
      </c>
      <c r="P115" s="1047" t="str">
        <f t="shared" si="53"/>
        <v/>
      </c>
      <c r="Q115" s="1047" t="str">
        <f t="shared" si="53"/>
        <v/>
      </c>
      <c r="R115" s="1047" t="str">
        <f t="shared" si="53"/>
        <v/>
      </c>
      <c r="S115" s="1047" t="str">
        <f t="shared" si="53"/>
        <v/>
      </c>
      <c r="T115" s="1048" t="str">
        <f t="shared" si="53"/>
        <v/>
      </c>
      <c r="U115" s="1046" t="str">
        <f t="shared" si="53"/>
        <v/>
      </c>
      <c r="V115" s="1047" t="str">
        <f t="shared" si="53"/>
        <v/>
      </c>
      <c r="W115" s="1047" t="str">
        <f t="shared" si="53"/>
        <v/>
      </c>
      <c r="X115" s="1047" t="str">
        <f t="shared" si="53"/>
        <v/>
      </c>
      <c r="Y115" s="1047" t="str">
        <f t="shared" si="53"/>
        <v/>
      </c>
      <c r="Z115" s="1047" t="str">
        <f t="shared" si="53"/>
        <v/>
      </c>
      <c r="AA115" s="1048" t="str">
        <f t="shared" si="53"/>
        <v/>
      </c>
      <c r="AB115" s="1046" t="str">
        <f t="shared" si="53"/>
        <v/>
      </c>
      <c r="AC115" s="1047" t="str">
        <f t="shared" si="53"/>
        <v/>
      </c>
      <c r="AD115" s="1047" t="str">
        <f t="shared" si="53"/>
        <v/>
      </c>
      <c r="AE115" s="1047" t="str">
        <f t="shared" si="53"/>
        <v/>
      </c>
      <c r="AF115" s="1047" t="str">
        <f t="shared" si="53"/>
        <v/>
      </c>
      <c r="AG115" s="1047" t="str">
        <f t="shared" si="53"/>
        <v/>
      </c>
      <c r="AH115" s="1048" t="str">
        <f t="shared" si="53"/>
        <v/>
      </c>
      <c r="AI115" s="1049" t="str">
        <f t="shared" si="53"/>
        <v/>
      </c>
      <c r="AJ115" s="1047" t="str">
        <f t="shared" si="53"/>
        <v/>
      </c>
      <c r="AK115" s="1047" t="str">
        <f t="shared" si="53"/>
        <v/>
      </c>
      <c r="AL115" s="1050">
        <f>SUM(G115:AH115)</f>
        <v>0</v>
      </c>
      <c r="AM115" s="1051">
        <f>AL115/4</f>
        <v>0</v>
      </c>
      <c r="AN115" s="1052" t="str">
        <f>IF(C114="","",C114)</f>
        <v/>
      </c>
      <c r="AO115" s="1053" t="str">
        <f>IF(D114="","",D114)</f>
        <v/>
      </c>
      <c r="AP115" s="1054" t="str">
        <f>IF(D114&lt;&gt;"",VLOOKUP(D114,$AU$2:$AV$6,2,FALSE),"")</f>
        <v/>
      </c>
      <c r="AQ115" s="1051">
        <f>ROUNDDOWN(AL115/$AL$6,2)</f>
        <v>0</v>
      </c>
      <c r="AR115" s="1051">
        <f>IF(AP115=1,"",AQ115)</f>
        <v>0</v>
      </c>
    </row>
    <row r="116" spans="1:44" ht="15.9" hidden="1" customHeight="1">
      <c r="A116" s="989"/>
      <c r="B116" s="2238" t="s">
        <v>2013</v>
      </c>
      <c r="C116" s="2239"/>
      <c r="D116" s="2241"/>
      <c r="E116" s="2243"/>
      <c r="F116" s="1034" t="s">
        <v>1959</v>
      </c>
      <c r="G116" s="1035"/>
      <c r="H116" s="1036"/>
      <c r="I116" s="1037"/>
      <c r="J116" s="1037"/>
      <c r="K116" s="1037"/>
      <c r="L116" s="1037"/>
      <c r="M116" s="1038"/>
      <c r="N116" s="1035"/>
      <c r="O116" s="1036"/>
      <c r="P116" s="1037"/>
      <c r="Q116" s="1037"/>
      <c r="R116" s="1037"/>
      <c r="S116" s="1037"/>
      <c r="T116" s="1038"/>
      <c r="U116" s="1035"/>
      <c r="V116" s="1036"/>
      <c r="W116" s="1037"/>
      <c r="X116" s="1037"/>
      <c r="Y116" s="1037"/>
      <c r="Z116" s="1037"/>
      <c r="AA116" s="1038"/>
      <c r="AB116" s="1035"/>
      <c r="AC116" s="1036"/>
      <c r="AD116" s="1037"/>
      <c r="AE116" s="1037"/>
      <c r="AF116" s="1037"/>
      <c r="AG116" s="1037"/>
      <c r="AH116" s="1038"/>
      <c r="AI116" s="1039"/>
      <c r="AJ116" s="1037"/>
      <c r="AK116" s="1037"/>
      <c r="AL116" s="1040">
        <f>SUM(G117:AK117)</f>
        <v>0</v>
      </c>
      <c r="AM116" s="1041"/>
      <c r="AN116" s="1042"/>
      <c r="AO116" s="1043"/>
      <c r="AP116" s="1041"/>
      <c r="AQ116" s="1044"/>
      <c r="AR116" s="1044"/>
    </row>
    <row r="117" spans="1:44" ht="15.9" hidden="1" customHeight="1">
      <c r="A117" s="989"/>
      <c r="B117" s="2238"/>
      <c r="C117" s="2240"/>
      <c r="D117" s="2242"/>
      <c r="E117" s="2244"/>
      <c r="F117" s="1045" t="s">
        <v>1960</v>
      </c>
      <c r="G117" s="1046" t="str">
        <f t="shared" ref="G117:AK117" si="54">IF(G116&lt;&gt;"",VLOOKUP(G116,$AC$197:$AL$221,9,FALSE),"")</f>
        <v/>
      </c>
      <c r="H117" s="1047" t="str">
        <f t="shared" si="54"/>
        <v/>
      </c>
      <c r="I117" s="1047" t="str">
        <f t="shared" si="54"/>
        <v/>
      </c>
      <c r="J117" s="1047" t="str">
        <f t="shared" si="54"/>
        <v/>
      </c>
      <c r="K117" s="1047" t="str">
        <f t="shared" si="54"/>
        <v/>
      </c>
      <c r="L117" s="1047" t="str">
        <f t="shared" si="54"/>
        <v/>
      </c>
      <c r="M117" s="1048" t="str">
        <f t="shared" si="54"/>
        <v/>
      </c>
      <c r="N117" s="1046" t="str">
        <f t="shared" si="54"/>
        <v/>
      </c>
      <c r="O117" s="1047" t="str">
        <f t="shared" si="54"/>
        <v/>
      </c>
      <c r="P117" s="1047" t="str">
        <f t="shared" si="54"/>
        <v/>
      </c>
      <c r="Q117" s="1047" t="str">
        <f t="shared" si="54"/>
        <v/>
      </c>
      <c r="R117" s="1047" t="str">
        <f t="shared" si="54"/>
        <v/>
      </c>
      <c r="S117" s="1047" t="str">
        <f t="shared" si="54"/>
        <v/>
      </c>
      <c r="T117" s="1048" t="str">
        <f t="shared" si="54"/>
        <v/>
      </c>
      <c r="U117" s="1046" t="str">
        <f t="shared" si="54"/>
        <v/>
      </c>
      <c r="V117" s="1047" t="str">
        <f t="shared" si="54"/>
        <v/>
      </c>
      <c r="W117" s="1047" t="str">
        <f t="shared" si="54"/>
        <v/>
      </c>
      <c r="X117" s="1047" t="str">
        <f t="shared" si="54"/>
        <v/>
      </c>
      <c r="Y117" s="1047" t="str">
        <f t="shared" si="54"/>
        <v/>
      </c>
      <c r="Z117" s="1047" t="str">
        <f t="shared" si="54"/>
        <v/>
      </c>
      <c r="AA117" s="1048" t="str">
        <f t="shared" si="54"/>
        <v/>
      </c>
      <c r="AB117" s="1046" t="str">
        <f t="shared" si="54"/>
        <v/>
      </c>
      <c r="AC117" s="1047" t="str">
        <f t="shared" si="54"/>
        <v/>
      </c>
      <c r="AD117" s="1047" t="str">
        <f t="shared" si="54"/>
        <v/>
      </c>
      <c r="AE117" s="1047" t="str">
        <f t="shared" si="54"/>
        <v/>
      </c>
      <c r="AF117" s="1047" t="str">
        <f t="shared" si="54"/>
        <v/>
      </c>
      <c r="AG117" s="1047" t="str">
        <f t="shared" si="54"/>
        <v/>
      </c>
      <c r="AH117" s="1048" t="str">
        <f t="shared" si="54"/>
        <v/>
      </c>
      <c r="AI117" s="1049" t="str">
        <f t="shared" si="54"/>
        <v/>
      </c>
      <c r="AJ117" s="1047" t="str">
        <f t="shared" si="54"/>
        <v/>
      </c>
      <c r="AK117" s="1047" t="str">
        <f t="shared" si="54"/>
        <v/>
      </c>
      <c r="AL117" s="1050">
        <f>SUM(G117:AH117)</f>
        <v>0</v>
      </c>
      <c r="AM117" s="1051">
        <f>AL117/4</f>
        <v>0</v>
      </c>
      <c r="AN117" s="1052" t="str">
        <f>IF(C116="","",C116)</f>
        <v/>
      </c>
      <c r="AO117" s="1053" t="str">
        <f>IF(D116="","",D116)</f>
        <v/>
      </c>
      <c r="AP117" s="1054" t="str">
        <f>IF(D116&lt;&gt;"",VLOOKUP(D116,$AU$2:$AV$6,2,FALSE),"")</f>
        <v/>
      </c>
      <c r="AQ117" s="1051">
        <f>ROUNDDOWN(AL117/$AL$6,2)</f>
        <v>0</v>
      </c>
      <c r="AR117" s="1051">
        <f>IF(AP117=1,"",AQ117)</f>
        <v>0</v>
      </c>
    </row>
    <row r="118" spans="1:44" ht="15.9" hidden="1" customHeight="1">
      <c r="A118" s="989"/>
      <c r="B118" s="2238" t="s">
        <v>2014</v>
      </c>
      <c r="C118" s="2239"/>
      <c r="D118" s="2241"/>
      <c r="E118" s="2243"/>
      <c r="F118" s="1034" t="s">
        <v>1959</v>
      </c>
      <c r="G118" s="1035"/>
      <c r="H118" s="1036"/>
      <c r="I118" s="1037"/>
      <c r="J118" s="1037"/>
      <c r="K118" s="1037"/>
      <c r="L118" s="1037"/>
      <c r="M118" s="1038"/>
      <c r="N118" s="1035"/>
      <c r="O118" s="1036"/>
      <c r="P118" s="1037"/>
      <c r="Q118" s="1037"/>
      <c r="R118" s="1037"/>
      <c r="S118" s="1037"/>
      <c r="T118" s="1038"/>
      <c r="U118" s="1035"/>
      <c r="V118" s="1036"/>
      <c r="W118" s="1037"/>
      <c r="X118" s="1037"/>
      <c r="Y118" s="1037"/>
      <c r="Z118" s="1037"/>
      <c r="AA118" s="1038"/>
      <c r="AB118" s="1035"/>
      <c r="AC118" s="1036"/>
      <c r="AD118" s="1037"/>
      <c r="AE118" s="1037"/>
      <c r="AF118" s="1037"/>
      <c r="AG118" s="1037"/>
      <c r="AH118" s="1038"/>
      <c r="AI118" s="1055"/>
      <c r="AJ118" s="1036"/>
      <c r="AK118" s="1036"/>
      <c r="AL118" s="1040">
        <f>SUM(G119:AK119)</f>
        <v>0</v>
      </c>
      <c r="AM118" s="1041"/>
      <c r="AN118" s="1042"/>
      <c r="AO118" s="1043"/>
      <c r="AP118" s="1041"/>
      <c r="AQ118" s="1044"/>
      <c r="AR118" s="1044"/>
    </row>
    <row r="119" spans="1:44" ht="15.9" hidden="1" customHeight="1">
      <c r="A119" s="989"/>
      <c r="B119" s="2238"/>
      <c r="C119" s="2240"/>
      <c r="D119" s="2242"/>
      <c r="E119" s="2244"/>
      <c r="F119" s="1045" t="s">
        <v>1960</v>
      </c>
      <c r="G119" s="1046" t="str">
        <f t="shared" ref="G119:AK119" si="55">IF(G118&lt;&gt;"",VLOOKUP(G118,$AC$197:$AL$221,9,FALSE),"")</f>
        <v/>
      </c>
      <c r="H119" s="1047" t="str">
        <f t="shared" si="55"/>
        <v/>
      </c>
      <c r="I119" s="1047" t="str">
        <f t="shared" si="55"/>
        <v/>
      </c>
      <c r="J119" s="1047" t="str">
        <f t="shared" si="55"/>
        <v/>
      </c>
      <c r="K119" s="1047" t="str">
        <f t="shared" si="55"/>
        <v/>
      </c>
      <c r="L119" s="1047" t="str">
        <f t="shared" si="55"/>
        <v/>
      </c>
      <c r="M119" s="1048" t="str">
        <f t="shared" si="55"/>
        <v/>
      </c>
      <c r="N119" s="1046" t="str">
        <f t="shared" si="55"/>
        <v/>
      </c>
      <c r="O119" s="1047" t="str">
        <f t="shared" si="55"/>
        <v/>
      </c>
      <c r="P119" s="1047" t="str">
        <f t="shared" si="55"/>
        <v/>
      </c>
      <c r="Q119" s="1047" t="str">
        <f t="shared" si="55"/>
        <v/>
      </c>
      <c r="R119" s="1047" t="str">
        <f t="shared" si="55"/>
        <v/>
      </c>
      <c r="S119" s="1047" t="str">
        <f t="shared" si="55"/>
        <v/>
      </c>
      <c r="T119" s="1048" t="str">
        <f t="shared" si="55"/>
        <v/>
      </c>
      <c r="U119" s="1046" t="str">
        <f t="shared" si="55"/>
        <v/>
      </c>
      <c r="V119" s="1047" t="str">
        <f t="shared" si="55"/>
        <v/>
      </c>
      <c r="W119" s="1047" t="str">
        <f t="shared" si="55"/>
        <v/>
      </c>
      <c r="X119" s="1047" t="str">
        <f t="shared" si="55"/>
        <v/>
      </c>
      <c r="Y119" s="1047" t="str">
        <f t="shared" si="55"/>
        <v/>
      </c>
      <c r="Z119" s="1047" t="str">
        <f t="shared" si="55"/>
        <v/>
      </c>
      <c r="AA119" s="1048" t="str">
        <f t="shared" si="55"/>
        <v/>
      </c>
      <c r="AB119" s="1046" t="str">
        <f t="shared" si="55"/>
        <v/>
      </c>
      <c r="AC119" s="1047" t="str">
        <f t="shared" si="55"/>
        <v/>
      </c>
      <c r="AD119" s="1047" t="str">
        <f t="shared" si="55"/>
        <v/>
      </c>
      <c r="AE119" s="1047" t="str">
        <f t="shared" si="55"/>
        <v/>
      </c>
      <c r="AF119" s="1047" t="str">
        <f t="shared" si="55"/>
        <v/>
      </c>
      <c r="AG119" s="1047" t="str">
        <f t="shared" si="55"/>
        <v/>
      </c>
      <c r="AH119" s="1048" t="str">
        <f t="shared" si="55"/>
        <v/>
      </c>
      <c r="AI119" s="1049" t="str">
        <f t="shared" si="55"/>
        <v/>
      </c>
      <c r="AJ119" s="1047" t="str">
        <f t="shared" si="55"/>
        <v/>
      </c>
      <c r="AK119" s="1047" t="str">
        <f t="shared" si="55"/>
        <v/>
      </c>
      <c r="AL119" s="1050">
        <f>SUM(G119:AH119)</f>
        <v>0</v>
      </c>
      <c r="AM119" s="1051">
        <f>AL119/4</f>
        <v>0</v>
      </c>
      <c r="AN119" s="1052" t="str">
        <f>IF(C118="","",C118)</f>
        <v/>
      </c>
      <c r="AO119" s="1053" t="str">
        <f>IF(D118="","",D118)</f>
        <v/>
      </c>
      <c r="AP119" s="1054" t="str">
        <f>IF(D118&lt;&gt;"",VLOOKUP(D118,$AU$2:$AV$6,2,FALSE),"")</f>
        <v/>
      </c>
      <c r="AQ119" s="1051">
        <f>ROUNDDOWN(AL119/$AL$6,2)</f>
        <v>0</v>
      </c>
      <c r="AR119" s="1051">
        <f>IF(AP119=1,"",AQ119)</f>
        <v>0</v>
      </c>
    </row>
    <row r="120" spans="1:44" ht="15.9" hidden="1" customHeight="1">
      <c r="A120" s="989"/>
      <c r="B120" s="2238" t="s">
        <v>2015</v>
      </c>
      <c r="C120" s="2239"/>
      <c r="D120" s="2241"/>
      <c r="E120" s="2243"/>
      <c r="F120" s="1034" t="s">
        <v>1959</v>
      </c>
      <c r="G120" s="1035"/>
      <c r="H120" s="1036"/>
      <c r="I120" s="1037"/>
      <c r="J120" s="1037"/>
      <c r="K120" s="1037"/>
      <c r="L120" s="1037"/>
      <c r="M120" s="1038"/>
      <c r="N120" s="1035"/>
      <c r="O120" s="1036"/>
      <c r="P120" s="1037"/>
      <c r="Q120" s="1037"/>
      <c r="R120" s="1037"/>
      <c r="S120" s="1037"/>
      <c r="T120" s="1038"/>
      <c r="U120" s="1035"/>
      <c r="V120" s="1036"/>
      <c r="W120" s="1037"/>
      <c r="X120" s="1037"/>
      <c r="Y120" s="1037"/>
      <c r="Z120" s="1037"/>
      <c r="AA120" s="1038"/>
      <c r="AB120" s="1035"/>
      <c r="AC120" s="1036"/>
      <c r="AD120" s="1037"/>
      <c r="AE120" s="1037"/>
      <c r="AF120" s="1037"/>
      <c r="AG120" s="1037"/>
      <c r="AH120" s="1038"/>
      <c r="AI120" s="1055"/>
      <c r="AJ120" s="1036"/>
      <c r="AK120" s="1036"/>
      <c r="AL120" s="1040">
        <f>SUM(G121:AK121)</f>
        <v>0</v>
      </c>
      <c r="AM120" s="1041"/>
      <c r="AN120" s="1042"/>
      <c r="AO120" s="1043"/>
      <c r="AP120" s="1041"/>
      <c r="AQ120" s="1044"/>
      <c r="AR120" s="1044"/>
    </row>
    <row r="121" spans="1:44" ht="15.9" hidden="1" customHeight="1">
      <c r="A121" s="989"/>
      <c r="B121" s="2238"/>
      <c r="C121" s="2240"/>
      <c r="D121" s="2242"/>
      <c r="E121" s="2244"/>
      <c r="F121" s="1045" t="s">
        <v>1960</v>
      </c>
      <c r="G121" s="1046" t="str">
        <f t="shared" ref="G121:AK121" si="56">IF(G120&lt;&gt;"",VLOOKUP(G120,$AC$197:$AL$221,9,FALSE),"")</f>
        <v/>
      </c>
      <c r="H121" s="1047" t="str">
        <f t="shared" si="56"/>
        <v/>
      </c>
      <c r="I121" s="1047" t="str">
        <f t="shared" si="56"/>
        <v/>
      </c>
      <c r="J121" s="1047" t="str">
        <f t="shared" si="56"/>
        <v/>
      </c>
      <c r="K121" s="1047" t="str">
        <f t="shared" si="56"/>
        <v/>
      </c>
      <c r="L121" s="1047" t="str">
        <f t="shared" si="56"/>
        <v/>
      </c>
      <c r="M121" s="1048" t="str">
        <f t="shared" si="56"/>
        <v/>
      </c>
      <c r="N121" s="1046" t="str">
        <f t="shared" si="56"/>
        <v/>
      </c>
      <c r="O121" s="1047" t="str">
        <f t="shared" si="56"/>
        <v/>
      </c>
      <c r="P121" s="1047" t="str">
        <f t="shared" si="56"/>
        <v/>
      </c>
      <c r="Q121" s="1047" t="str">
        <f t="shared" si="56"/>
        <v/>
      </c>
      <c r="R121" s="1047" t="str">
        <f t="shared" si="56"/>
        <v/>
      </c>
      <c r="S121" s="1047" t="str">
        <f t="shared" si="56"/>
        <v/>
      </c>
      <c r="T121" s="1048" t="str">
        <f t="shared" si="56"/>
        <v/>
      </c>
      <c r="U121" s="1046" t="str">
        <f t="shared" si="56"/>
        <v/>
      </c>
      <c r="V121" s="1047" t="str">
        <f t="shared" si="56"/>
        <v/>
      </c>
      <c r="W121" s="1047" t="str">
        <f t="shared" si="56"/>
        <v/>
      </c>
      <c r="X121" s="1047" t="str">
        <f t="shared" si="56"/>
        <v/>
      </c>
      <c r="Y121" s="1047" t="str">
        <f t="shared" si="56"/>
        <v/>
      </c>
      <c r="Z121" s="1047" t="str">
        <f t="shared" si="56"/>
        <v/>
      </c>
      <c r="AA121" s="1048" t="str">
        <f t="shared" si="56"/>
        <v/>
      </c>
      <c r="AB121" s="1046" t="str">
        <f t="shared" si="56"/>
        <v/>
      </c>
      <c r="AC121" s="1047" t="str">
        <f t="shared" si="56"/>
        <v/>
      </c>
      <c r="AD121" s="1047" t="str">
        <f t="shared" si="56"/>
        <v/>
      </c>
      <c r="AE121" s="1047" t="str">
        <f t="shared" si="56"/>
        <v/>
      </c>
      <c r="AF121" s="1047" t="str">
        <f t="shared" si="56"/>
        <v/>
      </c>
      <c r="AG121" s="1047" t="str">
        <f t="shared" si="56"/>
        <v/>
      </c>
      <c r="AH121" s="1048" t="str">
        <f t="shared" si="56"/>
        <v/>
      </c>
      <c r="AI121" s="1049" t="str">
        <f t="shared" si="56"/>
        <v/>
      </c>
      <c r="AJ121" s="1047" t="str">
        <f t="shared" si="56"/>
        <v/>
      </c>
      <c r="AK121" s="1047" t="str">
        <f t="shared" si="56"/>
        <v/>
      </c>
      <c r="AL121" s="1050">
        <f>SUM(G121:AH121)</f>
        <v>0</v>
      </c>
      <c r="AM121" s="1051">
        <f>AL121/4</f>
        <v>0</v>
      </c>
      <c r="AN121" s="1052" t="str">
        <f>IF(C120="","",C120)</f>
        <v/>
      </c>
      <c r="AO121" s="1053" t="str">
        <f>IF(D120="","",D120)</f>
        <v/>
      </c>
      <c r="AP121" s="1054" t="str">
        <f>IF(D120&lt;&gt;"",VLOOKUP(D120,$AU$2:$AV$6,2,FALSE),"")</f>
        <v/>
      </c>
      <c r="AQ121" s="1051">
        <f>ROUNDDOWN(AL121/$AL$6,2)</f>
        <v>0</v>
      </c>
      <c r="AR121" s="1051">
        <f>IF(AP121=1,"",AQ121)</f>
        <v>0</v>
      </c>
    </row>
    <row r="122" spans="1:44" ht="15.9" hidden="1" customHeight="1">
      <c r="A122" s="989"/>
      <c r="B122" s="2238" t="s">
        <v>2016</v>
      </c>
      <c r="C122" s="2239"/>
      <c r="D122" s="2241"/>
      <c r="E122" s="2243"/>
      <c r="F122" s="1034" t="s">
        <v>1959</v>
      </c>
      <c r="G122" s="1035"/>
      <c r="H122" s="1036"/>
      <c r="I122" s="1037"/>
      <c r="J122" s="1037"/>
      <c r="K122" s="1037"/>
      <c r="L122" s="1037"/>
      <c r="M122" s="1038"/>
      <c r="N122" s="1035"/>
      <c r="O122" s="1036"/>
      <c r="P122" s="1037"/>
      <c r="Q122" s="1037"/>
      <c r="R122" s="1037"/>
      <c r="S122" s="1037"/>
      <c r="T122" s="1038"/>
      <c r="U122" s="1035"/>
      <c r="V122" s="1036"/>
      <c r="W122" s="1037"/>
      <c r="X122" s="1037"/>
      <c r="Y122" s="1037"/>
      <c r="Z122" s="1037"/>
      <c r="AA122" s="1038"/>
      <c r="AB122" s="1035"/>
      <c r="AC122" s="1036"/>
      <c r="AD122" s="1037"/>
      <c r="AE122" s="1037"/>
      <c r="AF122" s="1037"/>
      <c r="AG122" s="1037"/>
      <c r="AH122" s="1038"/>
      <c r="AI122" s="1055"/>
      <c r="AJ122" s="1036"/>
      <c r="AK122" s="1036"/>
      <c r="AL122" s="1040">
        <f>SUM(G123:AK123)</f>
        <v>0</v>
      </c>
      <c r="AM122" s="1041"/>
      <c r="AN122" s="1042"/>
      <c r="AO122" s="1043"/>
      <c r="AP122" s="1041"/>
      <c r="AQ122" s="1044"/>
      <c r="AR122" s="1044"/>
    </row>
    <row r="123" spans="1:44" ht="15.9" hidden="1" customHeight="1">
      <c r="A123" s="989"/>
      <c r="B123" s="2238"/>
      <c r="C123" s="2240"/>
      <c r="D123" s="2242"/>
      <c r="E123" s="2244"/>
      <c r="F123" s="1045" t="s">
        <v>1960</v>
      </c>
      <c r="G123" s="1046" t="str">
        <f t="shared" ref="G123:AK123" si="57">IF(G122&lt;&gt;"",VLOOKUP(G122,$AC$197:$AL$221,9,FALSE),"")</f>
        <v/>
      </c>
      <c r="H123" s="1047" t="str">
        <f t="shared" si="57"/>
        <v/>
      </c>
      <c r="I123" s="1047" t="str">
        <f t="shared" si="57"/>
        <v/>
      </c>
      <c r="J123" s="1047" t="str">
        <f t="shared" si="57"/>
        <v/>
      </c>
      <c r="K123" s="1047" t="str">
        <f t="shared" si="57"/>
        <v/>
      </c>
      <c r="L123" s="1047" t="str">
        <f t="shared" si="57"/>
        <v/>
      </c>
      <c r="M123" s="1048" t="str">
        <f t="shared" si="57"/>
        <v/>
      </c>
      <c r="N123" s="1046" t="str">
        <f t="shared" si="57"/>
        <v/>
      </c>
      <c r="O123" s="1047" t="str">
        <f t="shared" si="57"/>
        <v/>
      </c>
      <c r="P123" s="1047" t="str">
        <f t="shared" si="57"/>
        <v/>
      </c>
      <c r="Q123" s="1047" t="str">
        <f t="shared" si="57"/>
        <v/>
      </c>
      <c r="R123" s="1047" t="str">
        <f t="shared" si="57"/>
        <v/>
      </c>
      <c r="S123" s="1047" t="str">
        <f t="shared" si="57"/>
        <v/>
      </c>
      <c r="T123" s="1048" t="str">
        <f t="shared" si="57"/>
        <v/>
      </c>
      <c r="U123" s="1046" t="str">
        <f t="shared" si="57"/>
        <v/>
      </c>
      <c r="V123" s="1047" t="str">
        <f t="shared" si="57"/>
        <v/>
      </c>
      <c r="W123" s="1047" t="str">
        <f t="shared" si="57"/>
        <v/>
      </c>
      <c r="X123" s="1047" t="str">
        <f t="shared" si="57"/>
        <v/>
      </c>
      <c r="Y123" s="1047" t="str">
        <f t="shared" si="57"/>
        <v/>
      </c>
      <c r="Z123" s="1047" t="str">
        <f t="shared" si="57"/>
        <v/>
      </c>
      <c r="AA123" s="1048" t="str">
        <f t="shared" si="57"/>
        <v/>
      </c>
      <c r="AB123" s="1046" t="str">
        <f t="shared" si="57"/>
        <v/>
      </c>
      <c r="AC123" s="1047" t="str">
        <f t="shared" si="57"/>
        <v/>
      </c>
      <c r="AD123" s="1047" t="str">
        <f t="shared" si="57"/>
        <v/>
      </c>
      <c r="AE123" s="1047" t="str">
        <f t="shared" si="57"/>
        <v/>
      </c>
      <c r="AF123" s="1047" t="str">
        <f t="shared" si="57"/>
        <v/>
      </c>
      <c r="AG123" s="1047" t="str">
        <f t="shared" si="57"/>
        <v/>
      </c>
      <c r="AH123" s="1048" t="str">
        <f t="shared" si="57"/>
        <v/>
      </c>
      <c r="AI123" s="1049" t="str">
        <f t="shared" si="57"/>
        <v/>
      </c>
      <c r="AJ123" s="1047" t="str">
        <f t="shared" si="57"/>
        <v/>
      </c>
      <c r="AK123" s="1047" t="str">
        <f t="shared" si="57"/>
        <v/>
      </c>
      <c r="AL123" s="1050">
        <f>SUM(G123:AH123)</f>
        <v>0</v>
      </c>
      <c r="AM123" s="1051">
        <f>AL123/4</f>
        <v>0</v>
      </c>
      <c r="AN123" s="1052" t="str">
        <f>IF(C122="","",C122)</f>
        <v/>
      </c>
      <c r="AO123" s="1053" t="str">
        <f>IF(D122="","",D122)</f>
        <v/>
      </c>
      <c r="AP123" s="1054" t="str">
        <f>IF(D122&lt;&gt;"",VLOOKUP(D122,$AU$2:$AV$6,2,FALSE),"")</f>
        <v/>
      </c>
      <c r="AQ123" s="1051">
        <f>ROUNDDOWN(AL123/$AL$6,2)</f>
        <v>0</v>
      </c>
      <c r="AR123" s="1051">
        <f>IF(AP123=1,"",AQ123)</f>
        <v>0</v>
      </c>
    </row>
    <row r="124" spans="1:44" ht="15.9" hidden="1" customHeight="1">
      <c r="A124" s="989"/>
      <c r="B124" s="2238" t="s">
        <v>2017</v>
      </c>
      <c r="C124" s="2239"/>
      <c r="D124" s="2241"/>
      <c r="E124" s="2243"/>
      <c r="F124" s="1034" t="s">
        <v>1959</v>
      </c>
      <c r="G124" s="1035"/>
      <c r="H124" s="1036"/>
      <c r="I124" s="1037"/>
      <c r="J124" s="1037"/>
      <c r="K124" s="1037"/>
      <c r="L124" s="1037"/>
      <c r="M124" s="1038"/>
      <c r="N124" s="1035"/>
      <c r="O124" s="1036"/>
      <c r="P124" s="1037"/>
      <c r="Q124" s="1037"/>
      <c r="R124" s="1037"/>
      <c r="S124" s="1037"/>
      <c r="T124" s="1038"/>
      <c r="U124" s="1035"/>
      <c r="V124" s="1036"/>
      <c r="W124" s="1037"/>
      <c r="X124" s="1037"/>
      <c r="Y124" s="1037"/>
      <c r="Z124" s="1037"/>
      <c r="AA124" s="1038"/>
      <c r="AB124" s="1035"/>
      <c r="AC124" s="1036"/>
      <c r="AD124" s="1037"/>
      <c r="AE124" s="1037"/>
      <c r="AF124" s="1037"/>
      <c r="AG124" s="1037"/>
      <c r="AH124" s="1038"/>
      <c r="AI124" s="1055"/>
      <c r="AJ124" s="1036"/>
      <c r="AK124" s="1036"/>
      <c r="AL124" s="1040">
        <f>SUM(G125:AK125)</f>
        <v>0</v>
      </c>
      <c r="AM124" s="1041"/>
      <c r="AN124" s="1042"/>
      <c r="AO124" s="1043"/>
      <c r="AP124" s="1041"/>
      <c r="AQ124" s="1044"/>
      <c r="AR124" s="1044"/>
    </row>
    <row r="125" spans="1:44" ht="15.9" hidden="1" customHeight="1">
      <c r="A125" s="989"/>
      <c r="B125" s="2238"/>
      <c r="C125" s="2240"/>
      <c r="D125" s="2242"/>
      <c r="E125" s="2244"/>
      <c r="F125" s="1045" t="s">
        <v>1960</v>
      </c>
      <c r="G125" s="1046" t="str">
        <f t="shared" ref="G125:AK125" si="58">IF(G124&lt;&gt;"",VLOOKUP(G124,$AC$197:$AL$221,9,FALSE),"")</f>
        <v/>
      </c>
      <c r="H125" s="1047" t="str">
        <f t="shared" si="58"/>
        <v/>
      </c>
      <c r="I125" s="1047" t="str">
        <f t="shared" si="58"/>
        <v/>
      </c>
      <c r="J125" s="1047" t="str">
        <f t="shared" si="58"/>
        <v/>
      </c>
      <c r="K125" s="1047" t="str">
        <f t="shared" si="58"/>
        <v/>
      </c>
      <c r="L125" s="1047" t="str">
        <f t="shared" si="58"/>
        <v/>
      </c>
      <c r="M125" s="1048" t="str">
        <f t="shared" si="58"/>
        <v/>
      </c>
      <c r="N125" s="1046" t="str">
        <f t="shared" si="58"/>
        <v/>
      </c>
      <c r="O125" s="1047" t="str">
        <f t="shared" si="58"/>
        <v/>
      </c>
      <c r="P125" s="1047" t="str">
        <f t="shared" si="58"/>
        <v/>
      </c>
      <c r="Q125" s="1047" t="str">
        <f t="shared" si="58"/>
        <v/>
      </c>
      <c r="R125" s="1047" t="str">
        <f t="shared" si="58"/>
        <v/>
      </c>
      <c r="S125" s="1047" t="str">
        <f t="shared" si="58"/>
        <v/>
      </c>
      <c r="T125" s="1048" t="str">
        <f t="shared" si="58"/>
        <v/>
      </c>
      <c r="U125" s="1046" t="str">
        <f t="shared" si="58"/>
        <v/>
      </c>
      <c r="V125" s="1047" t="str">
        <f t="shared" si="58"/>
        <v/>
      </c>
      <c r="W125" s="1047" t="str">
        <f t="shared" si="58"/>
        <v/>
      </c>
      <c r="X125" s="1047" t="str">
        <f t="shared" si="58"/>
        <v/>
      </c>
      <c r="Y125" s="1047" t="str">
        <f t="shared" si="58"/>
        <v/>
      </c>
      <c r="Z125" s="1047" t="str">
        <f t="shared" si="58"/>
        <v/>
      </c>
      <c r="AA125" s="1048" t="str">
        <f t="shared" si="58"/>
        <v/>
      </c>
      <c r="AB125" s="1046" t="str">
        <f t="shared" si="58"/>
        <v/>
      </c>
      <c r="AC125" s="1047" t="str">
        <f t="shared" si="58"/>
        <v/>
      </c>
      <c r="AD125" s="1047" t="str">
        <f t="shared" si="58"/>
        <v/>
      </c>
      <c r="AE125" s="1047" t="str">
        <f t="shared" si="58"/>
        <v/>
      </c>
      <c r="AF125" s="1047" t="str">
        <f t="shared" si="58"/>
        <v/>
      </c>
      <c r="AG125" s="1047" t="str">
        <f t="shared" si="58"/>
        <v/>
      </c>
      <c r="AH125" s="1048" t="str">
        <f t="shared" si="58"/>
        <v/>
      </c>
      <c r="AI125" s="1049" t="str">
        <f t="shared" si="58"/>
        <v/>
      </c>
      <c r="AJ125" s="1047" t="str">
        <f t="shared" si="58"/>
        <v/>
      </c>
      <c r="AK125" s="1047" t="str">
        <f t="shared" si="58"/>
        <v/>
      </c>
      <c r="AL125" s="1050">
        <f>SUM(G125:AH125)</f>
        <v>0</v>
      </c>
      <c r="AM125" s="1051">
        <f>AL125/4</f>
        <v>0</v>
      </c>
      <c r="AN125" s="1052" t="str">
        <f>IF(C124="","",C124)</f>
        <v/>
      </c>
      <c r="AO125" s="1053" t="str">
        <f>IF(D124="","",D124)</f>
        <v/>
      </c>
      <c r="AP125" s="1054" t="str">
        <f>IF(D124&lt;&gt;"",VLOOKUP(D124,$AU$2:$AV$6,2,FALSE),"")</f>
        <v/>
      </c>
      <c r="AQ125" s="1051">
        <f>ROUNDDOWN(AL125/$AL$6,2)</f>
        <v>0</v>
      </c>
      <c r="AR125" s="1051">
        <f>IF(AP125=1,"",AQ125)</f>
        <v>0</v>
      </c>
    </row>
    <row r="126" spans="1:44" ht="15.9" hidden="1" customHeight="1">
      <c r="A126" s="989"/>
      <c r="B126" s="2238" t="s">
        <v>2018</v>
      </c>
      <c r="C126" s="2239"/>
      <c r="D126" s="2241"/>
      <c r="E126" s="2243"/>
      <c r="F126" s="1034" t="s">
        <v>1959</v>
      </c>
      <c r="G126" s="1035"/>
      <c r="H126" s="1036"/>
      <c r="I126" s="1037"/>
      <c r="J126" s="1037"/>
      <c r="K126" s="1037"/>
      <c r="L126" s="1037"/>
      <c r="M126" s="1038"/>
      <c r="N126" s="1035"/>
      <c r="O126" s="1036"/>
      <c r="P126" s="1037"/>
      <c r="Q126" s="1037"/>
      <c r="R126" s="1037"/>
      <c r="S126" s="1037"/>
      <c r="T126" s="1038"/>
      <c r="U126" s="1035"/>
      <c r="V126" s="1036"/>
      <c r="W126" s="1037"/>
      <c r="X126" s="1037"/>
      <c r="Y126" s="1037"/>
      <c r="Z126" s="1037"/>
      <c r="AA126" s="1038"/>
      <c r="AB126" s="1035"/>
      <c r="AC126" s="1036"/>
      <c r="AD126" s="1037"/>
      <c r="AE126" s="1037"/>
      <c r="AF126" s="1037"/>
      <c r="AG126" s="1037"/>
      <c r="AH126" s="1038"/>
      <c r="AI126" s="1055"/>
      <c r="AJ126" s="1036"/>
      <c r="AK126" s="1036"/>
      <c r="AL126" s="1040">
        <f>SUM(G127:AK127)</f>
        <v>0</v>
      </c>
      <c r="AM126" s="1041"/>
      <c r="AN126" s="1042"/>
      <c r="AO126" s="1043"/>
      <c r="AP126" s="1041"/>
      <c r="AQ126" s="1044"/>
      <c r="AR126" s="1044"/>
    </row>
    <row r="127" spans="1:44" ht="15.9" hidden="1" customHeight="1">
      <c r="A127" s="989"/>
      <c r="B127" s="2238"/>
      <c r="C127" s="2240"/>
      <c r="D127" s="2242"/>
      <c r="E127" s="2244"/>
      <c r="F127" s="1045" t="s">
        <v>1960</v>
      </c>
      <c r="G127" s="1046" t="str">
        <f t="shared" ref="G127:AK127" si="59">IF(G126&lt;&gt;"",VLOOKUP(G126,$AC$197:$AL$221,9,FALSE),"")</f>
        <v/>
      </c>
      <c r="H127" s="1047" t="str">
        <f t="shared" si="59"/>
        <v/>
      </c>
      <c r="I127" s="1047" t="str">
        <f t="shared" si="59"/>
        <v/>
      </c>
      <c r="J127" s="1047" t="str">
        <f t="shared" si="59"/>
        <v/>
      </c>
      <c r="K127" s="1047" t="str">
        <f t="shared" si="59"/>
        <v/>
      </c>
      <c r="L127" s="1047" t="str">
        <f t="shared" si="59"/>
        <v/>
      </c>
      <c r="M127" s="1048" t="str">
        <f t="shared" si="59"/>
        <v/>
      </c>
      <c r="N127" s="1046" t="str">
        <f t="shared" si="59"/>
        <v/>
      </c>
      <c r="O127" s="1047" t="str">
        <f t="shared" si="59"/>
        <v/>
      </c>
      <c r="P127" s="1047" t="str">
        <f t="shared" si="59"/>
        <v/>
      </c>
      <c r="Q127" s="1047" t="str">
        <f t="shared" si="59"/>
        <v/>
      </c>
      <c r="R127" s="1047" t="str">
        <f t="shared" si="59"/>
        <v/>
      </c>
      <c r="S127" s="1047" t="str">
        <f t="shared" si="59"/>
        <v/>
      </c>
      <c r="T127" s="1048" t="str">
        <f t="shared" si="59"/>
        <v/>
      </c>
      <c r="U127" s="1046" t="str">
        <f t="shared" si="59"/>
        <v/>
      </c>
      <c r="V127" s="1047" t="str">
        <f t="shared" si="59"/>
        <v/>
      </c>
      <c r="W127" s="1047" t="str">
        <f t="shared" si="59"/>
        <v/>
      </c>
      <c r="X127" s="1047" t="str">
        <f t="shared" si="59"/>
        <v/>
      </c>
      <c r="Y127" s="1047" t="str">
        <f t="shared" si="59"/>
        <v/>
      </c>
      <c r="Z127" s="1047" t="str">
        <f t="shared" si="59"/>
        <v/>
      </c>
      <c r="AA127" s="1048" t="str">
        <f t="shared" si="59"/>
        <v/>
      </c>
      <c r="AB127" s="1046" t="str">
        <f t="shared" si="59"/>
        <v/>
      </c>
      <c r="AC127" s="1047" t="str">
        <f t="shared" si="59"/>
        <v/>
      </c>
      <c r="AD127" s="1047" t="str">
        <f t="shared" si="59"/>
        <v/>
      </c>
      <c r="AE127" s="1047" t="str">
        <f t="shared" si="59"/>
        <v/>
      </c>
      <c r="AF127" s="1047" t="str">
        <f t="shared" si="59"/>
        <v/>
      </c>
      <c r="AG127" s="1047" t="str">
        <f t="shared" si="59"/>
        <v/>
      </c>
      <c r="AH127" s="1048" t="str">
        <f t="shared" si="59"/>
        <v/>
      </c>
      <c r="AI127" s="1049" t="str">
        <f t="shared" si="59"/>
        <v/>
      </c>
      <c r="AJ127" s="1047" t="str">
        <f t="shared" si="59"/>
        <v/>
      </c>
      <c r="AK127" s="1047" t="str">
        <f t="shared" si="59"/>
        <v/>
      </c>
      <c r="AL127" s="1050">
        <f>SUM(G127:AH127)</f>
        <v>0</v>
      </c>
      <c r="AM127" s="1051">
        <f>AL127/4</f>
        <v>0</v>
      </c>
      <c r="AN127" s="1052" t="str">
        <f>IF(C126="","",C126)</f>
        <v/>
      </c>
      <c r="AO127" s="1053" t="str">
        <f>IF(D126="","",D126)</f>
        <v/>
      </c>
      <c r="AP127" s="1054" t="str">
        <f>IF(D126&lt;&gt;"",VLOOKUP(D126,$AU$2:$AV$6,2,FALSE),"")</f>
        <v/>
      </c>
      <c r="AQ127" s="1051">
        <f>ROUNDDOWN(AL127/$AL$6,2)</f>
        <v>0</v>
      </c>
      <c r="AR127" s="1051">
        <f>IF(AP127=1,"",AQ127)</f>
        <v>0</v>
      </c>
    </row>
    <row r="128" spans="1:44" ht="15.9" hidden="1" customHeight="1">
      <c r="A128" s="989"/>
      <c r="B128" s="2238" t="s">
        <v>2019</v>
      </c>
      <c r="C128" s="2239"/>
      <c r="D128" s="2241"/>
      <c r="E128" s="2243"/>
      <c r="F128" s="1034" t="s">
        <v>1959</v>
      </c>
      <c r="G128" s="1035"/>
      <c r="H128" s="1036"/>
      <c r="I128" s="1037"/>
      <c r="J128" s="1037"/>
      <c r="K128" s="1037"/>
      <c r="L128" s="1037"/>
      <c r="M128" s="1038"/>
      <c r="N128" s="1035"/>
      <c r="O128" s="1036"/>
      <c r="P128" s="1037"/>
      <c r="Q128" s="1037"/>
      <c r="R128" s="1037"/>
      <c r="S128" s="1037"/>
      <c r="T128" s="1038"/>
      <c r="U128" s="1035"/>
      <c r="V128" s="1036"/>
      <c r="W128" s="1037"/>
      <c r="X128" s="1037"/>
      <c r="Y128" s="1037"/>
      <c r="Z128" s="1037"/>
      <c r="AA128" s="1038"/>
      <c r="AB128" s="1035"/>
      <c r="AC128" s="1036"/>
      <c r="AD128" s="1037"/>
      <c r="AE128" s="1037"/>
      <c r="AF128" s="1037"/>
      <c r="AG128" s="1037"/>
      <c r="AH128" s="1038"/>
      <c r="AI128" s="1055"/>
      <c r="AJ128" s="1036"/>
      <c r="AK128" s="1036"/>
      <c r="AL128" s="1040">
        <f>SUM(G129:AK129)</f>
        <v>0</v>
      </c>
      <c r="AM128" s="1041"/>
      <c r="AN128" s="1042"/>
      <c r="AO128" s="1043"/>
      <c r="AP128" s="1041"/>
      <c r="AQ128" s="1044"/>
      <c r="AR128" s="1044"/>
    </row>
    <row r="129" spans="1:44" ht="15.9" hidden="1" customHeight="1">
      <c r="A129" s="989"/>
      <c r="B129" s="2238"/>
      <c r="C129" s="2240"/>
      <c r="D129" s="2242"/>
      <c r="E129" s="2244"/>
      <c r="F129" s="1045" t="s">
        <v>1960</v>
      </c>
      <c r="G129" s="1046" t="str">
        <f t="shared" ref="G129:AK129" si="60">IF(G128&lt;&gt;"",VLOOKUP(G128,$AC$197:$AL$221,9,FALSE),"")</f>
        <v/>
      </c>
      <c r="H129" s="1047" t="str">
        <f t="shared" si="60"/>
        <v/>
      </c>
      <c r="I129" s="1047" t="str">
        <f t="shared" si="60"/>
        <v/>
      </c>
      <c r="J129" s="1047" t="str">
        <f t="shared" si="60"/>
        <v/>
      </c>
      <c r="K129" s="1047" t="str">
        <f t="shared" si="60"/>
        <v/>
      </c>
      <c r="L129" s="1047" t="str">
        <f t="shared" si="60"/>
        <v/>
      </c>
      <c r="M129" s="1048" t="str">
        <f t="shared" si="60"/>
        <v/>
      </c>
      <c r="N129" s="1046" t="str">
        <f t="shared" si="60"/>
        <v/>
      </c>
      <c r="O129" s="1047" t="str">
        <f t="shared" si="60"/>
        <v/>
      </c>
      <c r="P129" s="1047" t="str">
        <f t="shared" si="60"/>
        <v/>
      </c>
      <c r="Q129" s="1047" t="str">
        <f t="shared" si="60"/>
        <v/>
      </c>
      <c r="R129" s="1047" t="str">
        <f t="shared" si="60"/>
        <v/>
      </c>
      <c r="S129" s="1047" t="str">
        <f t="shared" si="60"/>
        <v/>
      </c>
      <c r="T129" s="1048" t="str">
        <f t="shared" si="60"/>
        <v/>
      </c>
      <c r="U129" s="1046" t="str">
        <f t="shared" si="60"/>
        <v/>
      </c>
      <c r="V129" s="1047" t="str">
        <f t="shared" si="60"/>
        <v/>
      </c>
      <c r="W129" s="1047" t="str">
        <f t="shared" si="60"/>
        <v/>
      </c>
      <c r="X129" s="1047" t="str">
        <f t="shared" si="60"/>
        <v/>
      </c>
      <c r="Y129" s="1047" t="str">
        <f t="shared" si="60"/>
        <v/>
      </c>
      <c r="Z129" s="1047" t="str">
        <f t="shared" si="60"/>
        <v/>
      </c>
      <c r="AA129" s="1048" t="str">
        <f t="shared" si="60"/>
        <v/>
      </c>
      <c r="AB129" s="1046" t="str">
        <f t="shared" si="60"/>
        <v/>
      </c>
      <c r="AC129" s="1047" t="str">
        <f t="shared" si="60"/>
        <v/>
      </c>
      <c r="AD129" s="1047" t="str">
        <f t="shared" si="60"/>
        <v/>
      </c>
      <c r="AE129" s="1047" t="str">
        <f t="shared" si="60"/>
        <v/>
      </c>
      <c r="AF129" s="1047" t="str">
        <f t="shared" si="60"/>
        <v/>
      </c>
      <c r="AG129" s="1047" t="str">
        <f t="shared" si="60"/>
        <v/>
      </c>
      <c r="AH129" s="1048" t="str">
        <f t="shared" si="60"/>
        <v/>
      </c>
      <c r="AI129" s="1049" t="str">
        <f t="shared" si="60"/>
        <v/>
      </c>
      <c r="AJ129" s="1047" t="str">
        <f t="shared" si="60"/>
        <v/>
      </c>
      <c r="AK129" s="1047" t="str">
        <f t="shared" si="60"/>
        <v/>
      </c>
      <c r="AL129" s="1050">
        <f>SUM(G129:AH129)</f>
        <v>0</v>
      </c>
      <c r="AM129" s="1051">
        <f>AL129/4</f>
        <v>0</v>
      </c>
      <c r="AN129" s="1052" t="str">
        <f>IF(C128="","",C128)</f>
        <v/>
      </c>
      <c r="AO129" s="1053" t="str">
        <f>IF(D128="","",D128)</f>
        <v/>
      </c>
      <c r="AP129" s="1054" t="str">
        <f>IF(D128&lt;&gt;"",VLOOKUP(D128,$AU$2:$AV$6,2,FALSE),"")</f>
        <v/>
      </c>
      <c r="AQ129" s="1051">
        <f>ROUNDDOWN(AL129/$AL$6,2)</f>
        <v>0</v>
      </c>
      <c r="AR129" s="1051">
        <f>IF(AP129=1,"",AQ129)</f>
        <v>0</v>
      </c>
    </row>
    <row r="130" spans="1:44" ht="15.9" hidden="1" customHeight="1">
      <c r="A130" s="989"/>
      <c r="B130" s="2238" t="s">
        <v>2020</v>
      </c>
      <c r="C130" s="2239"/>
      <c r="D130" s="2241"/>
      <c r="E130" s="2243"/>
      <c r="F130" s="1034" t="s">
        <v>1959</v>
      </c>
      <c r="G130" s="1035"/>
      <c r="H130" s="1036"/>
      <c r="I130" s="1037"/>
      <c r="J130" s="1037"/>
      <c r="K130" s="1037"/>
      <c r="L130" s="1037"/>
      <c r="M130" s="1038"/>
      <c r="N130" s="1035"/>
      <c r="O130" s="1036"/>
      <c r="P130" s="1037"/>
      <c r="Q130" s="1037"/>
      <c r="R130" s="1037"/>
      <c r="S130" s="1037"/>
      <c r="T130" s="1038"/>
      <c r="U130" s="1035"/>
      <c r="V130" s="1036"/>
      <c r="W130" s="1037"/>
      <c r="X130" s="1037"/>
      <c r="Y130" s="1037"/>
      <c r="Z130" s="1037"/>
      <c r="AA130" s="1038"/>
      <c r="AB130" s="1035"/>
      <c r="AC130" s="1036"/>
      <c r="AD130" s="1037"/>
      <c r="AE130" s="1037"/>
      <c r="AF130" s="1037"/>
      <c r="AG130" s="1037"/>
      <c r="AH130" s="1038"/>
      <c r="AI130" s="1055"/>
      <c r="AJ130" s="1036"/>
      <c r="AK130" s="1036"/>
      <c r="AL130" s="1040">
        <f>SUM(G131:AK131)</f>
        <v>0</v>
      </c>
      <c r="AM130" s="1041"/>
      <c r="AN130" s="1042"/>
      <c r="AO130" s="1043"/>
      <c r="AP130" s="1041"/>
      <c r="AQ130" s="1044"/>
      <c r="AR130" s="1044"/>
    </row>
    <row r="131" spans="1:44" ht="15.9" hidden="1" customHeight="1">
      <c r="A131" s="989"/>
      <c r="B131" s="2238"/>
      <c r="C131" s="2240"/>
      <c r="D131" s="2242"/>
      <c r="E131" s="2244"/>
      <c r="F131" s="1045" t="s">
        <v>1960</v>
      </c>
      <c r="G131" s="1046" t="str">
        <f t="shared" ref="G131:AK131" si="61">IF(G130&lt;&gt;"",VLOOKUP(G130,$AC$197:$AL$221,9,FALSE),"")</f>
        <v/>
      </c>
      <c r="H131" s="1047" t="str">
        <f t="shared" si="61"/>
        <v/>
      </c>
      <c r="I131" s="1047" t="str">
        <f t="shared" si="61"/>
        <v/>
      </c>
      <c r="J131" s="1047" t="str">
        <f t="shared" si="61"/>
        <v/>
      </c>
      <c r="K131" s="1047" t="str">
        <f t="shared" si="61"/>
        <v/>
      </c>
      <c r="L131" s="1047" t="str">
        <f t="shared" si="61"/>
        <v/>
      </c>
      <c r="M131" s="1048" t="str">
        <f t="shared" si="61"/>
        <v/>
      </c>
      <c r="N131" s="1046" t="str">
        <f t="shared" si="61"/>
        <v/>
      </c>
      <c r="O131" s="1047" t="str">
        <f t="shared" si="61"/>
        <v/>
      </c>
      <c r="P131" s="1047" t="str">
        <f t="shared" si="61"/>
        <v/>
      </c>
      <c r="Q131" s="1047" t="str">
        <f t="shared" si="61"/>
        <v/>
      </c>
      <c r="R131" s="1047" t="str">
        <f t="shared" si="61"/>
        <v/>
      </c>
      <c r="S131" s="1047" t="str">
        <f t="shared" si="61"/>
        <v/>
      </c>
      <c r="T131" s="1048" t="str">
        <f t="shared" si="61"/>
        <v/>
      </c>
      <c r="U131" s="1046" t="str">
        <f t="shared" si="61"/>
        <v/>
      </c>
      <c r="V131" s="1047" t="str">
        <f t="shared" si="61"/>
        <v/>
      </c>
      <c r="W131" s="1047" t="str">
        <f t="shared" si="61"/>
        <v/>
      </c>
      <c r="X131" s="1047" t="str">
        <f t="shared" si="61"/>
        <v/>
      </c>
      <c r="Y131" s="1047" t="str">
        <f t="shared" si="61"/>
        <v/>
      </c>
      <c r="Z131" s="1047" t="str">
        <f t="shared" si="61"/>
        <v/>
      </c>
      <c r="AA131" s="1048" t="str">
        <f t="shared" si="61"/>
        <v/>
      </c>
      <c r="AB131" s="1046" t="str">
        <f t="shared" si="61"/>
        <v/>
      </c>
      <c r="AC131" s="1047" t="str">
        <f t="shared" si="61"/>
        <v/>
      </c>
      <c r="AD131" s="1047" t="str">
        <f t="shared" si="61"/>
        <v/>
      </c>
      <c r="AE131" s="1047" t="str">
        <f t="shared" si="61"/>
        <v/>
      </c>
      <c r="AF131" s="1047" t="str">
        <f t="shared" si="61"/>
        <v/>
      </c>
      <c r="AG131" s="1047" t="str">
        <f t="shared" si="61"/>
        <v/>
      </c>
      <c r="AH131" s="1048" t="str">
        <f t="shared" si="61"/>
        <v/>
      </c>
      <c r="AI131" s="1049" t="str">
        <f t="shared" si="61"/>
        <v/>
      </c>
      <c r="AJ131" s="1047" t="str">
        <f t="shared" si="61"/>
        <v/>
      </c>
      <c r="AK131" s="1047" t="str">
        <f t="shared" si="61"/>
        <v/>
      </c>
      <c r="AL131" s="1050">
        <f>SUM(G131:AH131)</f>
        <v>0</v>
      </c>
      <c r="AM131" s="1051">
        <f>AL131/4</f>
        <v>0</v>
      </c>
      <c r="AN131" s="1052" t="str">
        <f>IF(C130="","",C130)</f>
        <v/>
      </c>
      <c r="AO131" s="1053" t="str">
        <f>IF(D130="","",D130)</f>
        <v/>
      </c>
      <c r="AP131" s="1054" t="str">
        <f>IF(D130&lt;&gt;"",VLOOKUP(D130,$AU$2:$AV$6,2,FALSE),"")</f>
        <v/>
      </c>
      <c r="AQ131" s="1051">
        <f>ROUNDDOWN(AL131/$AL$6,2)</f>
        <v>0</v>
      </c>
      <c r="AR131" s="1051">
        <f>IF(AP131=1,"",AQ131)</f>
        <v>0</v>
      </c>
    </row>
    <row r="132" spans="1:44" ht="15.9" hidden="1" customHeight="1">
      <c r="A132" s="989"/>
      <c r="B132" s="2238" t="s">
        <v>2021</v>
      </c>
      <c r="C132" s="2239"/>
      <c r="D132" s="2241"/>
      <c r="E132" s="2243"/>
      <c r="F132" s="1034" t="s">
        <v>1959</v>
      </c>
      <c r="G132" s="1035"/>
      <c r="H132" s="1036"/>
      <c r="I132" s="1037"/>
      <c r="J132" s="1037"/>
      <c r="K132" s="1037"/>
      <c r="L132" s="1037"/>
      <c r="M132" s="1038"/>
      <c r="N132" s="1035"/>
      <c r="O132" s="1036"/>
      <c r="P132" s="1037"/>
      <c r="Q132" s="1037"/>
      <c r="R132" s="1037"/>
      <c r="S132" s="1037"/>
      <c r="T132" s="1038"/>
      <c r="U132" s="1035"/>
      <c r="V132" s="1036"/>
      <c r="W132" s="1037"/>
      <c r="X132" s="1037"/>
      <c r="Y132" s="1037"/>
      <c r="Z132" s="1037"/>
      <c r="AA132" s="1038"/>
      <c r="AB132" s="1035"/>
      <c r="AC132" s="1036"/>
      <c r="AD132" s="1037"/>
      <c r="AE132" s="1037"/>
      <c r="AF132" s="1037"/>
      <c r="AG132" s="1037"/>
      <c r="AH132" s="1038"/>
      <c r="AI132" s="1055"/>
      <c r="AJ132" s="1036"/>
      <c r="AK132" s="1036"/>
      <c r="AL132" s="1040">
        <f>SUM(G133:AK133)</f>
        <v>0</v>
      </c>
      <c r="AM132" s="1041"/>
      <c r="AN132" s="1042"/>
      <c r="AO132" s="1043"/>
      <c r="AP132" s="1041"/>
      <c r="AQ132" s="1044"/>
      <c r="AR132" s="1044"/>
    </row>
    <row r="133" spans="1:44" ht="15.9" hidden="1" customHeight="1">
      <c r="A133" s="989"/>
      <c r="B133" s="2238"/>
      <c r="C133" s="2240"/>
      <c r="D133" s="2242"/>
      <c r="E133" s="2244"/>
      <c r="F133" s="1045" t="s">
        <v>1960</v>
      </c>
      <c r="G133" s="1046" t="str">
        <f t="shared" ref="G133:AK133" si="62">IF(G132&lt;&gt;"",VLOOKUP(G132,$AC$197:$AL$221,9,FALSE),"")</f>
        <v/>
      </c>
      <c r="H133" s="1047" t="str">
        <f t="shared" si="62"/>
        <v/>
      </c>
      <c r="I133" s="1047" t="str">
        <f t="shared" si="62"/>
        <v/>
      </c>
      <c r="J133" s="1047" t="str">
        <f t="shared" si="62"/>
        <v/>
      </c>
      <c r="K133" s="1047" t="str">
        <f t="shared" si="62"/>
        <v/>
      </c>
      <c r="L133" s="1047" t="str">
        <f t="shared" si="62"/>
        <v/>
      </c>
      <c r="M133" s="1048" t="str">
        <f t="shared" si="62"/>
        <v/>
      </c>
      <c r="N133" s="1046" t="str">
        <f t="shared" si="62"/>
        <v/>
      </c>
      <c r="O133" s="1047" t="str">
        <f t="shared" si="62"/>
        <v/>
      </c>
      <c r="P133" s="1047" t="str">
        <f t="shared" si="62"/>
        <v/>
      </c>
      <c r="Q133" s="1047" t="str">
        <f t="shared" si="62"/>
        <v/>
      </c>
      <c r="R133" s="1047" t="str">
        <f t="shared" si="62"/>
        <v/>
      </c>
      <c r="S133" s="1047" t="str">
        <f t="shared" si="62"/>
        <v/>
      </c>
      <c r="T133" s="1048" t="str">
        <f t="shared" si="62"/>
        <v/>
      </c>
      <c r="U133" s="1046" t="str">
        <f t="shared" si="62"/>
        <v/>
      </c>
      <c r="V133" s="1047" t="str">
        <f t="shared" si="62"/>
        <v/>
      </c>
      <c r="W133" s="1047" t="str">
        <f t="shared" si="62"/>
        <v/>
      </c>
      <c r="X133" s="1047" t="str">
        <f t="shared" si="62"/>
        <v/>
      </c>
      <c r="Y133" s="1047" t="str">
        <f t="shared" si="62"/>
        <v/>
      </c>
      <c r="Z133" s="1047" t="str">
        <f t="shared" si="62"/>
        <v/>
      </c>
      <c r="AA133" s="1048" t="str">
        <f t="shared" si="62"/>
        <v/>
      </c>
      <c r="AB133" s="1046" t="str">
        <f t="shared" si="62"/>
        <v/>
      </c>
      <c r="AC133" s="1047" t="str">
        <f t="shared" si="62"/>
        <v/>
      </c>
      <c r="AD133" s="1047" t="str">
        <f t="shared" si="62"/>
        <v/>
      </c>
      <c r="AE133" s="1047" t="str">
        <f t="shared" si="62"/>
        <v/>
      </c>
      <c r="AF133" s="1047" t="str">
        <f t="shared" si="62"/>
        <v/>
      </c>
      <c r="AG133" s="1047" t="str">
        <f t="shared" si="62"/>
        <v/>
      </c>
      <c r="AH133" s="1048" t="str">
        <f t="shared" si="62"/>
        <v/>
      </c>
      <c r="AI133" s="1049" t="str">
        <f t="shared" si="62"/>
        <v/>
      </c>
      <c r="AJ133" s="1047" t="str">
        <f t="shared" si="62"/>
        <v/>
      </c>
      <c r="AK133" s="1047" t="str">
        <f t="shared" si="62"/>
        <v/>
      </c>
      <c r="AL133" s="1050">
        <f>SUM(G133:AH133)</f>
        <v>0</v>
      </c>
      <c r="AM133" s="1051">
        <f>AL133/4</f>
        <v>0</v>
      </c>
      <c r="AN133" s="1052" t="str">
        <f>IF(C132="","",C132)</f>
        <v/>
      </c>
      <c r="AO133" s="1053" t="str">
        <f>IF(D132="","",D132)</f>
        <v/>
      </c>
      <c r="AP133" s="1054" t="str">
        <f>IF(D132&lt;&gt;"",VLOOKUP(D132,$AU$2:$AV$6,2,FALSE),"")</f>
        <v/>
      </c>
      <c r="AQ133" s="1051">
        <f>ROUNDDOWN(AL133/$AL$6,2)</f>
        <v>0</v>
      </c>
      <c r="AR133" s="1051">
        <f>IF(AP133=1,"",AQ133)</f>
        <v>0</v>
      </c>
    </row>
    <row r="134" spans="1:44" ht="15.9" hidden="1" customHeight="1">
      <c r="A134" s="989"/>
      <c r="B134" s="2238" t="s">
        <v>2022</v>
      </c>
      <c r="C134" s="2239"/>
      <c r="D134" s="2241"/>
      <c r="E134" s="2243"/>
      <c r="F134" s="1034" t="s">
        <v>1959</v>
      </c>
      <c r="G134" s="1035"/>
      <c r="H134" s="1036"/>
      <c r="I134" s="1037"/>
      <c r="J134" s="1037"/>
      <c r="K134" s="1037"/>
      <c r="L134" s="1037"/>
      <c r="M134" s="1038"/>
      <c r="N134" s="1035"/>
      <c r="O134" s="1036"/>
      <c r="P134" s="1037"/>
      <c r="Q134" s="1037"/>
      <c r="R134" s="1037"/>
      <c r="S134" s="1037"/>
      <c r="T134" s="1038"/>
      <c r="U134" s="1035"/>
      <c r="V134" s="1036"/>
      <c r="W134" s="1037"/>
      <c r="X134" s="1037"/>
      <c r="Y134" s="1037"/>
      <c r="Z134" s="1037"/>
      <c r="AA134" s="1038"/>
      <c r="AB134" s="1035"/>
      <c r="AC134" s="1036"/>
      <c r="AD134" s="1037"/>
      <c r="AE134" s="1037"/>
      <c r="AF134" s="1037"/>
      <c r="AG134" s="1037"/>
      <c r="AH134" s="1038"/>
      <c r="AI134" s="1055"/>
      <c r="AJ134" s="1036"/>
      <c r="AK134" s="1036"/>
      <c r="AL134" s="1040">
        <f>SUM(G135:AK135)</f>
        <v>0</v>
      </c>
      <c r="AM134" s="1041"/>
      <c r="AN134" s="1042"/>
      <c r="AO134" s="1043"/>
      <c r="AP134" s="1041"/>
      <c r="AQ134" s="1044"/>
      <c r="AR134" s="1044"/>
    </row>
    <row r="135" spans="1:44" ht="15.9" hidden="1" customHeight="1">
      <c r="A135" s="989"/>
      <c r="B135" s="2238"/>
      <c r="C135" s="2240"/>
      <c r="D135" s="2242"/>
      <c r="E135" s="2244"/>
      <c r="F135" s="1045" t="s">
        <v>1960</v>
      </c>
      <c r="G135" s="1046" t="str">
        <f t="shared" ref="G135:AK135" si="63">IF(G134&lt;&gt;"",VLOOKUP(G134,$AC$197:$AL$221,9,FALSE),"")</f>
        <v/>
      </c>
      <c r="H135" s="1047" t="str">
        <f t="shared" si="63"/>
        <v/>
      </c>
      <c r="I135" s="1047" t="str">
        <f t="shared" si="63"/>
        <v/>
      </c>
      <c r="J135" s="1047" t="str">
        <f t="shared" si="63"/>
        <v/>
      </c>
      <c r="K135" s="1047" t="str">
        <f t="shared" si="63"/>
        <v/>
      </c>
      <c r="L135" s="1047" t="str">
        <f t="shared" si="63"/>
        <v/>
      </c>
      <c r="M135" s="1048" t="str">
        <f t="shared" si="63"/>
        <v/>
      </c>
      <c r="N135" s="1046" t="str">
        <f t="shared" si="63"/>
        <v/>
      </c>
      <c r="O135" s="1047" t="str">
        <f t="shared" si="63"/>
        <v/>
      </c>
      <c r="P135" s="1047" t="str">
        <f t="shared" si="63"/>
        <v/>
      </c>
      <c r="Q135" s="1047" t="str">
        <f t="shared" si="63"/>
        <v/>
      </c>
      <c r="R135" s="1047" t="str">
        <f t="shared" si="63"/>
        <v/>
      </c>
      <c r="S135" s="1047" t="str">
        <f t="shared" si="63"/>
        <v/>
      </c>
      <c r="T135" s="1048" t="str">
        <f t="shared" si="63"/>
        <v/>
      </c>
      <c r="U135" s="1046" t="str">
        <f t="shared" si="63"/>
        <v/>
      </c>
      <c r="V135" s="1047" t="str">
        <f t="shared" si="63"/>
        <v/>
      </c>
      <c r="W135" s="1047" t="str">
        <f t="shared" si="63"/>
        <v/>
      </c>
      <c r="X135" s="1047" t="str">
        <f t="shared" si="63"/>
        <v/>
      </c>
      <c r="Y135" s="1047" t="str">
        <f t="shared" si="63"/>
        <v/>
      </c>
      <c r="Z135" s="1047" t="str">
        <f t="shared" si="63"/>
        <v/>
      </c>
      <c r="AA135" s="1048" t="str">
        <f t="shared" si="63"/>
        <v/>
      </c>
      <c r="AB135" s="1046" t="str">
        <f t="shared" si="63"/>
        <v/>
      </c>
      <c r="AC135" s="1047" t="str">
        <f t="shared" si="63"/>
        <v/>
      </c>
      <c r="AD135" s="1047" t="str">
        <f t="shared" si="63"/>
        <v/>
      </c>
      <c r="AE135" s="1047" t="str">
        <f t="shared" si="63"/>
        <v/>
      </c>
      <c r="AF135" s="1047" t="str">
        <f t="shared" si="63"/>
        <v/>
      </c>
      <c r="AG135" s="1047" t="str">
        <f t="shared" si="63"/>
        <v/>
      </c>
      <c r="AH135" s="1048" t="str">
        <f t="shared" si="63"/>
        <v/>
      </c>
      <c r="AI135" s="1049" t="str">
        <f t="shared" si="63"/>
        <v/>
      </c>
      <c r="AJ135" s="1047" t="str">
        <f t="shared" si="63"/>
        <v/>
      </c>
      <c r="AK135" s="1047" t="str">
        <f t="shared" si="63"/>
        <v/>
      </c>
      <c r="AL135" s="1050">
        <f>SUM(G135:AH135)</f>
        <v>0</v>
      </c>
      <c r="AM135" s="1051">
        <f>AL135/4</f>
        <v>0</v>
      </c>
      <c r="AN135" s="1052" t="str">
        <f>IF(C134="","",C134)</f>
        <v/>
      </c>
      <c r="AO135" s="1053" t="str">
        <f>IF(D134="","",D134)</f>
        <v/>
      </c>
      <c r="AP135" s="1054" t="str">
        <f>IF(D134&lt;&gt;"",VLOOKUP(D134,$AU$2:$AV$6,2,FALSE),"")</f>
        <v/>
      </c>
      <c r="AQ135" s="1051">
        <f>ROUNDDOWN(AL135/$AL$6,2)</f>
        <v>0</v>
      </c>
      <c r="AR135" s="1051">
        <f>IF(AP135=1,"",AQ135)</f>
        <v>0</v>
      </c>
    </row>
    <row r="136" spans="1:44" ht="15.9" hidden="1" customHeight="1">
      <c r="A136" s="989"/>
      <c r="B136" s="2238" t="s">
        <v>2023</v>
      </c>
      <c r="C136" s="2239"/>
      <c r="D136" s="2241"/>
      <c r="E136" s="2243"/>
      <c r="F136" s="1034" t="s">
        <v>1959</v>
      </c>
      <c r="G136" s="1035"/>
      <c r="H136" s="1036"/>
      <c r="I136" s="1037"/>
      <c r="J136" s="1037"/>
      <c r="K136" s="1037"/>
      <c r="L136" s="1037"/>
      <c r="M136" s="1038"/>
      <c r="N136" s="1035"/>
      <c r="O136" s="1036"/>
      <c r="P136" s="1037"/>
      <c r="Q136" s="1037"/>
      <c r="R136" s="1037"/>
      <c r="S136" s="1037"/>
      <c r="T136" s="1038"/>
      <c r="U136" s="1035"/>
      <c r="V136" s="1036"/>
      <c r="W136" s="1037"/>
      <c r="X136" s="1037"/>
      <c r="Y136" s="1037"/>
      <c r="Z136" s="1037"/>
      <c r="AA136" s="1038"/>
      <c r="AB136" s="1035"/>
      <c r="AC136" s="1036"/>
      <c r="AD136" s="1037"/>
      <c r="AE136" s="1037"/>
      <c r="AF136" s="1037"/>
      <c r="AG136" s="1037"/>
      <c r="AH136" s="1038"/>
      <c r="AI136" s="1055"/>
      <c r="AJ136" s="1036"/>
      <c r="AK136" s="1036"/>
      <c r="AL136" s="1040">
        <f>SUM(G137:AK137)</f>
        <v>0</v>
      </c>
      <c r="AM136" s="1041"/>
      <c r="AN136" s="1042"/>
      <c r="AO136" s="1043"/>
      <c r="AP136" s="1041"/>
      <c r="AQ136" s="1044"/>
      <c r="AR136" s="1044"/>
    </row>
    <row r="137" spans="1:44" ht="15.9" hidden="1" customHeight="1">
      <c r="A137" s="989"/>
      <c r="B137" s="2238"/>
      <c r="C137" s="2240"/>
      <c r="D137" s="2242"/>
      <c r="E137" s="2244"/>
      <c r="F137" s="1045" t="s">
        <v>1960</v>
      </c>
      <c r="G137" s="1046" t="str">
        <f t="shared" ref="G137:AK137" si="64">IF(G136&lt;&gt;"",VLOOKUP(G136,$AC$197:$AL$221,9,FALSE),"")</f>
        <v/>
      </c>
      <c r="H137" s="1047" t="str">
        <f t="shared" si="64"/>
        <v/>
      </c>
      <c r="I137" s="1047" t="str">
        <f t="shared" si="64"/>
        <v/>
      </c>
      <c r="J137" s="1047" t="str">
        <f t="shared" si="64"/>
        <v/>
      </c>
      <c r="K137" s="1047" t="str">
        <f t="shared" si="64"/>
        <v/>
      </c>
      <c r="L137" s="1047" t="str">
        <f t="shared" si="64"/>
        <v/>
      </c>
      <c r="M137" s="1048" t="str">
        <f t="shared" si="64"/>
        <v/>
      </c>
      <c r="N137" s="1046" t="str">
        <f t="shared" si="64"/>
        <v/>
      </c>
      <c r="O137" s="1047" t="str">
        <f t="shared" si="64"/>
        <v/>
      </c>
      <c r="P137" s="1047" t="str">
        <f t="shared" si="64"/>
        <v/>
      </c>
      <c r="Q137" s="1047" t="str">
        <f t="shared" si="64"/>
        <v/>
      </c>
      <c r="R137" s="1047" t="str">
        <f t="shared" si="64"/>
        <v/>
      </c>
      <c r="S137" s="1047" t="str">
        <f t="shared" si="64"/>
        <v/>
      </c>
      <c r="T137" s="1048" t="str">
        <f t="shared" si="64"/>
        <v/>
      </c>
      <c r="U137" s="1046" t="str">
        <f t="shared" si="64"/>
        <v/>
      </c>
      <c r="V137" s="1047" t="str">
        <f t="shared" si="64"/>
        <v/>
      </c>
      <c r="W137" s="1047" t="str">
        <f t="shared" si="64"/>
        <v/>
      </c>
      <c r="X137" s="1047" t="str">
        <f t="shared" si="64"/>
        <v/>
      </c>
      <c r="Y137" s="1047" t="str">
        <f t="shared" si="64"/>
        <v/>
      </c>
      <c r="Z137" s="1047" t="str">
        <f t="shared" si="64"/>
        <v/>
      </c>
      <c r="AA137" s="1048" t="str">
        <f t="shared" si="64"/>
        <v/>
      </c>
      <c r="AB137" s="1046" t="str">
        <f t="shared" si="64"/>
        <v/>
      </c>
      <c r="AC137" s="1047" t="str">
        <f t="shared" si="64"/>
        <v/>
      </c>
      <c r="AD137" s="1047" t="str">
        <f t="shared" si="64"/>
        <v/>
      </c>
      <c r="AE137" s="1047" t="str">
        <f t="shared" si="64"/>
        <v/>
      </c>
      <c r="AF137" s="1047" t="str">
        <f t="shared" si="64"/>
        <v/>
      </c>
      <c r="AG137" s="1047" t="str">
        <f t="shared" si="64"/>
        <v/>
      </c>
      <c r="AH137" s="1048" t="str">
        <f t="shared" si="64"/>
        <v/>
      </c>
      <c r="AI137" s="1049" t="str">
        <f t="shared" si="64"/>
        <v/>
      </c>
      <c r="AJ137" s="1047" t="str">
        <f t="shared" si="64"/>
        <v/>
      </c>
      <c r="AK137" s="1047" t="str">
        <f t="shared" si="64"/>
        <v/>
      </c>
      <c r="AL137" s="1050">
        <f>SUM(G137:AH137)</f>
        <v>0</v>
      </c>
      <c r="AM137" s="1051">
        <f>AL137/4</f>
        <v>0</v>
      </c>
      <c r="AN137" s="1052" t="str">
        <f>IF(C136="","",C136)</f>
        <v/>
      </c>
      <c r="AO137" s="1053" t="str">
        <f>IF(D136="","",D136)</f>
        <v/>
      </c>
      <c r="AP137" s="1054" t="str">
        <f>IF(D136&lt;&gt;"",VLOOKUP(D136,$AU$2:$AV$6,2,FALSE),"")</f>
        <v/>
      </c>
      <c r="AQ137" s="1051">
        <f>ROUNDDOWN(AL137/$AL$6,2)</f>
        <v>0</v>
      </c>
      <c r="AR137" s="1051">
        <f>IF(AP137=1,"",AQ137)</f>
        <v>0</v>
      </c>
    </row>
    <row r="138" spans="1:44" ht="15.9" customHeight="1">
      <c r="A138" s="989"/>
      <c r="B138" s="2238" t="s">
        <v>2024</v>
      </c>
      <c r="C138" s="2239"/>
      <c r="D138" s="2241"/>
      <c r="E138" s="2243"/>
      <c r="F138" s="1034" t="s">
        <v>1959</v>
      </c>
      <c r="G138" s="1035"/>
      <c r="H138" s="1036"/>
      <c r="I138" s="1037"/>
      <c r="J138" s="1037"/>
      <c r="K138" s="1037"/>
      <c r="L138" s="1037"/>
      <c r="M138" s="1038"/>
      <c r="N138" s="1035"/>
      <c r="O138" s="1036"/>
      <c r="P138" s="1037"/>
      <c r="Q138" s="1037"/>
      <c r="R138" s="1037"/>
      <c r="S138" s="1037"/>
      <c r="T138" s="1038"/>
      <c r="U138" s="1035"/>
      <c r="V138" s="1036"/>
      <c r="W138" s="1037"/>
      <c r="X138" s="1037"/>
      <c r="Y138" s="1037"/>
      <c r="Z138" s="1037"/>
      <c r="AA138" s="1038"/>
      <c r="AB138" s="1035"/>
      <c r="AC138" s="1036"/>
      <c r="AD138" s="1037"/>
      <c r="AE138" s="1037"/>
      <c r="AF138" s="1037"/>
      <c r="AG138" s="1037"/>
      <c r="AH138" s="1038"/>
      <c r="AI138" s="1055"/>
      <c r="AJ138" s="1036"/>
      <c r="AK138" s="1036"/>
      <c r="AL138" s="1040">
        <f>SUM(G139:AK139)</f>
        <v>0</v>
      </c>
      <c r="AM138" s="1041"/>
      <c r="AN138" s="1042"/>
      <c r="AO138" s="1043"/>
      <c r="AP138" s="1041"/>
      <c r="AQ138" s="1044"/>
      <c r="AR138" s="1044"/>
    </row>
    <row r="139" spans="1:44" ht="15.9" customHeight="1" thickBot="1">
      <c r="A139" s="1056"/>
      <c r="B139" s="2261"/>
      <c r="C139" s="2240"/>
      <c r="D139" s="2242"/>
      <c r="E139" s="2244"/>
      <c r="F139" s="1045" t="s">
        <v>1960</v>
      </c>
      <c r="G139" s="1046" t="str">
        <f t="shared" ref="G139:AK139" si="65">IF(G138&lt;&gt;"",VLOOKUP(G138,$AC$197:$AL$221,9,FALSE),"")</f>
        <v/>
      </c>
      <c r="H139" s="1047" t="str">
        <f t="shared" si="65"/>
        <v/>
      </c>
      <c r="I139" s="1047" t="str">
        <f t="shared" si="65"/>
        <v/>
      </c>
      <c r="J139" s="1047" t="str">
        <f t="shared" si="65"/>
        <v/>
      </c>
      <c r="K139" s="1047" t="str">
        <f t="shared" si="65"/>
        <v/>
      </c>
      <c r="L139" s="1047" t="str">
        <f t="shared" si="65"/>
        <v/>
      </c>
      <c r="M139" s="1048" t="str">
        <f t="shared" si="65"/>
        <v/>
      </c>
      <c r="N139" s="1046" t="str">
        <f t="shared" si="65"/>
        <v/>
      </c>
      <c r="O139" s="1047" t="str">
        <f t="shared" si="65"/>
        <v/>
      </c>
      <c r="P139" s="1047" t="str">
        <f t="shared" si="65"/>
        <v/>
      </c>
      <c r="Q139" s="1047" t="str">
        <f t="shared" si="65"/>
        <v/>
      </c>
      <c r="R139" s="1047" t="str">
        <f t="shared" si="65"/>
        <v/>
      </c>
      <c r="S139" s="1047" t="str">
        <f t="shared" si="65"/>
        <v/>
      </c>
      <c r="T139" s="1048" t="str">
        <f t="shared" si="65"/>
        <v/>
      </c>
      <c r="U139" s="1046" t="str">
        <f t="shared" si="65"/>
        <v/>
      </c>
      <c r="V139" s="1047" t="str">
        <f t="shared" si="65"/>
        <v/>
      </c>
      <c r="W139" s="1047" t="str">
        <f t="shared" si="65"/>
        <v/>
      </c>
      <c r="X139" s="1047" t="str">
        <f t="shared" si="65"/>
        <v/>
      </c>
      <c r="Y139" s="1047" t="str">
        <f t="shared" si="65"/>
        <v/>
      </c>
      <c r="Z139" s="1047" t="str">
        <f t="shared" si="65"/>
        <v/>
      </c>
      <c r="AA139" s="1048" t="str">
        <f t="shared" si="65"/>
        <v/>
      </c>
      <c r="AB139" s="1046" t="str">
        <f t="shared" si="65"/>
        <v/>
      </c>
      <c r="AC139" s="1047" t="str">
        <f t="shared" si="65"/>
        <v/>
      </c>
      <c r="AD139" s="1047" t="str">
        <f t="shared" si="65"/>
        <v/>
      </c>
      <c r="AE139" s="1047" t="str">
        <f t="shared" si="65"/>
        <v/>
      </c>
      <c r="AF139" s="1047" t="str">
        <f t="shared" si="65"/>
        <v/>
      </c>
      <c r="AG139" s="1047" t="str">
        <f t="shared" si="65"/>
        <v/>
      </c>
      <c r="AH139" s="1048" t="str">
        <f t="shared" si="65"/>
        <v/>
      </c>
      <c r="AI139" s="1049" t="str">
        <f t="shared" si="65"/>
        <v/>
      </c>
      <c r="AJ139" s="1047" t="str">
        <f t="shared" si="65"/>
        <v/>
      </c>
      <c r="AK139" s="1047" t="str">
        <f t="shared" si="65"/>
        <v/>
      </c>
      <c r="AL139" s="1050">
        <f>SUM(G139:AH139)</f>
        <v>0</v>
      </c>
      <c r="AM139" s="1051">
        <f>AL139/4</f>
        <v>0</v>
      </c>
      <c r="AN139" s="1052" t="str">
        <f>IF(C138="","",C138)</f>
        <v/>
      </c>
      <c r="AO139" s="1053" t="str">
        <f>IF(D138="","",D138)</f>
        <v/>
      </c>
      <c r="AP139" s="1054" t="str">
        <f>IF(D138&lt;&gt;"",VLOOKUP(D138,$AU$2:$AV$6,2,FALSE),"")</f>
        <v/>
      </c>
      <c r="AQ139" s="1051">
        <f>ROUNDDOWN(AL139/$AL$6,2)</f>
        <v>0</v>
      </c>
      <c r="AR139" s="1051">
        <f>IF(AP139=1,"",AQ139)</f>
        <v>0</v>
      </c>
    </row>
    <row r="140" spans="1:44" ht="15.9" customHeight="1" thickTop="1">
      <c r="A140" s="989"/>
      <c r="B140" s="1057"/>
      <c r="C140" s="2239"/>
      <c r="D140" s="2241"/>
      <c r="E140" s="2243"/>
      <c r="F140" s="1034" t="s">
        <v>1959</v>
      </c>
      <c r="G140" s="1035"/>
      <c r="H140" s="1036"/>
      <c r="I140" s="1037"/>
      <c r="J140" s="1037"/>
      <c r="K140" s="1037"/>
      <c r="L140" s="1037"/>
      <c r="M140" s="1038"/>
      <c r="N140" s="1035"/>
      <c r="O140" s="1036"/>
      <c r="P140" s="1037"/>
      <c r="Q140" s="1037"/>
      <c r="R140" s="1037"/>
      <c r="S140" s="1037"/>
      <c r="T140" s="1038"/>
      <c r="U140" s="1035"/>
      <c r="V140" s="1036"/>
      <c r="W140" s="1037"/>
      <c r="X140" s="1037"/>
      <c r="Y140" s="1037"/>
      <c r="Z140" s="1037"/>
      <c r="AA140" s="1038"/>
      <c r="AB140" s="1035"/>
      <c r="AC140" s="1036"/>
      <c r="AD140" s="1037"/>
      <c r="AE140" s="1037"/>
      <c r="AF140" s="1037"/>
      <c r="AG140" s="1037"/>
      <c r="AH140" s="1038"/>
      <c r="AI140" s="1055"/>
      <c r="AJ140" s="1036"/>
      <c r="AK140" s="1036"/>
      <c r="AL140" s="1040">
        <f>SUM(G141:AK141)</f>
        <v>0</v>
      </c>
      <c r="AM140" s="1041"/>
      <c r="AN140" s="1042"/>
      <c r="AO140" s="1043"/>
      <c r="AP140" s="1041"/>
      <c r="AQ140" s="1044"/>
      <c r="AR140" s="1044"/>
    </row>
    <row r="141" spans="1:44" ht="15.9" customHeight="1">
      <c r="A141" s="989"/>
      <c r="B141" s="1057"/>
      <c r="C141" s="2262"/>
      <c r="D141" s="2263"/>
      <c r="E141" s="2264"/>
      <c r="F141" s="1045" t="s">
        <v>1960</v>
      </c>
      <c r="G141" s="1046" t="str">
        <f t="shared" ref="G141:AK141" si="66">IF(G140&lt;&gt;"",VLOOKUP(G140,$AC$197:$AL$221,9,FALSE),"")</f>
        <v/>
      </c>
      <c r="H141" s="1047" t="str">
        <f t="shared" si="66"/>
        <v/>
      </c>
      <c r="I141" s="1047" t="str">
        <f t="shared" si="66"/>
        <v/>
      </c>
      <c r="J141" s="1047" t="str">
        <f t="shared" si="66"/>
        <v/>
      </c>
      <c r="K141" s="1047" t="str">
        <f t="shared" si="66"/>
        <v/>
      </c>
      <c r="L141" s="1047" t="str">
        <f t="shared" si="66"/>
        <v/>
      </c>
      <c r="M141" s="1048" t="str">
        <f t="shared" si="66"/>
        <v/>
      </c>
      <c r="N141" s="1046" t="str">
        <f t="shared" si="66"/>
        <v/>
      </c>
      <c r="O141" s="1047" t="str">
        <f t="shared" si="66"/>
        <v/>
      </c>
      <c r="P141" s="1047" t="str">
        <f t="shared" si="66"/>
        <v/>
      </c>
      <c r="Q141" s="1047" t="str">
        <f t="shared" si="66"/>
        <v/>
      </c>
      <c r="R141" s="1047" t="str">
        <f t="shared" si="66"/>
        <v/>
      </c>
      <c r="S141" s="1047" t="str">
        <f t="shared" si="66"/>
        <v/>
      </c>
      <c r="T141" s="1048" t="str">
        <f t="shared" si="66"/>
        <v/>
      </c>
      <c r="U141" s="1046" t="str">
        <f t="shared" si="66"/>
        <v/>
      </c>
      <c r="V141" s="1047" t="str">
        <f t="shared" si="66"/>
        <v/>
      </c>
      <c r="W141" s="1047" t="str">
        <f t="shared" si="66"/>
        <v/>
      </c>
      <c r="X141" s="1047" t="str">
        <f t="shared" si="66"/>
        <v/>
      </c>
      <c r="Y141" s="1047" t="str">
        <f t="shared" si="66"/>
        <v/>
      </c>
      <c r="Z141" s="1047" t="str">
        <f t="shared" si="66"/>
        <v/>
      </c>
      <c r="AA141" s="1048" t="str">
        <f t="shared" si="66"/>
        <v/>
      </c>
      <c r="AB141" s="1046" t="str">
        <f t="shared" si="66"/>
        <v/>
      </c>
      <c r="AC141" s="1047" t="str">
        <f t="shared" si="66"/>
        <v/>
      </c>
      <c r="AD141" s="1047" t="str">
        <f t="shared" si="66"/>
        <v/>
      </c>
      <c r="AE141" s="1047" t="str">
        <f t="shared" si="66"/>
        <v/>
      </c>
      <c r="AF141" s="1047" t="str">
        <f t="shared" si="66"/>
        <v/>
      </c>
      <c r="AG141" s="1047" t="str">
        <f t="shared" si="66"/>
        <v/>
      </c>
      <c r="AH141" s="1048" t="str">
        <f t="shared" si="66"/>
        <v/>
      </c>
      <c r="AI141" s="1049" t="str">
        <f t="shared" si="66"/>
        <v/>
      </c>
      <c r="AJ141" s="1047" t="str">
        <f t="shared" si="66"/>
        <v/>
      </c>
      <c r="AK141" s="1047" t="str">
        <f t="shared" si="66"/>
        <v/>
      </c>
      <c r="AL141" s="1050">
        <f>SUM(G141:AH141)</f>
        <v>0</v>
      </c>
      <c r="AM141" s="1058">
        <f>AL141/4</f>
        <v>0</v>
      </c>
      <c r="AN141" s="1052" t="str">
        <f>IF(C140="","",C140)</f>
        <v/>
      </c>
      <c r="AO141" s="1053" t="str">
        <f>IF(D140="","",D140)</f>
        <v/>
      </c>
      <c r="AP141" s="1054" t="str">
        <f>IF(D140&lt;&gt;"",VLOOKUP(D140,$AU$2:$AV$6,2,FALSE),"")</f>
        <v/>
      </c>
      <c r="AQ141" s="1051">
        <f>ROUNDDOWN(AL141/$AL$6,2)</f>
        <v>0</v>
      </c>
      <c r="AR141" s="1051">
        <f>IF(AP141=1,"",AQ141)</f>
        <v>0</v>
      </c>
    </row>
    <row r="142" spans="1:44" ht="8.25" customHeight="1">
      <c r="A142" s="989"/>
      <c r="B142" s="1057"/>
      <c r="C142" s="1059"/>
      <c r="D142" s="1060"/>
      <c r="E142" s="1061"/>
      <c r="F142" s="1062"/>
      <c r="G142" s="1063"/>
      <c r="H142" s="1064"/>
      <c r="I142" s="1064"/>
      <c r="J142" s="1064"/>
      <c r="K142" s="1064"/>
      <c r="L142" s="1064"/>
      <c r="M142" s="1065"/>
      <c r="N142" s="1063"/>
      <c r="O142" s="1064"/>
      <c r="P142" s="1064"/>
      <c r="Q142" s="1064"/>
      <c r="R142" s="1064"/>
      <c r="S142" s="1064"/>
      <c r="T142" s="1065"/>
      <c r="U142" s="1063"/>
      <c r="V142" s="1064"/>
      <c r="W142" s="1064"/>
      <c r="X142" s="1064"/>
      <c r="Y142" s="1064"/>
      <c r="Z142" s="1064"/>
      <c r="AA142" s="1065"/>
      <c r="AB142" s="1063"/>
      <c r="AC142" s="1064"/>
      <c r="AD142" s="1064"/>
      <c r="AE142" s="1064"/>
      <c r="AF142" s="1064"/>
      <c r="AG142" s="1064"/>
      <c r="AH142" s="1065"/>
      <c r="AI142" s="1066"/>
      <c r="AJ142" s="1064"/>
      <c r="AK142" s="1064"/>
      <c r="AL142" s="1067"/>
      <c r="AM142" s="1068"/>
      <c r="AN142" s="1069"/>
      <c r="AO142" s="1070"/>
      <c r="AP142" s="1071"/>
      <c r="AQ142" s="1067"/>
      <c r="AR142" s="1067"/>
    </row>
    <row r="143" spans="1:44" ht="15.9" customHeight="1">
      <c r="A143" s="989"/>
      <c r="B143" s="1057"/>
      <c r="C143" s="2265" t="s">
        <v>2025</v>
      </c>
      <c r="D143" s="2266"/>
      <c r="E143" s="2267"/>
      <c r="F143" s="1072" t="str">
        <f>AC197</f>
        <v>夜</v>
      </c>
      <c r="G143" s="1073">
        <f>COUNTIF(G10:G142,$F$143)</f>
        <v>1</v>
      </c>
      <c r="H143" s="1074">
        <f t="shared" ref="H143:AK143" si="67">COUNTIF(H10:H142,$F$143)</f>
        <v>1</v>
      </c>
      <c r="I143" s="1074">
        <f t="shared" si="67"/>
        <v>1</v>
      </c>
      <c r="J143" s="1074">
        <f t="shared" si="67"/>
        <v>1</v>
      </c>
      <c r="K143" s="1074">
        <f t="shared" si="67"/>
        <v>1</v>
      </c>
      <c r="L143" s="1074">
        <f t="shared" si="67"/>
        <v>1</v>
      </c>
      <c r="M143" s="1075">
        <f t="shared" si="67"/>
        <v>1</v>
      </c>
      <c r="N143" s="1073">
        <f t="shared" si="67"/>
        <v>1</v>
      </c>
      <c r="O143" s="1074">
        <f t="shared" si="67"/>
        <v>1</v>
      </c>
      <c r="P143" s="1074">
        <f t="shared" si="67"/>
        <v>1</v>
      </c>
      <c r="Q143" s="1074">
        <f t="shared" si="67"/>
        <v>1</v>
      </c>
      <c r="R143" s="1074">
        <f t="shared" si="67"/>
        <v>1</v>
      </c>
      <c r="S143" s="1074">
        <f t="shared" si="67"/>
        <v>1</v>
      </c>
      <c r="T143" s="1075">
        <f t="shared" si="67"/>
        <v>1</v>
      </c>
      <c r="U143" s="1073">
        <f t="shared" si="67"/>
        <v>1</v>
      </c>
      <c r="V143" s="1074">
        <f t="shared" si="67"/>
        <v>1</v>
      </c>
      <c r="W143" s="1074">
        <f t="shared" si="67"/>
        <v>1</v>
      </c>
      <c r="X143" s="1074">
        <f t="shared" si="67"/>
        <v>1</v>
      </c>
      <c r="Y143" s="1074">
        <f t="shared" si="67"/>
        <v>1</v>
      </c>
      <c r="Z143" s="1074">
        <f t="shared" si="67"/>
        <v>1</v>
      </c>
      <c r="AA143" s="1075">
        <f t="shared" si="67"/>
        <v>1</v>
      </c>
      <c r="AB143" s="1073">
        <f t="shared" si="67"/>
        <v>1</v>
      </c>
      <c r="AC143" s="1074">
        <f t="shared" si="67"/>
        <v>1</v>
      </c>
      <c r="AD143" s="1074">
        <f t="shared" si="67"/>
        <v>1</v>
      </c>
      <c r="AE143" s="1074">
        <f t="shared" si="67"/>
        <v>1</v>
      </c>
      <c r="AF143" s="1074">
        <f t="shared" si="67"/>
        <v>1</v>
      </c>
      <c r="AG143" s="1074">
        <f t="shared" si="67"/>
        <v>1</v>
      </c>
      <c r="AH143" s="1075">
        <f t="shared" si="67"/>
        <v>1</v>
      </c>
      <c r="AI143" s="1076">
        <f t="shared" si="67"/>
        <v>1</v>
      </c>
      <c r="AJ143" s="1074">
        <f t="shared" si="67"/>
        <v>1</v>
      </c>
      <c r="AK143" s="1074">
        <f t="shared" si="67"/>
        <v>1</v>
      </c>
      <c r="AL143" s="1077">
        <f>SUM(G143:AK143)</f>
        <v>31</v>
      </c>
      <c r="AM143" s="1078"/>
      <c r="AN143" s="1079"/>
      <c r="AO143" s="1080"/>
      <c r="AP143" s="1081"/>
      <c r="AQ143" s="1082"/>
      <c r="AR143" s="1082"/>
    </row>
    <row r="144" spans="1:44" ht="15.9" customHeight="1">
      <c r="A144" s="989"/>
      <c r="B144" s="1083"/>
      <c r="C144" s="1084"/>
      <c r="D144" s="1084"/>
      <c r="E144" s="1084"/>
      <c r="F144" s="1085"/>
      <c r="G144" s="1086"/>
      <c r="H144" s="1086"/>
      <c r="I144" s="1086"/>
      <c r="J144" s="1086"/>
      <c r="K144" s="1086"/>
      <c r="L144" s="1086"/>
      <c r="M144" s="1086"/>
      <c r="N144" s="1086"/>
      <c r="O144" s="1086"/>
      <c r="P144" s="1086"/>
      <c r="Q144" s="1086"/>
      <c r="R144" s="1086"/>
      <c r="S144" s="1086"/>
      <c r="T144" s="1086"/>
      <c r="U144" s="1086"/>
      <c r="V144" s="1086"/>
      <c r="W144" s="1086"/>
      <c r="X144" s="1086"/>
      <c r="Y144" s="1086"/>
      <c r="Z144" s="1086"/>
      <c r="AA144" s="1086"/>
      <c r="AB144" s="1086"/>
      <c r="AC144" s="1086"/>
      <c r="AD144" s="1086"/>
      <c r="AE144" s="1086"/>
      <c r="AF144" s="1086"/>
      <c r="AG144" s="1086"/>
      <c r="AH144" s="1086"/>
      <c r="AI144" s="1086"/>
      <c r="AJ144" s="1086"/>
      <c r="AK144" s="1086"/>
      <c r="AL144" s="1087"/>
      <c r="AM144" s="1088"/>
      <c r="AN144" s="1089"/>
      <c r="AO144" s="1089"/>
      <c r="AP144" s="1088"/>
      <c r="AQ144" s="1088"/>
      <c r="AR144" s="1088"/>
    </row>
    <row r="145" spans="1:48" ht="15.9" customHeight="1">
      <c r="A145" s="989"/>
      <c r="B145" s="1057"/>
      <c r="C145" s="990" t="s">
        <v>2026</v>
      </c>
      <c r="D145" s="1192"/>
      <c r="E145" s="1192"/>
      <c r="F145" s="1193"/>
      <c r="G145" s="1194"/>
      <c r="H145" s="1194"/>
      <c r="I145" s="1194"/>
      <c r="J145" s="1194"/>
      <c r="K145" s="1194"/>
      <c r="L145" s="1194"/>
      <c r="M145" s="1194"/>
      <c r="N145" s="1194"/>
      <c r="O145" s="1194"/>
      <c r="P145" s="1194"/>
      <c r="Q145" s="1194"/>
      <c r="R145" s="1194"/>
      <c r="S145" s="1194"/>
      <c r="T145" s="1194"/>
      <c r="U145" s="1194"/>
      <c r="V145" s="1194"/>
      <c r="W145" s="1194"/>
      <c r="X145" s="1194"/>
      <c r="Y145" s="1194"/>
      <c r="Z145" s="1194"/>
      <c r="AA145" s="1194"/>
      <c r="AB145" s="1194"/>
      <c r="AC145" s="1194"/>
      <c r="AD145" s="1194"/>
      <c r="AE145" s="1194"/>
      <c r="AF145" s="1194"/>
      <c r="AG145" s="1194"/>
      <c r="AH145" s="1194"/>
      <c r="AI145" s="1194"/>
      <c r="AJ145" s="1194"/>
      <c r="AK145" s="1194"/>
      <c r="AP145" s="1093"/>
      <c r="AQ145" s="1195"/>
      <c r="AR145" s="1195"/>
    </row>
    <row r="146" spans="1:48">
      <c r="A146" s="989"/>
      <c r="B146" s="1057"/>
      <c r="C146" s="999"/>
      <c r="D146" s="1090"/>
      <c r="E146" s="1090"/>
      <c r="F146" s="1091"/>
      <c r="G146" s="1092"/>
      <c r="H146" s="1092"/>
      <c r="I146" s="1092"/>
      <c r="J146" s="1092"/>
      <c r="K146" s="1092"/>
      <c r="L146" s="1092"/>
      <c r="M146" s="1092"/>
      <c r="N146" s="1092"/>
      <c r="O146" s="1092"/>
      <c r="P146" s="1092"/>
      <c r="Q146" s="1092"/>
      <c r="R146" s="1092"/>
      <c r="S146" s="1094"/>
      <c r="T146" s="1092"/>
      <c r="U146" s="1092"/>
      <c r="V146" s="1092"/>
      <c r="W146" s="1092"/>
      <c r="X146" s="1092"/>
      <c r="Y146" s="2268" t="s">
        <v>2027</v>
      </c>
      <c r="Z146" s="2268"/>
      <c r="AA146" s="2268"/>
      <c r="AB146" s="2268"/>
      <c r="AC146" s="1092"/>
      <c r="AD146" s="2269" t="s">
        <v>2028</v>
      </c>
      <c r="AE146" s="2270"/>
      <c r="AF146" s="2270"/>
      <c r="AG146" s="2270"/>
      <c r="AH146" s="2270"/>
      <c r="AI146" s="2270"/>
      <c r="AJ146" s="2270"/>
      <c r="AK146" s="2270"/>
      <c r="AL146" s="2270"/>
      <c r="AM146" s="1095"/>
      <c r="AN146" s="1095"/>
      <c r="AO146" s="1095"/>
      <c r="AP146" s="1093"/>
      <c r="AQ146" s="1093"/>
      <c r="AR146" s="1093"/>
    </row>
    <row r="147" spans="1:48" s="1097" customFormat="1" ht="12.6" thickBot="1">
      <c r="A147" s="1090"/>
      <c r="B147" s="1057"/>
      <c r="C147" s="1091" t="s">
        <v>1933</v>
      </c>
      <c r="D147" s="1090"/>
      <c r="E147" s="1090"/>
      <c r="F147" s="2271" t="s">
        <v>2029</v>
      </c>
      <c r="G147" s="2271"/>
      <c r="H147" s="2271"/>
      <c r="I147" s="2271"/>
      <c r="J147" s="1092"/>
      <c r="K147" s="1092"/>
      <c r="L147" s="2272" t="s">
        <v>2030</v>
      </c>
      <c r="M147" s="2272"/>
      <c r="N147" s="2272"/>
      <c r="O147" s="2272"/>
      <c r="P147" s="1096"/>
      <c r="Q147" s="1096"/>
      <c r="R147" s="1096"/>
      <c r="S147" s="2271" t="s">
        <v>2031</v>
      </c>
      <c r="T147" s="2271"/>
      <c r="U147" s="2271"/>
      <c r="V147" s="2271"/>
      <c r="W147" s="2271"/>
      <c r="X147" s="1092"/>
      <c r="Y147" s="2273" t="s">
        <v>2032</v>
      </c>
      <c r="Z147" s="2273"/>
      <c r="AA147" s="2273"/>
      <c r="AB147" s="2273"/>
      <c r="AC147" s="1092"/>
      <c r="AD147" s="2270"/>
      <c r="AE147" s="2270"/>
      <c r="AF147" s="2270"/>
      <c r="AG147" s="2270"/>
      <c r="AH147" s="2270"/>
      <c r="AI147" s="2270"/>
      <c r="AJ147" s="2270"/>
      <c r="AK147" s="2270"/>
      <c r="AL147" s="2270"/>
      <c r="AM147" s="1095"/>
      <c r="AN147" s="1095"/>
      <c r="AO147" s="1093"/>
      <c r="AP147" s="1093"/>
      <c r="AQ147" s="1090"/>
      <c r="AR147" s="1093"/>
      <c r="AS147" s="1090"/>
      <c r="AT147" s="1090"/>
      <c r="AU147" s="1090"/>
      <c r="AV147" s="1090"/>
    </row>
    <row r="148" spans="1:48" s="1097" customFormat="1" ht="14.25" customHeight="1" thickBot="1">
      <c r="A148" s="1090"/>
      <c r="B148" s="1057"/>
      <c r="C148" s="1098">
        <f>C4</f>
        <v>43800</v>
      </c>
      <c r="D148" s="1090"/>
      <c r="E148" s="1090"/>
      <c r="F148" s="1090"/>
      <c r="G148" s="2284">
        <f>AN176</f>
        <v>557.73</v>
      </c>
      <c r="H148" s="2285"/>
      <c r="I148" s="2286"/>
      <c r="J148" s="1090"/>
      <c r="K148" s="1090"/>
      <c r="L148" s="1090"/>
      <c r="M148" s="2287">
        <f>C149</f>
        <v>31</v>
      </c>
      <c r="N148" s="2288"/>
      <c r="O148" s="1099" t="s">
        <v>1949</v>
      </c>
      <c r="P148" s="1091" t="s">
        <v>2033</v>
      </c>
      <c r="Q148" s="2289">
        <v>16</v>
      </c>
      <c r="R148" s="2290"/>
      <c r="S148" s="1099" t="s">
        <v>1960</v>
      </c>
      <c r="T148" s="1092" t="s">
        <v>2034</v>
      </c>
      <c r="U148" s="2287">
        <f>M148*Q148</f>
        <v>496</v>
      </c>
      <c r="V148" s="2288"/>
      <c r="W148" s="1100" t="s">
        <v>1960</v>
      </c>
      <c r="X148" s="1092"/>
      <c r="Y148" s="2291">
        <f>ROUNDDOWN(G148/U148,2)</f>
        <v>1.1200000000000001</v>
      </c>
      <c r="Z148" s="2292"/>
      <c r="AA148" s="2292"/>
      <c r="AB148" s="1101" t="s">
        <v>2035</v>
      </c>
      <c r="AC148" s="1102" t="s">
        <v>2036</v>
      </c>
      <c r="AD148" s="2293">
        <f>AG148+AJ148</f>
        <v>3</v>
      </c>
      <c r="AE148" s="2294"/>
      <c r="AF148" s="1092" t="s">
        <v>2037</v>
      </c>
      <c r="AG148" s="2274">
        <v>3</v>
      </c>
      <c r="AH148" s="2274"/>
      <c r="AI148" s="1092" t="s">
        <v>2038</v>
      </c>
      <c r="AJ148" s="2274">
        <v>0</v>
      </c>
      <c r="AK148" s="2274"/>
      <c r="AL148" s="1094" t="s">
        <v>2039</v>
      </c>
      <c r="AM148" s="1103" t="str">
        <f>IF(Y148&gt;=AD148,"ＯＫ","ＮＧ")</f>
        <v>ＮＧ</v>
      </c>
      <c r="AN148" s="1095"/>
      <c r="AO148" s="1093"/>
      <c r="AP148" s="1093"/>
      <c r="AQ148" s="1090"/>
      <c r="AR148" s="1093"/>
      <c r="AS148" s="1090"/>
      <c r="AT148" s="1090"/>
      <c r="AU148" s="1090"/>
      <c r="AV148" s="1090"/>
    </row>
    <row r="149" spans="1:48" s="1097" customFormat="1">
      <c r="A149" s="1090"/>
      <c r="B149" s="1057"/>
      <c r="C149" s="1104">
        <f>DAY(EOMONTH(C148,0))</f>
        <v>31</v>
      </c>
      <c r="D149" s="1105"/>
      <c r="E149" s="1105"/>
      <c r="F149" s="1106"/>
      <c r="G149" s="1107"/>
      <c r="H149" s="1107"/>
      <c r="I149" s="1107"/>
      <c r="J149" s="1107"/>
      <c r="K149" s="1107"/>
      <c r="L149" s="1107"/>
      <c r="M149" s="1107"/>
      <c r="N149" s="1107"/>
      <c r="O149" s="1107"/>
      <c r="P149" s="1107"/>
      <c r="Q149" s="1107"/>
      <c r="R149" s="1107"/>
      <c r="S149" s="1107"/>
      <c r="T149" s="1107"/>
      <c r="U149" s="1107"/>
      <c r="V149" s="1107"/>
      <c r="W149" s="1107"/>
      <c r="X149" s="1107"/>
      <c r="Y149" s="1107"/>
      <c r="Z149" s="1107"/>
      <c r="AA149" s="1107"/>
      <c r="AB149" s="1107"/>
      <c r="AC149" s="1107"/>
      <c r="AD149" s="1107"/>
      <c r="AE149" s="1107"/>
      <c r="AF149" s="1107"/>
      <c r="AG149" s="1107"/>
      <c r="AH149" s="1107"/>
      <c r="AI149" s="1107"/>
      <c r="AJ149" s="1107"/>
      <c r="AK149" s="1107"/>
      <c r="AL149" s="1108" t="s">
        <v>2040</v>
      </c>
      <c r="AM149" s="1095" t="s">
        <v>2041</v>
      </c>
      <c r="AN149" s="2275" t="s">
        <v>2042</v>
      </c>
      <c r="AO149" s="2275"/>
      <c r="AP149" s="1093"/>
      <c r="AQ149" s="1093"/>
      <c r="AR149" s="1093"/>
      <c r="AS149" s="1090"/>
      <c r="AT149" s="1090"/>
      <c r="AU149" s="1090"/>
      <c r="AV149" s="1090"/>
    </row>
    <row r="150" spans="1:48" ht="15.9" customHeight="1">
      <c r="A150" s="989"/>
      <c r="B150" s="1057"/>
      <c r="C150" s="2276" t="s">
        <v>2043</v>
      </c>
      <c r="D150" s="2276"/>
      <c r="E150" s="2276"/>
      <c r="F150" s="2277"/>
      <c r="G150" s="1109">
        <f>G8</f>
        <v>1</v>
      </c>
      <c r="H150" s="1110">
        <f t="shared" ref="H150:AK150" si="68">H8</f>
        <v>2</v>
      </c>
      <c r="I150" s="1110">
        <f t="shared" si="68"/>
        <v>3</v>
      </c>
      <c r="J150" s="1110">
        <f t="shared" si="68"/>
        <v>4</v>
      </c>
      <c r="K150" s="1110">
        <f t="shared" si="68"/>
        <v>5</v>
      </c>
      <c r="L150" s="1110">
        <f t="shared" si="68"/>
        <v>6</v>
      </c>
      <c r="M150" s="1111">
        <f t="shared" si="68"/>
        <v>7</v>
      </c>
      <c r="N150" s="1109">
        <f t="shared" si="68"/>
        <v>8</v>
      </c>
      <c r="O150" s="1110">
        <f t="shared" si="68"/>
        <v>9</v>
      </c>
      <c r="P150" s="1110">
        <f t="shared" si="68"/>
        <v>10</v>
      </c>
      <c r="Q150" s="1110">
        <f t="shared" si="68"/>
        <v>11</v>
      </c>
      <c r="R150" s="1110">
        <f t="shared" si="68"/>
        <v>12</v>
      </c>
      <c r="S150" s="1110">
        <f t="shared" si="68"/>
        <v>13</v>
      </c>
      <c r="T150" s="1111">
        <f t="shared" si="68"/>
        <v>14</v>
      </c>
      <c r="U150" s="1109">
        <f t="shared" si="68"/>
        <v>15</v>
      </c>
      <c r="V150" s="1110">
        <f t="shared" si="68"/>
        <v>16</v>
      </c>
      <c r="W150" s="1110">
        <f t="shared" si="68"/>
        <v>17</v>
      </c>
      <c r="X150" s="1110">
        <f t="shared" si="68"/>
        <v>18</v>
      </c>
      <c r="Y150" s="1110">
        <f t="shared" si="68"/>
        <v>19</v>
      </c>
      <c r="Z150" s="1110">
        <f t="shared" si="68"/>
        <v>20</v>
      </c>
      <c r="AA150" s="1111">
        <f t="shared" si="68"/>
        <v>21</v>
      </c>
      <c r="AB150" s="1109">
        <f t="shared" si="68"/>
        <v>22</v>
      </c>
      <c r="AC150" s="1110">
        <f t="shared" si="68"/>
        <v>23</v>
      </c>
      <c r="AD150" s="1110">
        <f t="shared" si="68"/>
        <v>24</v>
      </c>
      <c r="AE150" s="1110">
        <f t="shared" si="68"/>
        <v>25</v>
      </c>
      <c r="AF150" s="1110">
        <f t="shared" si="68"/>
        <v>26</v>
      </c>
      <c r="AG150" s="1110">
        <f t="shared" si="68"/>
        <v>27</v>
      </c>
      <c r="AH150" s="1111">
        <f t="shared" si="68"/>
        <v>28</v>
      </c>
      <c r="AI150" s="1109">
        <f t="shared" si="68"/>
        <v>29</v>
      </c>
      <c r="AJ150" s="1110">
        <f t="shared" si="68"/>
        <v>30</v>
      </c>
      <c r="AK150" s="1110">
        <f t="shared" si="68"/>
        <v>31</v>
      </c>
      <c r="AL150" s="1112" t="s">
        <v>2044</v>
      </c>
      <c r="AM150" s="1113" t="s">
        <v>2045</v>
      </c>
      <c r="AN150" s="2277" t="s">
        <v>2046</v>
      </c>
      <c r="AO150" s="2278"/>
      <c r="AP150" s="1114"/>
      <c r="AQ150" s="1093"/>
      <c r="AR150" s="1093"/>
    </row>
    <row r="151" spans="1:48">
      <c r="A151" s="989"/>
      <c r="B151" s="1057" t="s">
        <v>2047</v>
      </c>
      <c r="C151" s="2279" t="str">
        <f>CONCATENATE(AC197,"：",AD197,"（",AF197,AH197,AI197,"）",AK197,AM197)</f>
        <v>夜：夜勤（16：30～0：00）7.5ｈ</v>
      </c>
      <c r="D151" s="2280"/>
      <c r="E151" s="2281"/>
      <c r="F151" s="1115" t="str">
        <f>IF(AC197="","",AC197)</f>
        <v>夜</v>
      </c>
      <c r="G151" s="1116">
        <f>COUNTIF($G$10:$G$142,F151)</f>
        <v>1</v>
      </c>
      <c r="H151" s="1117">
        <f>COUNTIF($H$10:$H$142,F151)</f>
        <v>1</v>
      </c>
      <c r="I151" s="1117">
        <f>COUNTIF($I$10:$I$142,F151)</f>
        <v>1</v>
      </c>
      <c r="J151" s="1117">
        <f>COUNTIF($J$10:$J$142,F151)</f>
        <v>1</v>
      </c>
      <c r="K151" s="1117">
        <f>COUNTIF($K$10:$K$142,F151)</f>
        <v>1</v>
      </c>
      <c r="L151" s="1117">
        <f>COUNTIF(L$10:L$142,F151)</f>
        <v>1</v>
      </c>
      <c r="M151" s="1118">
        <f>COUNTIF(M$10:M$142,F151)</f>
        <v>1</v>
      </c>
      <c r="N151" s="1116">
        <f>COUNTIF(N$10:N$142,F151)</f>
        <v>1</v>
      </c>
      <c r="O151" s="1117">
        <f>COUNTIF(O$10:O$142,F151)</f>
        <v>1</v>
      </c>
      <c r="P151" s="1117">
        <f>COUNTIF(P$10:P$142,F151)</f>
        <v>1</v>
      </c>
      <c r="Q151" s="1117">
        <f>COUNTIF(Q$10:Q$142,F151)</f>
        <v>1</v>
      </c>
      <c r="R151" s="1117">
        <f>COUNTIF(R$10:R$142,F151)</f>
        <v>1</v>
      </c>
      <c r="S151" s="1117">
        <f>COUNTIF(S$10:S$142,F151)</f>
        <v>1</v>
      </c>
      <c r="T151" s="1118">
        <f>COUNTIF(T$10:T$142,F151)</f>
        <v>1</v>
      </c>
      <c r="U151" s="1116">
        <f>COUNTIF(U$10:U$142,F151)</f>
        <v>1</v>
      </c>
      <c r="V151" s="1117">
        <f>COUNTIF(V$10:V$142,F151)</f>
        <v>1</v>
      </c>
      <c r="W151" s="1117">
        <f>COUNTIF(W$10:W$142,F151)</f>
        <v>1</v>
      </c>
      <c r="X151" s="1117">
        <f>COUNTIF(X$10:X$142,F151)</f>
        <v>1</v>
      </c>
      <c r="Y151" s="1117">
        <f>COUNTIF(Y$10:Y$142,F151)</f>
        <v>1</v>
      </c>
      <c r="Z151" s="1117">
        <f>COUNTIF(Z$10:Z$142,F151)</f>
        <v>1</v>
      </c>
      <c r="AA151" s="1118">
        <f>COUNTIF(AA$10:AA$142,F151)</f>
        <v>1</v>
      </c>
      <c r="AB151" s="1116">
        <f>COUNTIF(AB$10:AB$142,F151)</f>
        <v>1</v>
      </c>
      <c r="AC151" s="1117">
        <f>COUNTIF(AC$10:AC$142,F151)</f>
        <v>1</v>
      </c>
      <c r="AD151" s="1117">
        <f>COUNTIF(AD$10:AD$142,F151)</f>
        <v>1</v>
      </c>
      <c r="AE151" s="1117">
        <f>COUNTIF(AE$10:AE$142,F151)</f>
        <v>1</v>
      </c>
      <c r="AF151" s="1117">
        <f>COUNTIF(AF$10:AF$142,F151)</f>
        <v>1</v>
      </c>
      <c r="AG151" s="1117">
        <f>COUNTIF(AG$10:AG$142,F151)</f>
        <v>1</v>
      </c>
      <c r="AH151" s="1118">
        <f>COUNTIF(AH$10:AH$142,F151)</f>
        <v>1</v>
      </c>
      <c r="AI151" s="1119">
        <f>COUNTIF(AI$10:AI$142,F151)</f>
        <v>1</v>
      </c>
      <c r="AJ151" s="1117">
        <f>COUNTIF(AJ$10:AJ$142,F151)</f>
        <v>1</v>
      </c>
      <c r="AK151" s="1117">
        <f>COUNTIF(AK$10:AK$142,F151)</f>
        <v>1</v>
      </c>
      <c r="AL151" s="1120">
        <f>SUM(G151:AK151)</f>
        <v>31</v>
      </c>
      <c r="AM151" s="1121">
        <f>IF(AR197="","",AR197)</f>
        <v>7.5</v>
      </c>
      <c r="AN151" s="2282">
        <f>AL151*AM151</f>
        <v>232.5</v>
      </c>
      <c r="AO151" s="2283"/>
      <c r="AP151" s="1114"/>
      <c r="AQ151" s="1093"/>
      <c r="AR151" s="1093"/>
    </row>
    <row r="152" spans="1:48">
      <c r="A152" s="989"/>
      <c r="B152" s="1057" t="s">
        <v>2048</v>
      </c>
      <c r="C152" s="2295" t="str">
        <f t="shared" ref="C152:C175" si="69">CONCATENATE(AC198,"：",AD198,"（",AF198,AH198,AI198,"）",AK198,AM198)</f>
        <v>明：明け（0：00～9：15）7.25ｈ</v>
      </c>
      <c r="D152" s="2296"/>
      <c r="E152" s="2297"/>
      <c r="F152" s="1122" t="str">
        <f t="shared" ref="F152:F175" si="70">IF(AC198="","",AC198)</f>
        <v>明</v>
      </c>
      <c r="G152" s="1123">
        <f t="shared" ref="G152:G175" si="71">COUNTIF($G$10:$G$142,F152)</f>
        <v>0</v>
      </c>
      <c r="H152" s="1124">
        <f t="shared" ref="H152:H175" si="72">COUNTIF($H$10:$H$142,F152)</f>
        <v>1</v>
      </c>
      <c r="I152" s="1124">
        <f t="shared" ref="I152:I175" si="73">COUNTIF($I$10:$I$142,F152)</f>
        <v>1</v>
      </c>
      <c r="J152" s="1124">
        <f t="shared" ref="J152:J175" si="74">COUNTIF($J$10:$J$142,F152)</f>
        <v>1</v>
      </c>
      <c r="K152" s="1124">
        <f t="shared" ref="K152:K175" si="75">COUNTIF($K$10:$K$142,F152)</f>
        <v>1</v>
      </c>
      <c r="L152" s="1124">
        <f t="shared" ref="L152:L175" si="76">COUNTIF(L$10:L$142,F152)</f>
        <v>1</v>
      </c>
      <c r="M152" s="1125">
        <f t="shared" ref="M152:M175" si="77">COUNTIF(M$10:M$142,F152)</f>
        <v>1</v>
      </c>
      <c r="N152" s="1123">
        <f t="shared" ref="N152:N175" si="78">COUNTIF(N$10:N$142,F152)</f>
        <v>1</v>
      </c>
      <c r="O152" s="1124">
        <f t="shared" ref="O152:O175" si="79">COUNTIF(O$10:O$142,F152)</f>
        <v>1</v>
      </c>
      <c r="P152" s="1124">
        <f t="shared" ref="P152:P175" si="80">COUNTIF(P$10:P$142,F152)</f>
        <v>1</v>
      </c>
      <c r="Q152" s="1124">
        <f t="shared" ref="Q152:Q175" si="81">COUNTIF(Q$10:Q$142,F152)</f>
        <v>1</v>
      </c>
      <c r="R152" s="1124">
        <f t="shared" ref="R152:R175" si="82">COUNTIF(R$10:R$142,F152)</f>
        <v>1</v>
      </c>
      <c r="S152" s="1124">
        <f t="shared" ref="S152:S175" si="83">COUNTIF(S$10:S$142,F152)</f>
        <v>1</v>
      </c>
      <c r="T152" s="1125">
        <f t="shared" ref="T152:T175" si="84">COUNTIF(T$10:T$142,F152)</f>
        <v>1</v>
      </c>
      <c r="U152" s="1123">
        <f t="shared" ref="U152:U175" si="85">COUNTIF(U$10:U$142,F152)</f>
        <v>1</v>
      </c>
      <c r="V152" s="1124">
        <f t="shared" ref="V152:V175" si="86">COUNTIF(V$10:V$142,F152)</f>
        <v>1</v>
      </c>
      <c r="W152" s="1124">
        <f t="shared" ref="W152:W175" si="87">COUNTIF(W$10:W$142,F152)</f>
        <v>1</v>
      </c>
      <c r="X152" s="1124">
        <f t="shared" ref="X152:X175" si="88">COUNTIF(X$10:X$142,F152)</f>
        <v>1</v>
      </c>
      <c r="Y152" s="1124">
        <f t="shared" ref="Y152:Y175" si="89">COUNTIF(Y$10:Y$142,F152)</f>
        <v>1</v>
      </c>
      <c r="Z152" s="1124">
        <f t="shared" ref="Z152:Z175" si="90">COUNTIF(Z$10:Z$142,F152)</f>
        <v>1</v>
      </c>
      <c r="AA152" s="1125">
        <f t="shared" ref="AA152:AA175" si="91">COUNTIF(AA$10:AA$142,F152)</f>
        <v>1</v>
      </c>
      <c r="AB152" s="1123">
        <f t="shared" ref="AB152:AB175" si="92">COUNTIF(AB$10:AB$142,F152)</f>
        <v>1</v>
      </c>
      <c r="AC152" s="1124">
        <f t="shared" ref="AC152:AC175" si="93">COUNTIF(AC$10:AC$142,F152)</f>
        <v>1</v>
      </c>
      <c r="AD152" s="1124">
        <f t="shared" ref="AD152:AD175" si="94">COUNTIF(AD$10:AD$142,F152)</f>
        <v>1</v>
      </c>
      <c r="AE152" s="1124">
        <f t="shared" ref="AE152:AE175" si="95">COUNTIF(AE$10:AE$142,F152)</f>
        <v>1</v>
      </c>
      <c r="AF152" s="1124">
        <f t="shared" ref="AF152:AF175" si="96">COUNTIF(AF$10:AF$142,F152)</f>
        <v>1</v>
      </c>
      <c r="AG152" s="1124">
        <f t="shared" ref="AG152:AG175" si="97">COUNTIF(AG$10:AG$142,F152)</f>
        <v>1</v>
      </c>
      <c r="AH152" s="1125">
        <f t="shared" ref="AH152:AH175" si="98">COUNTIF(AH$10:AH$142,F152)</f>
        <v>1</v>
      </c>
      <c r="AI152" s="1126">
        <f t="shared" ref="AI152:AI175" si="99">COUNTIF(AI$10:AI$142,F152)</f>
        <v>1</v>
      </c>
      <c r="AJ152" s="1124">
        <f t="shared" ref="AJ152:AJ175" si="100">COUNTIF(AJ$10:AJ$142,F152)</f>
        <v>1</v>
      </c>
      <c r="AK152" s="1124">
        <f t="shared" ref="AK152:AK175" si="101">COUNTIF(AK$10:AK$142,F152)</f>
        <v>1</v>
      </c>
      <c r="AL152" s="1127">
        <f t="shared" ref="AL152:AL175" si="102">SUM(G152:AK152)</f>
        <v>30</v>
      </c>
      <c r="AM152" s="1128">
        <f t="shared" ref="AM152:AM175" si="103">IF(AR198="","",AR198)</f>
        <v>7.25</v>
      </c>
      <c r="AN152" s="2298">
        <f t="shared" ref="AN152:AN175" si="104">AL152*AM152</f>
        <v>217.5</v>
      </c>
      <c r="AO152" s="2300"/>
      <c r="AP152" s="1114"/>
      <c r="AQ152" s="1093"/>
      <c r="AR152" s="1093"/>
    </row>
    <row r="153" spans="1:48">
      <c r="A153" s="989"/>
      <c r="B153" s="1057" t="s">
        <v>2049</v>
      </c>
      <c r="C153" s="2295" t="str">
        <f t="shared" si="69"/>
        <v>①：日勤Ａ（8：40～17：15）7.75ｈ</v>
      </c>
      <c r="D153" s="2296"/>
      <c r="E153" s="2297"/>
      <c r="F153" s="1122" t="str">
        <f t="shared" si="70"/>
        <v>①</v>
      </c>
      <c r="G153" s="1123">
        <f t="shared" si="71"/>
        <v>0</v>
      </c>
      <c r="H153" s="1124">
        <f t="shared" si="72"/>
        <v>0</v>
      </c>
      <c r="I153" s="1124">
        <f t="shared" si="73"/>
        <v>0</v>
      </c>
      <c r="J153" s="1124">
        <f t="shared" si="74"/>
        <v>1</v>
      </c>
      <c r="K153" s="1124">
        <f t="shared" si="75"/>
        <v>2</v>
      </c>
      <c r="L153" s="1124">
        <f t="shared" si="76"/>
        <v>3</v>
      </c>
      <c r="M153" s="1125">
        <f t="shared" si="77"/>
        <v>3</v>
      </c>
      <c r="N153" s="1123">
        <f t="shared" si="78"/>
        <v>3</v>
      </c>
      <c r="O153" s="1124">
        <f t="shared" si="79"/>
        <v>3</v>
      </c>
      <c r="P153" s="1124">
        <f t="shared" si="80"/>
        <v>3</v>
      </c>
      <c r="Q153" s="1124">
        <f t="shared" si="81"/>
        <v>3</v>
      </c>
      <c r="R153" s="1124">
        <f t="shared" si="82"/>
        <v>3</v>
      </c>
      <c r="S153" s="1124">
        <f t="shared" si="83"/>
        <v>3</v>
      </c>
      <c r="T153" s="1125">
        <f t="shared" si="84"/>
        <v>3</v>
      </c>
      <c r="U153" s="1123">
        <f t="shared" si="85"/>
        <v>3</v>
      </c>
      <c r="V153" s="1124">
        <f t="shared" si="86"/>
        <v>3</v>
      </c>
      <c r="W153" s="1124">
        <f t="shared" si="87"/>
        <v>3</v>
      </c>
      <c r="X153" s="1124">
        <f t="shared" si="88"/>
        <v>3</v>
      </c>
      <c r="Y153" s="1124">
        <f t="shared" si="89"/>
        <v>3</v>
      </c>
      <c r="Z153" s="1124">
        <f t="shared" si="90"/>
        <v>3</v>
      </c>
      <c r="AA153" s="1125">
        <f t="shared" si="91"/>
        <v>3</v>
      </c>
      <c r="AB153" s="1123">
        <f t="shared" si="92"/>
        <v>3</v>
      </c>
      <c r="AC153" s="1124">
        <f t="shared" si="93"/>
        <v>3</v>
      </c>
      <c r="AD153" s="1124">
        <f t="shared" si="94"/>
        <v>3</v>
      </c>
      <c r="AE153" s="1124">
        <f t="shared" si="95"/>
        <v>3</v>
      </c>
      <c r="AF153" s="1124">
        <f t="shared" si="96"/>
        <v>3</v>
      </c>
      <c r="AG153" s="1124">
        <f t="shared" si="97"/>
        <v>3</v>
      </c>
      <c r="AH153" s="1125">
        <f t="shared" si="98"/>
        <v>3</v>
      </c>
      <c r="AI153" s="1126">
        <f t="shared" si="99"/>
        <v>3</v>
      </c>
      <c r="AJ153" s="1124">
        <f t="shared" si="100"/>
        <v>3</v>
      </c>
      <c r="AK153" s="1124">
        <f t="shared" si="101"/>
        <v>3</v>
      </c>
      <c r="AL153" s="1127">
        <f t="shared" si="102"/>
        <v>81</v>
      </c>
      <c r="AM153" s="1128">
        <f t="shared" si="103"/>
        <v>1.33</v>
      </c>
      <c r="AN153" s="2298">
        <f t="shared" si="104"/>
        <v>107.73</v>
      </c>
      <c r="AO153" s="2299"/>
      <c r="AP153" s="1093"/>
      <c r="AQ153" s="1093"/>
      <c r="AR153" s="1093"/>
    </row>
    <row r="154" spans="1:48">
      <c r="A154" s="989"/>
      <c r="B154" s="1057" t="s">
        <v>2050</v>
      </c>
      <c r="C154" s="2295" t="str">
        <f t="shared" si="69"/>
        <v>②：早出（7：10～15：45）7.75ｈ</v>
      </c>
      <c r="D154" s="2296"/>
      <c r="E154" s="2297"/>
      <c r="F154" s="1122" t="str">
        <f t="shared" si="70"/>
        <v>②</v>
      </c>
      <c r="G154" s="1123">
        <f t="shared" si="71"/>
        <v>0</v>
      </c>
      <c r="H154" s="1124">
        <f t="shared" si="72"/>
        <v>0</v>
      </c>
      <c r="I154" s="1124">
        <f t="shared" si="73"/>
        <v>0</v>
      </c>
      <c r="J154" s="1124">
        <f t="shared" si="74"/>
        <v>0</v>
      </c>
      <c r="K154" s="1124">
        <f t="shared" si="75"/>
        <v>0</v>
      </c>
      <c r="L154" s="1124">
        <f t="shared" si="76"/>
        <v>0</v>
      </c>
      <c r="M154" s="1125">
        <f t="shared" si="77"/>
        <v>0</v>
      </c>
      <c r="N154" s="1123">
        <f t="shared" si="78"/>
        <v>0</v>
      </c>
      <c r="O154" s="1124">
        <f t="shared" si="79"/>
        <v>0</v>
      </c>
      <c r="P154" s="1124">
        <f t="shared" si="80"/>
        <v>0</v>
      </c>
      <c r="Q154" s="1124">
        <f t="shared" si="81"/>
        <v>0</v>
      </c>
      <c r="R154" s="1124">
        <f t="shared" si="82"/>
        <v>0</v>
      </c>
      <c r="S154" s="1124">
        <f t="shared" si="83"/>
        <v>0</v>
      </c>
      <c r="T154" s="1125">
        <f t="shared" si="84"/>
        <v>0</v>
      </c>
      <c r="U154" s="1123">
        <f t="shared" si="85"/>
        <v>0</v>
      </c>
      <c r="V154" s="1124">
        <f t="shared" si="86"/>
        <v>0</v>
      </c>
      <c r="W154" s="1124">
        <f t="shared" si="87"/>
        <v>0</v>
      </c>
      <c r="X154" s="1124">
        <f t="shared" si="88"/>
        <v>0</v>
      </c>
      <c r="Y154" s="1124">
        <f t="shared" si="89"/>
        <v>0</v>
      </c>
      <c r="Z154" s="1124">
        <f t="shared" si="90"/>
        <v>0</v>
      </c>
      <c r="AA154" s="1125">
        <f t="shared" si="91"/>
        <v>0</v>
      </c>
      <c r="AB154" s="1123">
        <f t="shared" si="92"/>
        <v>0</v>
      </c>
      <c r="AC154" s="1124">
        <f t="shared" si="93"/>
        <v>0</v>
      </c>
      <c r="AD154" s="1124">
        <f t="shared" si="94"/>
        <v>0</v>
      </c>
      <c r="AE154" s="1124">
        <f t="shared" si="95"/>
        <v>0</v>
      </c>
      <c r="AF154" s="1124">
        <f t="shared" si="96"/>
        <v>0</v>
      </c>
      <c r="AG154" s="1124">
        <f t="shared" si="97"/>
        <v>0</v>
      </c>
      <c r="AH154" s="1125">
        <f t="shared" si="98"/>
        <v>0</v>
      </c>
      <c r="AI154" s="1126">
        <f t="shared" si="99"/>
        <v>0</v>
      </c>
      <c r="AJ154" s="1124">
        <f t="shared" si="100"/>
        <v>0</v>
      </c>
      <c r="AK154" s="1124">
        <f t="shared" si="101"/>
        <v>0</v>
      </c>
      <c r="AL154" s="1127">
        <f t="shared" si="102"/>
        <v>0</v>
      </c>
      <c r="AM154" s="1128">
        <f t="shared" si="103"/>
        <v>2.08</v>
      </c>
      <c r="AN154" s="2298">
        <f t="shared" si="104"/>
        <v>0</v>
      </c>
      <c r="AO154" s="2299"/>
      <c r="AP154" s="1093"/>
      <c r="AQ154" s="1093"/>
      <c r="AR154" s="1093"/>
    </row>
    <row r="155" spans="1:48">
      <c r="A155" s="989"/>
      <c r="B155" s="1057" t="s">
        <v>2051</v>
      </c>
      <c r="C155" s="2295" t="str">
        <f t="shared" si="69"/>
        <v>③：遅出（11：25～20：00）7.75ｈ</v>
      </c>
      <c r="D155" s="2296"/>
      <c r="E155" s="2297"/>
      <c r="F155" s="1122" t="str">
        <f t="shared" si="70"/>
        <v>③</v>
      </c>
      <c r="G155" s="1123">
        <f t="shared" si="71"/>
        <v>0</v>
      </c>
      <c r="H155" s="1124">
        <f t="shared" si="72"/>
        <v>0</v>
      </c>
      <c r="I155" s="1124">
        <f t="shared" si="73"/>
        <v>0</v>
      </c>
      <c r="J155" s="1124">
        <f t="shared" si="74"/>
        <v>0</v>
      </c>
      <c r="K155" s="1124">
        <f t="shared" si="75"/>
        <v>0</v>
      </c>
      <c r="L155" s="1124">
        <f t="shared" si="76"/>
        <v>0</v>
      </c>
      <c r="M155" s="1125">
        <f t="shared" si="77"/>
        <v>0</v>
      </c>
      <c r="N155" s="1123">
        <f t="shared" si="78"/>
        <v>0</v>
      </c>
      <c r="O155" s="1124">
        <f t="shared" si="79"/>
        <v>0</v>
      </c>
      <c r="P155" s="1124">
        <f t="shared" si="80"/>
        <v>0</v>
      </c>
      <c r="Q155" s="1124">
        <f t="shared" si="81"/>
        <v>0</v>
      </c>
      <c r="R155" s="1124">
        <f t="shared" si="82"/>
        <v>0</v>
      </c>
      <c r="S155" s="1124">
        <f t="shared" si="83"/>
        <v>0</v>
      </c>
      <c r="T155" s="1125">
        <f t="shared" si="84"/>
        <v>0</v>
      </c>
      <c r="U155" s="1123">
        <f t="shared" si="85"/>
        <v>0</v>
      </c>
      <c r="V155" s="1124">
        <f t="shared" si="86"/>
        <v>0</v>
      </c>
      <c r="W155" s="1124">
        <f t="shared" si="87"/>
        <v>0</v>
      </c>
      <c r="X155" s="1124">
        <f t="shared" si="88"/>
        <v>0</v>
      </c>
      <c r="Y155" s="1124">
        <f t="shared" si="89"/>
        <v>0</v>
      </c>
      <c r="Z155" s="1124">
        <f t="shared" si="90"/>
        <v>0</v>
      </c>
      <c r="AA155" s="1125">
        <f t="shared" si="91"/>
        <v>0</v>
      </c>
      <c r="AB155" s="1123">
        <f t="shared" si="92"/>
        <v>0</v>
      </c>
      <c r="AC155" s="1124">
        <f t="shared" si="93"/>
        <v>0</v>
      </c>
      <c r="AD155" s="1124">
        <f t="shared" si="94"/>
        <v>0</v>
      </c>
      <c r="AE155" s="1124">
        <f t="shared" si="95"/>
        <v>0</v>
      </c>
      <c r="AF155" s="1124">
        <f t="shared" si="96"/>
        <v>0</v>
      </c>
      <c r="AG155" s="1124">
        <f t="shared" si="97"/>
        <v>0</v>
      </c>
      <c r="AH155" s="1125">
        <f t="shared" si="98"/>
        <v>0</v>
      </c>
      <c r="AI155" s="1126">
        <f t="shared" si="99"/>
        <v>0</v>
      </c>
      <c r="AJ155" s="1124">
        <f t="shared" si="100"/>
        <v>0</v>
      </c>
      <c r="AK155" s="1124">
        <f t="shared" si="101"/>
        <v>0</v>
      </c>
      <c r="AL155" s="1127">
        <f t="shared" si="102"/>
        <v>0</v>
      </c>
      <c r="AM155" s="1128">
        <f t="shared" si="103"/>
        <v>2.5</v>
      </c>
      <c r="AN155" s="2298">
        <f t="shared" si="104"/>
        <v>0</v>
      </c>
      <c r="AO155" s="2299"/>
      <c r="AP155" s="1093"/>
      <c r="AQ155" s="1093"/>
      <c r="AR155" s="1093"/>
    </row>
    <row r="156" spans="1:48">
      <c r="A156" s="989"/>
      <c r="B156" s="1057" t="s">
        <v>2052</v>
      </c>
      <c r="C156" s="2295" t="str">
        <f t="shared" si="69"/>
        <v>⑤：午前Ａ（8：40～12：40）4ｈ</v>
      </c>
      <c r="D156" s="2296"/>
      <c r="E156" s="2297"/>
      <c r="F156" s="1122" t="str">
        <f t="shared" si="70"/>
        <v>⑤</v>
      </c>
      <c r="G156" s="1123">
        <f t="shared" si="71"/>
        <v>0</v>
      </c>
      <c r="H156" s="1124">
        <f t="shared" si="72"/>
        <v>0</v>
      </c>
      <c r="I156" s="1124">
        <f t="shared" si="73"/>
        <v>0</v>
      </c>
      <c r="J156" s="1124">
        <f t="shared" si="74"/>
        <v>0</v>
      </c>
      <c r="K156" s="1124">
        <f t="shared" si="75"/>
        <v>0</v>
      </c>
      <c r="L156" s="1124">
        <f t="shared" si="76"/>
        <v>0</v>
      </c>
      <c r="M156" s="1125">
        <f t="shared" si="77"/>
        <v>0</v>
      </c>
      <c r="N156" s="1123">
        <f t="shared" si="78"/>
        <v>0</v>
      </c>
      <c r="O156" s="1124">
        <f t="shared" si="79"/>
        <v>0</v>
      </c>
      <c r="P156" s="1124">
        <f t="shared" si="80"/>
        <v>0</v>
      </c>
      <c r="Q156" s="1124">
        <f t="shared" si="81"/>
        <v>0</v>
      </c>
      <c r="R156" s="1124">
        <f t="shared" si="82"/>
        <v>0</v>
      </c>
      <c r="S156" s="1124">
        <f t="shared" si="83"/>
        <v>0</v>
      </c>
      <c r="T156" s="1125">
        <f t="shared" si="84"/>
        <v>0</v>
      </c>
      <c r="U156" s="1123">
        <f t="shared" si="85"/>
        <v>0</v>
      </c>
      <c r="V156" s="1124">
        <f t="shared" si="86"/>
        <v>0</v>
      </c>
      <c r="W156" s="1124">
        <f t="shared" si="87"/>
        <v>0</v>
      </c>
      <c r="X156" s="1124">
        <f t="shared" si="88"/>
        <v>0</v>
      </c>
      <c r="Y156" s="1124">
        <f t="shared" si="89"/>
        <v>0</v>
      </c>
      <c r="Z156" s="1124">
        <f t="shared" si="90"/>
        <v>0</v>
      </c>
      <c r="AA156" s="1125">
        <f t="shared" si="91"/>
        <v>0</v>
      </c>
      <c r="AB156" s="1123">
        <f t="shared" si="92"/>
        <v>0</v>
      </c>
      <c r="AC156" s="1124">
        <f t="shared" si="93"/>
        <v>0</v>
      </c>
      <c r="AD156" s="1124">
        <f t="shared" si="94"/>
        <v>0</v>
      </c>
      <c r="AE156" s="1124">
        <f t="shared" si="95"/>
        <v>0</v>
      </c>
      <c r="AF156" s="1124">
        <f t="shared" si="96"/>
        <v>0</v>
      </c>
      <c r="AG156" s="1124">
        <f t="shared" si="97"/>
        <v>0</v>
      </c>
      <c r="AH156" s="1125">
        <f t="shared" si="98"/>
        <v>0</v>
      </c>
      <c r="AI156" s="1126">
        <f t="shared" si="99"/>
        <v>0</v>
      </c>
      <c r="AJ156" s="1124">
        <f t="shared" si="100"/>
        <v>0</v>
      </c>
      <c r="AK156" s="1124">
        <f t="shared" si="101"/>
        <v>0</v>
      </c>
      <c r="AL156" s="1127">
        <f t="shared" si="102"/>
        <v>0</v>
      </c>
      <c r="AM156" s="1128">
        <f t="shared" si="103"/>
        <v>0.57999999999999996</v>
      </c>
      <c r="AN156" s="2298">
        <f t="shared" si="104"/>
        <v>0</v>
      </c>
      <c r="AO156" s="2299"/>
      <c r="AP156" s="1093"/>
      <c r="AQ156" s="1093"/>
      <c r="AR156" s="1093"/>
    </row>
    <row r="157" spans="1:48">
      <c r="A157" s="989"/>
      <c r="B157" s="1057" t="s">
        <v>2053</v>
      </c>
      <c r="C157" s="2295" t="str">
        <f t="shared" si="69"/>
        <v>⑥：午後Ａ（13：30～17：30）4ｈ</v>
      </c>
      <c r="D157" s="2296"/>
      <c r="E157" s="2297"/>
      <c r="F157" s="1122" t="str">
        <f t="shared" si="70"/>
        <v>⑥</v>
      </c>
      <c r="G157" s="1123">
        <f t="shared" si="71"/>
        <v>0</v>
      </c>
      <c r="H157" s="1124">
        <f t="shared" si="72"/>
        <v>0</v>
      </c>
      <c r="I157" s="1124">
        <f t="shared" si="73"/>
        <v>0</v>
      </c>
      <c r="J157" s="1124">
        <f t="shared" si="74"/>
        <v>0</v>
      </c>
      <c r="K157" s="1124">
        <f t="shared" si="75"/>
        <v>0</v>
      </c>
      <c r="L157" s="1124">
        <f t="shared" si="76"/>
        <v>0</v>
      </c>
      <c r="M157" s="1125">
        <f t="shared" si="77"/>
        <v>0</v>
      </c>
      <c r="N157" s="1123">
        <f t="shared" si="78"/>
        <v>0</v>
      </c>
      <c r="O157" s="1124">
        <f t="shared" si="79"/>
        <v>0</v>
      </c>
      <c r="P157" s="1124">
        <f t="shared" si="80"/>
        <v>0</v>
      </c>
      <c r="Q157" s="1124">
        <f t="shared" si="81"/>
        <v>0</v>
      </c>
      <c r="R157" s="1124">
        <f t="shared" si="82"/>
        <v>0</v>
      </c>
      <c r="S157" s="1124">
        <f t="shared" si="83"/>
        <v>0</v>
      </c>
      <c r="T157" s="1125">
        <f t="shared" si="84"/>
        <v>0</v>
      </c>
      <c r="U157" s="1123">
        <f t="shared" si="85"/>
        <v>0</v>
      </c>
      <c r="V157" s="1124">
        <f t="shared" si="86"/>
        <v>0</v>
      </c>
      <c r="W157" s="1124">
        <f t="shared" si="87"/>
        <v>0</v>
      </c>
      <c r="X157" s="1124">
        <f t="shared" si="88"/>
        <v>0</v>
      </c>
      <c r="Y157" s="1124">
        <f t="shared" si="89"/>
        <v>0</v>
      </c>
      <c r="Z157" s="1124">
        <f t="shared" si="90"/>
        <v>0</v>
      </c>
      <c r="AA157" s="1125">
        <f t="shared" si="91"/>
        <v>0</v>
      </c>
      <c r="AB157" s="1123">
        <f t="shared" si="92"/>
        <v>0</v>
      </c>
      <c r="AC157" s="1124">
        <f t="shared" si="93"/>
        <v>0</v>
      </c>
      <c r="AD157" s="1124">
        <f t="shared" si="94"/>
        <v>0</v>
      </c>
      <c r="AE157" s="1124">
        <f t="shared" si="95"/>
        <v>0</v>
      </c>
      <c r="AF157" s="1124">
        <f t="shared" si="96"/>
        <v>0</v>
      </c>
      <c r="AG157" s="1124">
        <f t="shared" si="97"/>
        <v>0</v>
      </c>
      <c r="AH157" s="1125">
        <f t="shared" si="98"/>
        <v>0</v>
      </c>
      <c r="AI157" s="1126">
        <f t="shared" si="99"/>
        <v>0</v>
      </c>
      <c r="AJ157" s="1124">
        <f t="shared" si="100"/>
        <v>0</v>
      </c>
      <c r="AK157" s="1124">
        <f t="shared" si="101"/>
        <v>0</v>
      </c>
      <c r="AL157" s="1127">
        <f t="shared" si="102"/>
        <v>0</v>
      </c>
      <c r="AM157" s="1128">
        <f t="shared" si="103"/>
        <v>1</v>
      </c>
      <c r="AN157" s="2298">
        <f t="shared" si="104"/>
        <v>0</v>
      </c>
      <c r="AO157" s="2299"/>
      <c r="AP157" s="1093"/>
      <c r="AQ157" s="1093"/>
      <c r="AR157" s="1093"/>
    </row>
    <row r="158" spans="1:48">
      <c r="A158" s="989"/>
      <c r="B158" s="1057" t="s">
        <v>2054</v>
      </c>
      <c r="C158" s="2295" t="str">
        <f t="shared" si="69"/>
        <v>⑦：日勤Ｂ（9：00～17：00）7ｈ</v>
      </c>
      <c r="D158" s="2296"/>
      <c r="E158" s="2297"/>
      <c r="F158" s="1122" t="str">
        <f t="shared" si="70"/>
        <v>⑦</v>
      </c>
      <c r="G158" s="1123">
        <f t="shared" si="71"/>
        <v>0</v>
      </c>
      <c r="H158" s="1124">
        <f t="shared" si="72"/>
        <v>0</v>
      </c>
      <c r="I158" s="1124">
        <f t="shared" si="73"/>
        <v>0</v>
      </c>
      <c r="J158" s="1124">
        <f t="shared" si="74"/>
        <v>0</v>
      </c>
      <c r="K158" s="1124">
        <f t="shared" si="75"/>
        <v>0</v>
      </c>
      <c r="L158" s="1124">
        <f t="shared" si="76"/>
        <v>0</v>
      </c>
      <c r="M158" s="1125">
        <f t="shared" si="77"/>
        <v>0</v>
      </c>
      <c r="N158" s="1123">
        <f t="shared" si="78"/>
        <v>0</v>
      </c>
      <c r="O158" s="1124">
        <f t="shared" si="79"/>
        <v>0</v>
      </c>
      <c r="P158" s="1124">
        <f t="shared" si="80"/>
        <v>0</v>
      </c>
      <c r="Q158" s="1124">
        <f t="shared" si="81"/>
        <v>0</v>
      </c>
      <c r="R158" s="1124">
        <f t="shared" si="82"/>
        <v>0</v>
      </c>
      <c r="S158" s="1124">
        <f t="shared" si="83"/>
        <v>0</v>
      </c>
      <c r="T158" s="1125">
        <f t="shared" si="84"/>
        <v>0</v>
      </c>
      <c r="U158" s="1123">
        <f t="shared" si="85"/>
        <v>0</v>
      </c>
      <c r="V158" s="1124">
        <f t="shared" si="86"/>
        <v>0</v>
      </c>
      <c r="W158" s="1124">
        <f t="shared" si="87"/>
        <v>0</v>
      </c>
      <c r="X158" s="1124">
        <f t="shared" si="88"/>
        <v>0</v>
      </c>
      <c r="Y158" s="1124">
        <f t="shared" si="89"/>
        <v>0</v>
      </c>
      <c r="Z158" s="1124">
        <f t="shared" si="90"/>
        <v>0</v>
      </c>
      <c r="AA158" s="1125">
        <f t="shared" si="91"/>
        <v>0</v>
      </c>
      <c r="AB158" s="1123">
        <f t="shared" si="92"/>
        <v>0</v>
      </c>
      <c r="AC158" s="1124">
        <f t="shared" si="93"/>
        <v>0</v>
      </c>
      <c r="AD158" s="1124">
        <f t="shared" si="94"/>
        <v>0</v>
      </c>
      <c r="AE158" s="1124">
        <f t="shared" si="95"/>
        <v>0</v>
      </c>
      <c r="AF158" s="1124">
        <f t="shared" si="96"/>
        <v>0</v>
      </c>
      <c r="AG158" s="1124">
        <f t="shared" si="97"/>
        <v>0</v>
      </c>
      <c r="AH158" s="1125">
        <f t="shared" si="98"/>
        <v>0</v>
      </c>
      <c r="AI158" s="1126">
        <f t="shared" si="99"/>
        <v>0</v>
      </c>
      <c r="AJ158" s="1124">
        <f t="shared" si="100"/>
        <v>0</v>
      </c>
      <c r="AK158" s="1124">
        <f t="shared" si="101"/>
        <v>0</v>
      </c>
      <c r="AL158" s="1127">
        <f t="shared" si="102"/>
        <v>0</v>
      </c>
      <c r="AM158" s="1128">
        <f t="shared" si="103"/>
        <v>0.75</v>
      </c>
      <c r="AN158" s="2298">
        <f t="shared" si="104"/>
        <v>0</v>
      </c>
      <c r="AO158" s="2299"/>
      <c r="AP158" s="1093"/>
      <c r="AQ158" s="1093"/>
      <c r="AR158" s="1093"/>
    </row>
    <row r="159" spans="1:48">
      <c r="A159" s="989"/>
      <c r="B159" s="1057" t="s">
        <v>2055</v>
      </c>
      <c r="C159" s="2295" t="str">
        <f t="shared" si="69"/>
        <v>⑧：午前Ｂ（9：00～13：00）4ｈ</v>
      </c>
      <c r="D159" s="2296"/>
      <c r="E159" s="2297"/>
      <c r="F159" s="1122" t="str">
        <f t="shared" si="70"/>
        <v>⑧</v>
      </c>
      <c r="G159" s="1123">
        <f t="shared" si="71"/>
        <v>0</v>
      </c>
      <c r="H159" s="1124">
        <f t="shared" si="72"/>
        <v>0</v>
      </c>
      <c r="I159" s="1124">
        <f t="shared" si="73"/>
        <v>0</v>
      </c>
      <c r="J159" s="1124">
        <f t="shared" si="74"/>
        <v>0</v>
      </c>
      <c r="K159" s="1124">
        <f t="shared" si="75"/>
        <v>0</v>
      </c>
      <c r="L159" s="1124">
        <f t="shared" si="76"/>
        <v>0</v>
      </c>
      <c r="M159" s="1125">
        <f t="shared" si="77"/>
        <v>0</v>
      </c>
      <c r="N159" s="1123">
        <f t="shared" si="78"/>
        <v>0</v>
      </c>
      <c r="O159" s="1124">
        <f t="shared" si="79"/>
        <v>0</v>
      </c>
      <c r="P159" s="1124">
        <f t="shared" si="80"/>
        <v>0</v>
      </c>
      <c r="Q159" s="1124">
        <f t="shared" si="81"/>
        <v>0</v>
      </c>
      <c r="R159" s="1124">
        <f t="shared" si="82"/>
        <v>0</v>
      </c>
      <c r="S159" s="1124">
        <f t="shared" si="83"/>
        <v>0</v>
      </c>
      <c r="T159" s="1125">
        <f t="shared" si="84"/>
        <v>0</v>
      </c>
      <c r="U159" s="1123">
        <f t="shared" si="85"/>
        <v>0</v>
      </c>
      <c r="V159" s="1124">
        <f t="shared" si="86"/>
        <v>0</v>
      </c>
      <c r="W159" s="1124">
        <f t="shared" si="87"/>
        <v>0</v>
      </c>
      <c r="X159" s="1124">
        <f t="shared" si="88"/>
        <v>0</v>
      </c>
      <c r="Y159" s="1124">
        <f t="shared" si="89"/>
        <v>0</v>
      </c>
      <c r="Z159" s="1124">
        <f t="shared" si="90"/>
        <v>0</v>
      </c>
      <c r="AA159" s="1125">
        <f t="shared" si="91"/>
        <v>0</v>
      </c>
      <c r="AB159" s="1123">
        <f t="shared" si="92"/>
        <v>0</v>
      </c>
      <c r="AC159" s="1124">
        <f t="shared" si="93"/>
        <v>0</v>
      </c>
      <c r="AD159" s="1124">
        <f t="shared" si="94"/>
        <v>0</v>
      </c>
      <c r="AE159" s="1124">
        <f t="shared" si="95"/>
        <v>0</v>
      </c>
      <c r="AF159" s="1124">
        <f t="shared" si="96"/>
        <v>0</v>
      </c>
      <c r="AG159" s="1124">
        <f t="shared" si="97"/>
        <v>0</v>
      </c>
      <c r="AH159" s="1125">
        <f t="shared" si="98"/>
        <v>0</v>
      </c>
      <c r="AI159" s="1126">
        <f t="shared" si="99"/>
        <v>0</v>
      </c>
      <c r="AJ159" s="1124">
        <f t="shared" si="100"/>
        <v>0</v>
      </c>
      <c r="AK159" s="1124">
        <f t="shared" si="101"/>
        <v>0</v>
      </c>
      <c r="AL159" s="1127">
        <f t="shared" si="102"/>
        <v>0</v>
      </c>
      <c r="AM159" s="1128">
        <f t="shared" si="103"/>
        <v>0.25</v>
      </c>
      <c r="AN159" s="2298">
        <f t="shared" si="104"/>
        <v>0</v>
      </c>
      <c r="AO159" s="2299"/>
      <c r="AP159" s="1093"/>
      <c r="AQ159" s="1093"/>
      <c r="AR159" s="1093"/>
    </row>
    <row r="160" spans="1:48">
      <c r="A160" s="989"/>
      <c r="B160" s="1057" t="s">
        <v>2056</v>
      </c>
      <c r="C160" s="2295" t="str">
        <f t="shared" si="69"/>
        <v>⑨：午後Ｂ（13：00～17：00）4ｈ</v>
      </c>
      <c r="D160" s="2296"/>
      <c r="E160" s="2297"/>
      <c r="F160" s="1122" t="str">
        <f t="shared" si="70"/>
        <v>⑨</v>
      </c>
      <c r="G160" s="1123">
        <f t="shared" si="71"/>
        <v>0</v>
      </c>
      <c r="H160" s="1124">
        <f t="shared" si="72"/>
        <v>0</v>
      </c>
      <c r="I160" s="1124">
        <f t="shared" si="73"/>
        <v>0</v>
      </c>
      <c r="J160" s="1124">
        <f t="shared" si="74"/>
        <v>0</v>
      </c>
      <c r="K160" s="1124">
        <f t="shared" si="75"/>
        <v>0</v>
      </c>
      <c r="L160" s="1124">
        <f t="shared" si="76"/>
        <v>0</v>
      </c>
      <c r="M160" s="1125">
        <f t="shared" si="77"/>
        <v>0</v>
      </c>
      <c r="N160" s="1123">
        <f t="shared" si="78"/>
        <v>0</v>
      </c>
      <c r="O160" s="1124">
        <f t="shared" si="79"/>
        <v>0</v>
      </c>
      <c r="P160" s="1124">
        <f t="shared" si="80"/>
        <v>0</v>
      </c>
      <c r="Q160" s="1124">
        <f t="shared" si="81"/>
        <v>0</v>
      </c>
      <c r="R160" s="1124">
        <f t="shared" si="82"/>
        <v>0</v>
      </c>
      <c r="S160" s="1124">
        <f t="shared" si="83"/>
        <v>0</v>
      </c>
      <c r="T160" s="1125">
        <f t="shared" si="84"/>
        <v>0</v>
      </c>
      <c r="U160" s="1123">
        <f t="shared" si="85"/>
        <v>0</v>
      </c>
      <c r="V160" s="1124">
        <f t="shared" si="86"/>
        <v>0</v>
      </c>
      <c r="W160" s="1124">
        <f t="shared" si="87"/>
        <v>0</v>
      </c>
      <c r="X160" s="1124">
        <f t="shared" si="88"/>
        <v>0</v>
      </c>
      <c r="Y160" s="1124">
        <f t="shared" si="89"/>
        <v>0</v>
      </c>
      <c r="Z160" s="1124">
        <f t="shared" si="90"/>
        <v>0</v>
      </c>
      <c r="AA160" s="1125">
        <f t="shared" si="91"/>
        <v>0</v>
      </c>
      <c r="AB160" s="1123">
        <f t="shared" si="92"/>
        <v>0</v>
      </c>
      <c r="AC160" s="1124">
        <f t="shared" si="93"/>
        <v>0</v>
      </c>
      <c r="AD160" s="1124">
        <f t="shared" si="94"/>
        <v>0</v>
      </c>
      <c r="AE160" s="1124">
        <f t="shared" si="95"/>
        <v>0</v>
      </c>
      <c r="AF160" s="1124">
        <f t="shared" si="96"/>
        <v>0</v>
      </c>
      <c r="AG160" s="1124">
        <f t="shared" si="97"/>
        <v>0</v>
      </c>
      <c r="AH160" s="1125">
        <f t="shared" si="98"/>
        <v>0</v>
      </c>
      <c r="AI160" s="1126">
        <f t="shared" si="99"/>
        <v>0</v>
      </c>
      <c r="AJ160" s="1124">
        <f t="shared" si="100"/>
        <v>0</v>
      </c>
      <c r="AK160" s="1124">
        <f t="shared" si="101"/>
        <v>0</v>
      </c>
      <c r="AL160" s="1127">
        <f t="shared" si="102"/>
        <v>0</v>
      </c>
      <c r="AM160" s="1128">
        <f t="shared" si="103"/>
        <v>0.5</v>
      </c>
      <c r="AN160" s="2298">
        <f t="shared" si="104"/>
        <v>0</v>
      </c>
      <c r="AO160" s="2299"/>
      <c r="AP160" s="1093"/>
      <c r="AQ160" s="1093"/>
      <c r="AR160" s="1093"/>
    </row>
    <row r="161" spans="1:44">
      <c r="A161" s="989"/>
      <c r="B161" s="1057" t="s">
        <v>2057</v>
      </c>
      <c r="C161" s="2295" t="str">
        <f t="shared" si="69"/>
        <v>⑩：午後Ｃ（11：25～15：25）4ｈ</v>
      </c>
      <c r="D161" s="2296"/>
      <c r="E161" s="2297"/>
      <c r="F161" s="1122" t="str">
        <f t="shared" si="70"/>
        <v>⑩</v>
      </c>
      <c r="G161" s="1123">
        <f t="shared" si="71"/>
        <v>0</v>
      </c>
      <c r="H161" s="1124">
        <f t="shared" si="72"/>
        <v>0</v>
      </c>
      <c r="I161" s="1124">
        <f t="shared" si="73"/>
        <v>0</v>
      </c>
      <c r="J161" s="1124">
        <f t="shared" si="74"/>
        <v>0</v>
      </c>
      <c r="K161" s="1124">
        <f t="shared" si="75"/>
        <v>0</v>
      </c>
      <c r="L161" s="1124">
        <f t="shared" si="76"/>
        <v>0</v>
      </c>
      <c r="M161" s="1125">
        <f t="shared" si="77"/>
        <v>0</v>
      </c>
      <c r="N161" s="1123">
        <f t="shared" si="78"/>
        <v>0</v>
      </c>
      <c r="O161" s="1124">
        <f t="shared" si="79"/>
        <v>0</v>
      </c>
      <c r="P161" s="1124">
        <f t="shared" si="80"/>
        <v>0</v>
      </c>
      <c r="Q161" s="1124">
        <f t="shared" si="81"/>
        <v>0</v>
      </c>
      <c r="R161" s="1124">
        <f t="shared" si="82"/>
        <v>0</v>
      </c>
      <c r="S161" s="1124">
        <f t="shared" si="83"/>
        <v>0</v>
      </c>
      <c r="T161" s="1125">
        <f t="shared" si="84"/>
        <v>0</v>
      </c>
      <c r="U161" s="1123">
        <f t="shared" si="85"/>
        <v>0</v>
      </c>
      <c r="V161" s="1124">
        <f t="shared" si="86"/>
        <v>0</v>
      </c>
      <c r="W161" s="1124">
        <f t="shared" si="87"/>
        <v>0</v>
      </c>
      <c r="X161" s="1124">
        <f t="shared" si="88"/>
        <v>0</v>
      </c>
      <c r="Y161" s="1124">
        <f t="shared" si="89"/>
        <v>0</v>
      </c>
      <c r="Z161" s="1124">
        <f t="shared" si="90"/>
        <v>0</v>
      </c>
      <c r="AA161" s="1125">
        <f t="shared" si="91"/>
        <v>0</v>
      </c>
      <c r="AB161" s="1123">
        <f t="shared" si="92"/>
        <v>0</v>
      </c>
      <c r="AC161" s="1124">
        <f t="shared" si="93"/>
        <v>0</v>
      </c>
      <c r="AD161" s="1124">
        <f t="shared" si="94"/>
        <v>0</v>
      </c>
      <c r="AE161" s="1124">
        <f t="shared" si="95"/>
        <v>0</v>
      </c>
      <c r="AF161" s="1124">
        <f t="shared" si="96"/>
        <v>0</v>
      </c>
      <c r="AG161" s="1124">
        <f t="shared" si="97"/>
        <v>0</v>
      </c>
      <c r="AH161" s="1125">
        <f t="shared" si="98"/>
        <v>0</v>
      </c>
      <c r="AI161" s="1126">
        <f t="shared" si="99"/>
        <v>0</v>
      </c>
      <c r="AJ161" s="1124">
        <f t="shared" si="100"/>
        <v>0</v>
      </c>
      <c r="AK161" s="1124">
        <f t="shared" si="101"/>
        <v>0</v>
      </c>
      <c r="AL161" s="1127">
        <f t="shared" si="102"/>
        <v>0</v>
      </c>
      <c r="AM161" s="1128">
        <f t="shared" si="103"/>
        <v>0</v>
      </c>
      <c r="AN161" s="2298">
        <f t="shared" si="104"/>
        <v>0</v>
      </c>
      <c r="AO161" s="2299"/>
      <c r="AP161" s="1093"/>
      <c r="AQ161" s="1093"/>
      <c r="AR161" s="1093"/>
    </row>
    <row r="162" spans="1:44">
      <c r="A162" s="989"/>
      <c r="B162" s="1057" t="s">
        <v>2058</v>
      </c>
      <c r="C162" s="2295" t="str">
        <f t="shared" si="69"/>
        <v>⑪：午後Ｄ（16：00～20：00）4ｈ</v>
      </c>
      <c r="D162" s="2296"/>
      <c r="E162" s="2297"/>
      <c r="F162" s="1122" t="str">
        <f t="shared" si="70"/>
        <v>⑪</v>
      </c>
      <c r="G162" s="1123">
        <f t="shared" si="71"/>
        <v>0</v>
      </c>
      <c r="H162" s="1124">
        <f t="shared" si="72"/>
        <v>0</v>
      </c>
      <c r="I162" s="1124">
        <f t="shared" si="73"/>
        <v>0</v>
      </c>
      <c r="J162" s="1124">
        <f t="shared" si="74"/>
        <v>0</v>
      </c>
      <c r="K162" s="1124">
        <f t="shared" si="75"/>
        <v>0</v>
      </c>
      <c r="L162" s="1124">
        <f t="shared" si="76"/>
        <v>0</v>
      </c>
      <c r="M162" s="1125">
        <f t="shared" si="77"/>
        <v>0</v>
      </c>
      <c r="N162" s="1123">
        <f t="shared" si="78"/>
        <v>0</v>
      </c>
      <c r="O162" s="1124">
        <f t="shared" si="79"/>
        <v>0</v>
      </c>
      <c r="P162" s="1124">
        <f t="shared" si="80"/>
        <v>0</v>
      </c>
      <c r="Q162" s="1124">
        <f t="shared" si="81"/>
        <v>0</v>
      </c>
      <c r="R162" s="1124">
        <f t="shared" si="82"/>
        <v>0</v>
      </c>
      <c r="S162" s="1124">
        <f t="shared" si="83"/>
        <v>0</v>
      </c>
      <c r="T162" s="1125">
        <f t="shared" si="84"/>
        <v>0</v>
      </c>
      <c r="U162" s="1123">
        <f t="shared" si="85"/>
        <v>0</v>
      </c>
      <c r="V162" s="1124">
        <f t="shared" si="86"/>
        <v>0</v>
      </c>
      <c r="W162" s="1124">
        <f t="shared" si="87"/>
        <v>0</v>
      </c>
      <c r="X162" s="1124">
        <f t="shared" si="88"/>
        <v>0</v>
      </c>
      <c r="Y162" s="1124">
        <f t="shared" si="89"/>
        <v>0</v>
      </c>
      <c r="Z162" s="1124">
        <f t="shared" si="90"/>
        <v>0</v>
      </c>
      <c r="AA162" s="1125">
        <f t="shared" si="91"/>
        <v>0</v>
      </c>
      <c r="AB162" s="1123">
        <f t="shared" si="92"/>
        <v>0</v>
      </c>
      <c r="AC162" s="1124">
        <f t="shared" si="93"/>
        <v>0</v>
      </c>
      <c r="AD162" s="1124">
        <f t="shared" si="94"/>
        <v>0</v>
      </c>
      <c r="AE162" s="1124">
        <f t="shared" si="95"/>
        <v>0</v>
      </c>
      <c r="AF162" s="1124">
        <f t="shared" si="96"/>
        <v>0</v>
      </c>
      <c r="AG162" s="1124">
        <f t="shared" si="97"/>
        <v>0</v>
      </c>
      <c r="AH162" s="1125">
        <f t="shared" si="98"/>
        <v>0</v>
      </c>
      <c r="AI162" s="1126">
        <f t="shared" si="99"/>
        <v>0</v>
      </c>
      <c r="AJ162" s="1124">
        <f t="shared" si="100"/>
        <v>0</v>
      </c>
      <c r="AK162" s="1124">
        <f t="shared" si="101"/>
        <v>0</v>
      </c>
      <c r="AL162" s="1127">
        <f t="shared" si="102"/>
        <v>0</v>
      </c>
      <c r="AM162" s="1128">
        <f t="shared" si="103"/>
        <v>3.5</v>
      </c>
      <c r="AN162" s="2298">
        <f t="shared" si="104"/>
        <v>0</v>
      </c>
      <c r="AO162" s="2299"/>
      <c r="AP162" s="1093"/>
      <c r="AQ162" s="1093"/>
      <c r="AR162" s="1093"/>
    </row>
    <row r="163" spans="1:44">
      <c r="A163" s="989"/>
      <c r="B163" s="1057" t="s">
        <v>2059</v>
      </c>
      <c r="C163" s="2295" t="str">
        <f t="shared" si="69"/>
        <v>⑱：日勤Ｃ（8：40～17：00）7.5ｈ</v>
      </c>
      <c r="D163" s="2296"/>
      <c r="E163" s="2297"/>
      <c r="F163" s="1122" t="str">
        <f t="shared" si="70"/>
        <v>⑱</v>
      </c>
      <c r="G163" s="1123">
        <f t="shared" si="71"/>
        <v>0</v>
      </c>
      <c r="H163" s="1124">
        <f t="shared" si="72"/>
        <v>0</v>
      </c>
      <c r="I163" s="1124">
        <f t="shared" si="73"/>
        <v>0</v>
      </c>
      <c r="J163" s="1124">
        <f t="shared" si="74"/>
        <v>0</v>
      </c>
      <c r="K163" s="1124">
        <f t="shared" si="75"/>
        <v>0</v>
      </c>
      <c r="L163" s="1124">
        <f t="shared" si="76"/>
        <v>0</v>
      </c>
      <c r="M163" s="1125">
        <f t="shared" si="77"/>
        <v>0</v>
      </c>
      <c r="N163" s="1123">
        <f t="shared" si="78"/>
        <v>0</v>
      </c>
      <c r="O163" s="1124">
        <f t="shared" si="79"/>
        <v>0</v>
      </c>
      <c r="P163" s="1124">
        <f t="shared" si="80"/>
        <v>0</v>
      </c>
      <c r="Q163" s="1124">
        <f t="shared" si="81"/>
        <v>0</v>
      </c>
      <c r="R163" s="1124">
        <f t="shared" si="82"/>
        <v>0</v>
      </c>
      <c r="S163" s="1124">
        <f t="shared" si="83"/>
        <v>0</v>
      </c>
      <c r="T163" s="1125">
        <f t="shared" si="84"/>
        <v>0</v>
      </c>
      <c r="U163" s="1123">
        <f t="shared" si="85"/>
        <v>0</v>
      </c>
      <c r="V163" s="1124">
        <f t="shared" si="86"/>
        <v>0</v>
      </c>
      <c r="W163" s="1124">
        <f t="shared" si="87"/>
        <v>0</v>
      </c>
      <c r="X163" s="1124">
        <f t="shared" si="88"/>
        <v>0</v>
      </c>
      <c r="Y163" s="1124">
        <f t="shared" si="89"/>
        <v>0</v>
      </c>
      <c r="Z163" s="1124">
        <f t="shared" si="90"/>
        <v>0</v>
      </c>
      <c r="AA163" s="1125">
        <f t="shared" si="91"/>
        <v>0</v>
      </c>
      <c r="AB163" s="1123">
        <f t="shared" si="92"/>
        <v>0</v>
      </c>
      <c r="AC163" s="1124">
        <f t="shared" si="93"/>
        <v>0</v>
      </c>
      <c r="AD163" s="1124">
        <f t="shared" si="94"/>
        <v>0</v>
      </c>
      <c r="AE163" s="1124">
        <f t="shared" si="95"/>
        <v>0</v>
      </c>
      <c r="AF163" s="1124">
        <f t="shared" si="96"/>
        <v>0</v>
      </c>
      <c r="AG163" s="1124">
        <f t="shared" si="97"/>
        <v>0</v>
      </c>
      <c r="AH163" s="1125">
        <f t="shared" si="98"/>
        <v>0</v>
      </c>
      <c r="AI163" s="1126">
        <f t="shared" si="99"/>
        <v>0</v>
      </c>
      <c r="AJ163" s="1124">
        <f t="shared" si="100"/>
        <v>0</v>
      </c>
      <c r="AK163" s="1124">
        <f t="shared" si="101"/>
        <v>0</v>
      </c>
      <c r="AL163" s="1127">
        <f t="shared" si="102"/>
        <v>0</v>
      </c>
      <c r="AM163" s="1128">
        <f t="shared" si="103"/>
        <v>1.08</v>
      </c>
      <c r="AN163" s="2298">
        <f t="shared" si="104"/>
        <v>0</v>
      </c>
      <c r="AO163" s="2299"/>
      <c r="AP163" s="1093"/>
      <c r="AQ163" s="1093"/>
      <c r="AR163" s="1093"/>
    </row>
    <row r="164" spans="1:44">
      <c r="A164" s="989"/>
      <c r="B164" s="1057" t="s">
        <v>2060</v>
      </c>
      <c r="C164" s="2295" t="str">
        <f t="shared" si="69"/>
        <v>⑲：午前Ｃ（9：00～13：00）4ｈ</v>
      </c>
      <c r="D164" s="2296"/>
      <c r="E164" s="2297"/>
      <c r="F164" s="1122" t="str">
        <f t="shared" si="70"/>
        <v>⑲</v>
      </c>
      <c r="G164" s="1123">
        <f t="shared" si="71"/>
        <v>0</v>
      </c>
      <c r="H164" s="1124">
        <f t="shared" si="72"/>
        <v>0</v>
      </c>
      <c r="I164" s="1124">
        <f t="shared" si="73"/>
        <v>0</v>
      </c>
      <c r="J164" s="1124">
        <f t="shared" si="74"/>
        <v>0</v>
      </c>
      <c r="K164" s="1124">
        <f t="shared" si="75"/>
        <v>0</v>
      </c>
      <c r="L164" s="1124">
        <f t="shared" si="76"/>
        <v>0</v>
      </c>
      <c r="M164" s="1125">
        <f t="shared" si="77"/>
        <v>0</v>
      </c>
      <c r="N164" s="1123">
        <f t="shared" si="78"/>
        <v>0</v>
      </c>
      <c r="O164" s="1124">
        <f t="shared" si="79"/>
        <v>0</v>
      </c>
      <c r="P164" s="1124">
        <f t="shared" si="80"/>
        <v>0</v>
      </c>
      <c r="Q164" s="1124">
        <f t="shared" si="81"/>
        <v>0</v>
      </c>
      <c r="R164" s="1124">
        <f t="shared" si="82"/>
        <v>0</v>
      </c>
      <c r="S164" s="1124">
        <f t="shared" si="83"/>
        <v>0</v>
      </c>
      <c r="T164" s="1125">
        <f t="shared" si="84"/>
        <v>0</v>
      </c>
      <c r="U164" s="1123">
        <f t="shared" si="85"/>
        <v>0</v>
      </c>
      <c r="V164" s="1124">
        <f t="shared" si="86"/>
        <v>0</v>
      </c>
      <c r="W164" s="1124">
        <f t="shared" si="87"/>
        <v>0</v>
      </c>
      <c r="X164" s="1124">
        <f t="shared" si="88"/>
        <v>0</v>
      </c>
      <c r="Y164" s="1124">
        <f t="shared" si="89"/>
        <v>0</v>
      </c>
      <c r="Z164" s="1124">
        <f t="shared" si="90"/>
        <v>0</v>
      </c>
      <c r="AA164" s="1125">
        <f t="shared" si="91"/>
        <v>0</v>
      </c>
      <c r="AB164" s="1123">
        <f t="shared" si="92"/>
        <v>0</v>
      </c>
      <c r="AC164" s="1124">
        <f t="shared" si="93"/>
        <v>0</v>
      </c>
      <c r="AD164" s="1124">
        <f t="shared" si="94"/>
        <v>0</v>
      </c>
      <c r="AE164" s="1124">
        <f t="shared" si="95"/>
        <v>0</v>
      </c>
      <c r="AF164" s="1124">
        <f t="shared" si="96"/>
        <v>0</v>
      </c>
      <c r="AG164" s="1124">
        <f t="shared" si="97"/>
        <v>0</v>
      </c>
      <c r="AH164" s="1125">
        <f t="shared" si="98"/>
        <v>0</v>
      </c>
      <c r="AI164" s="1126">
        <f t="shared" si="99"/>
        <v>0</v>
      </c>
      <c r="AJ164" s="1124">
        <f t="shared" si="100"/>
        <v>0</v>
      </c>
      <c r="AK164" s="1124">
        <f t="shared" si="101"/>
        <v>0</v>
      </c>
      <c r="AL164" s="1127">
        <f t="shared" si="102"/>
        <v>0</v>
      </c>
      <c r="AM164" s="1128">
        <f t="shared" si="103"/>
        <v>0.25</v>
      </c>
      <c r="AN164" s="2298">
        <f t="shared" si="104"/>
        <v>0</v>
      </c>
      <c r="AO164" s="2299"/>
      <c r="AP164" s="1093"/>
      <c r="AQ164" s="1093"/>
      <c r="AR164" s="1093"/>
    </row>
    <row r="165" spans="1:44">
      <c r="A165" s="989"/>
      <c r="B165" s="1057" t="s">
        <v>2061</v>
      </c>
      <c r="C165" s="2295" t="str">
        <f t="shared" si="69"/>
        <v>⑳：午前Ｄ（7：10～11：10）4ｈ</v>
      </c>
      <c r="D165" s="2296"/>
      <c r="E165" s="2297"/>
      <c r="F165" s="1122" t="str">
        <f t="shared" si="70"/>
        <v>⑳</v>
      </c>
      <c r="G165" s="1123">
        <f t="shared" si="71"/>
        <v>0</v>
      </c>
      <c r="H165" s="1124">
        <f t="shared" si="72"/>
        <v>0</v>
      </c>
      <c r="I165" s="1124">
        <f t="shared" si="73"/>
        <v>0</v>
      </c>
      <c r="J165" s="1124">
        <f t="shared" si="74"/>
        <v>0</v>
      </c>
      <c r="K165" s="1124">
        <f t="shared" si="75"/>
        <v>0</v>
      </c>
      <c r="L165" s="1124">
        <f t="shared" si="76"/>
        <v>0</v>
      </c>
      <c r="M165" s="1125">
        <f t="shared" si="77"/>
        <v>0</v>
      </c>
      <c r="N165" s="1123">
        <f t="shared" si="78"/>
        <v>0</v>
      </c>
      <c r="O165" s="1124">
        <f t="shared" si="79"/>
        <v>0</v>
      </c>
      <c r="P165" s="1124">
        <f t="shared" si="80"/>
        <v>0</v>
      </c>
      <c r="Q165" s="1124">
        <f t="shared" si="81"/>
        <v>0</v>
      </c>
      <c r="R165" s="1124">
        <f t="shared" si="82"/>
        <v>0</v>
      </c>
      <c r="S165" s="1124">
        <f t="shared" si="83"/>
        <v>0</v>
      </c>
      <c r="T165" s="1125">
        <f t="shared" si="84"/>
        <v>0</v>
      </c>
      <c r="U165" s="1123">
        <f t="shared" si="85"/>
        <v>0</v>
      </c>
      <c r="V165" s="1124">
        <f t="shared" si="86"/>
        <v>0</v>
      </c>
      <c r="W165" s="1124">
        <f t="shared" si="87"/>
        <v>0</v>
      </c>
      <c r="X165" s="1124">
        <f t="shared" si="88"/>
        <v>0</v>
      </c>
      <c r="Y165" s="1124">
        <f t="shared" si="89"/>
        <v>0</v>
      </c>
      <c r="Z165" s="1124">
        <f t="shared" si="90"/>
        <v>0</v>
      </c>
      <c r="AA165" s="1125">
        <f t="shared" si="91"/>
        <v>0</v>
      </c>
      <c r="AB165" s="1123">
        <f t="shared" si="92"/>
        <v>0</v>
      </c>
      <c r="AC165" s="1124">
        <f t="shared" si="93"/>
        <v>0</v>
      </c>
      <c r="AD165" s="1124">
        <f t="shared" si="94"/>
        <v>0</v>
      </c>
      <c r="AE165" s="1124">
        <f t="shared" si="95"/>
        <v>0</v>
      </c>
      <c r="AF165" s="1124">
        <f t="shared" si="96"/>
        <v>0</v>
      </c>
      <c r="AG165" s="1124">
        <f t="shared" si="97"/>
        <v>0</v>
      </c>
      <c r="AH165" s="1125">
        <f t="shared" si="98"/>
        <v>0</v>
      </c>
      <c r="AI165" s="1126">
        <f t="shared" si="99"/>
        <v>0</v>
      </c>
      <c r="AJ165" s="1124">
        <f t="shared" si="100"/>
        <v>0</v>
      </c>
      <c r="AK165" s="1124">
        <f t="shared" si="101"/>
        <v>0</v>
      </c>
      <c r="AL165" s="1127">
        <f t="shared" si="102"/>
        <v>0</v>
      </c>
      <c r="AM165" s="1128">
        <f t="shared" si="103"/>
        <v>2.08</v>
      </c>
      <c r="AN165" s="2298">
        <f t="shared" si="104"/>
        <v>0</v>
      </c>
      <c r="AO165" s="2299"/>
      <c r="AP165" s="1093"/>
      <c r="AQ165" s="1093"/>
      <c r="AR165" s="1093"/>
    </row>
    <row r="166" spans="1:44">
      <c r="A166" s="989"/>
      <c r="B166" s="1057" t="s">
        <v>2062</v>
      </c>
      <c r="C166" s="2295" t="str">
        <f t="shared" si="69"/>
        <v>公：公休（～）ｈ</v>
      </c>
      <c r="D166" s="2296"/>
      <c r="E166" s="2297"/>
      <c r="F166" s="1122" t="str">
        <f t="shared" si="70"/>
        <v>公</v>
      </c>
      <c r="G166" s="1123">
        <f t="shared" si="71"/>
        <v>0</v>
      </c>
      <c r="H166" s="1124">
        <f t="shared" si="72"/>
        <v>0</v>
      </c>
      <c r="I166" s="1124">
        <f t="shared" si="73"/>
        <v>0</v>
      </c>
      <c r="J166" s="1124">
        <f t="shared" si="74"/>
        <v>0</v>
      </c>
      <c r="K166" s="1124">
        <f t="shared" si="75"/>
        <v>0</v>
      </c>
      <c r="L166" s="1124">
        <f t="shared" si="76"/>
        <v>0</v>
      </c>
      <c r="M166" s="1125">
        <f t="shared" si="77"/>
        <v>0</v>
      </c>
      <c r="N166" s="1123">
        <f t="shared" si="78"/>
        <v>0</v>
      </c>
      <c r="O166" s="1124">
        <f t="shared" si="79"/>
        <v>0</v>
      </c>
      <c r="P166" s="1124">
        <f t="shared" si="80"/>
        <v>0</v>
      </c>
      <c r="Q166" s="1124">
        <f t="shared" si="81"/>
        <v>0</v>
      </c>
      <c r="R166" s="1124">
        <f t="shared" si="82"/>
        <v>0</v>
      </c>
      <c r="S166" s="1124">
        <f t="shared" si="83"/>
        <v>0</v>
      </c>
      <c r="T166" s="1125">
        <f t="shared" si="84"/>
        <v>0</v>
      </c>
      <c r="U166" s="1123">
        <f t="shared" si="85"/>
        <v>0</v>
      </c>
      <c r="V166" s="1124">
        <f t="shared" si="86"/>
        <v>0</v>
      </c>
      <c r="W166" s="1124">
        <f t="shared" si="87"/>
        <v>0</v>
      </c>
      <c r="X166" s="1124">
        <f t="shared" si="88"/>
        <v>0</v>
      </c>
      <c r="Y166" s="1124">
        <f t="shared" si="89"/>
        <v>0</v>
      </c>
      <c r="Z166" s="1124">
        <f t="shared" si="90"/>
        <v>0</v>
      </c>
      <c r="AA166" s="1125">
        <f t="shared" si="91"/>
        <v>0</v>
      </c>
      <c r="AB166" s="1123">
        <f t="shared" si="92"/>
        <v>0</v>
      </c>
      <c r="AC166" s="1124">
        <f t="shared" si="93"/>
        <v>0</v>
      </c>
      <c r="AD166" s="1124">
        <f t="shared" si="94"/>
        <v>0</v>
      </c>
      <c r="AE166" s="1124">
        <f t="shared" si="95"/>
        <v>0</v>
      </c>
      <c r="AF166" s="1124">
        <f t="shared" si="96"/>
        <v>0</v>
      </c>
      <c r="AG166" s="1124">
        <f t="shared" si="97"/>
        <v>0</v>
      </c>
      <c r="AH166" s="1125">
        <f t="shared" si="98"/>
        <v>0</v>
      </c>
      <c r="AI166" s="1126">
        <f t="shared" si="99"/>
        <v>0</v>
      </c>
      <c r="AJ166" s="1124">
        <f t="shared" si="100"/>
        <v>0</v>
      </c>
      <c r="AK166" s="1124">
        <f t="shared" si="101"/>
        <v>0</v>
      </c>
      <c r="AL166" s="1127">
        <f t="shared" si="102"/>
        <v>0</v>
      </c>
      <c r="AM166" s="1128">
        <f t="shared" si="103"/>
        <v>0</v>
      </c>
      <c r="AN166" s="2298">
        <f t="shared" si="104"/>
        <v>0</v>
      </c>
      <c r="AO166" s="2299"/>
      <c r="AP166" s="1093"/>
      <c r="AQ166" s="1093"/>
      <c r="AR166" s="1093"/>
    </row>
    <row r="167" spans="1:44">
      <c r="A167" s="989"/>
      <c r="B167" s="1057" t="s">
        <v>2063</v>
      </c>
      <c r="C167" s="2295" t="str">
        <f t="shared" si="69"/>
        <v>有：有休（～）ｈ</v>
      </c>
      <c r="D167" s="2296"/>
      <c r="E167" s="2297"/>
      <c r="F167" s="1122" t="str">
        <f t="shared" si="70"/>
        <v>有</v>
      </c>
      <c r="G167" s="1123">
        <f t="shared" si="71"/>
        <v>0</v>
      </c>
      <c r="H167" s="1124">
        <f t="shared" si="72"/>
        <v>0</v>
      </c>
      <c r="I167" s="1124">
        <f t="shared" si="73"/>
        <v>0</v>
      </c>
      <c r="J167" s="1124">
        <f t="shared" si="74"/>
        <v>0</v>
      </c>
      <c r="K167" s="1124">
        <f t="shared" si="75"/>
        <v>0</v>
      </c>
      <c r="L167" s="1124">
        <f t="shared" si="76"/>
        <v>0</v>
      </c>
      <c r="M167" s="1125">
        <f t="shared" si="77"/>
        <v>0</v>
      </c>
      <c r="N167" s="1123">
        <f t="shared" si="78"/>
        <v>0</v>
      </c>
      <c r="O167" s="1124">
        <f t="shared" si="79"/>
        <v>0</v>
      </c>
      <c r="P167" s="1124">
        <f t="shared" si="80"/>
        <v>0</v>
      </c>
      <c r="Q167" s="1124">
        <f t="shared" si="81"/>
        <v>0</v>
      </c>
      <c r="R167" s="1124">
        <f t="shared" si="82"/>
        <v>0</v>
      </c>
      <c r="S167" s="1124">
        <f t="shared" si="83"/>
        <v>0</v>
      </c>
      <c r="T167" s="1125">
        <f t="shared" si="84"/>
        <v>0</v>
      </c>
      <c r="U167" s="1123">
        <f t="shared" si="85"/>
        <v>0</v>
      </c>
      <c r="V167" s="1124">
        <f t="shared" si="86"/>
        <v>0</v>
      </c>
      <c r="W167" s="1124">
        <f t="shared" si="87"/>
        <v>0</v>
      </c>
      <c r="X167" s="1124">
        <f t="shared" si="88"/>
        <v>0</v>
      </c>
      <c r="Y167" s="1124">
        <f t="shared" si="89"/>
        <v>0</v>
      </c>
      <c r="Z167" s="1124">
        <f t="shared" si="90"/>
        <v>0</v>
      </c>
      <c r="AA167" s="1125">
        <f t="shared" si="91"/>
        <v>0</v>
      </c>
      <c r="AB167" s="1123">
        <f t="shared" si="92"/>
        <v>0</v>
      </c>
      <c r="AC167" s="1124">
        <f t="shared" si="93"/>
        <v>0</v>
      </c>
      <c r="AD167" s="1124">
        <f t="shared" si="94"/>
        <v>0</v>
      </c>
      <c r="AE167" s="1124">
        <f t="shared" si="95"/>
        <v>0</v>
      </c>
      <c r="AF167" s="1124">
        <f t="shared" si="96"/>
        <v>0</v>
      </c>
      <c r="AG167" s="1124">
        <f t="shared" si="97"/>
        <v>0</v>
      </c>
      <c r="AH167" s="1125">
        <f t="shared" si="98"/>
        <v>0</v>
      </c>
      <c r="AI167" s="1126">
        <f t="shared" si="99"/>
        <v>0</v>
      </c>
      <c r="AJ167" s="1124">
        <f t="shared" si="100"/>
        <v>0</v>
      </c>
      <c r="AK167" s="1124">
        <f t="shared" si="101"/>
        <v>0</v>
      </c>
      <c r="AL167" s="1127">
        <f t="shared" si="102"/>
        <v>0</v>
      </c>
      <c r="AM167" s="1128">
        <f t="shared" si="103"/>
        <v>0</v>
      </c>
      <c r="AN167" s="2298">
        <f t="shared" si="104"/>
        <v>0</v>
      </c>
      <c r="AO167" s="2299"/>
      <c r="AP167" s="1093"/>
      <c r="AQ167" s="1093"/>
      <c r="AR167" s="1093"/>
    </row>
    <row r="168" spans="1:44">
      <c r="A168" s="989"/>
      <c r="B168" s="1057" t="s">
        <v>2064</v>
      </c>
      <c r="C168" s="2295" t="str">
        <f t="shared" si="69"/>
        <v>欠：欠勤（～）ｈ</v>
      </c>
      <c r="D168" s="2296"/>
      <c r="E168" s="2297"/>
      <c r="F168" s="1122" t="str">
        <f t="shared" si="70"/>
        <v>欠</v>
      </c>
      <c r="G168" s="1123">
        <f t="shared" si="71"/>
        <v>0</v>
      </c>
      <c r="H168" s="1124">
        <f t="shared" si="72"/>
        <v>0</v>
      </c>
      <c r="I168" s="1124">
        <f t="shared" si="73"/>
        <v>0</v>
      </c>
      <c r="J168" s="1124">
        <f t="shared" si="74"/>
        <v>0</v>
      </c>
      <c r="K168" s="1124">
        <f t="shared" si="75"/>
        <v>0</v>
      </c>
      <c r="L168" s="1124">
        <f t="shared" si="76"/>
        <v>0</v>
      </c>
      <c r="M168" s="1125">
        <f t="shared" si="77"/>
        <v>0</v>
      </c>
      <c r="N168" s="1123">
        <f t="shared" si="78"/>
        <v>0</v>
      </c>
      <c r="O168" s="1124">
        <f t="shared" si="79"/>
        <v>0</v>
      </c>
      <c r="P168" s="1124">
        <f t="shared" si="80"/>
        <v>0</v>
      </c>
      <c r="Q168" s="1124">
        <f t="shared" si="81"/>
        <v>0</v>
      </c>
      <c r="R168" s="1124">
        <f t="shared" si="82"/>
        <v>0</v>
      </c>
      <c r="S168" s="1124">
        <f t="shared" si="83"/>
        <v>0</v>
      </c>
      <c r="T168" s="1125">
        <f t="shared" si="84"/>
        <v>0</v>
      </c>
      <c r="U168" s="1123">
        <f t="shared" si="85"/>
        <v>0</v>
      </c>
      <c r="V168" s="1124">
        <f t="shared" si="86"/>
        <v>0</v>
      </c>
      <c r="W168" s="1124">
        <f t="shared" si="87"/>
        <v>0</v>
      </c>
      <c r="X168" s="1124">
        <f t="shared" si="88"/>
        <v>0</v>
      </c>
      <c r="Y168" s="1124">
        <f t="shared" si="89"/>
        <v>0</v>
      </c>
      <c r="Z168" s="1124">
        <f t="shared" si="90"/>
        <v>0</v>
      </c>
      <c r="AA168" s="1125">
        <f t="shared" si="91"/>
        <v>0</v>
      </c>
      <c r="AB168" s="1123">
        <f t="shared" si="92"/>
        <v>0</v>
      </c>
      <c r="AC168" s="1124">
        <f t="shared" si="93"/>
        <v>0</v>
      </c>
      <c r="AD168" s="1124">
        <f t="shared" si="94"/>
        <v>0</v>
      </c>
      <c r="AE168" s="1124">
        <f t="shared" si="95"/>
        <v>0</v>
      </c>
      <c r="AF168" s="1124">
        <f t="shared" si="96"/>
        <v>0</v>
      </c>
      <c r="AG168" s="1124">
        <f t="shared" si="97"/>
        <v>0</v>
      </c>
      <c r="AH168" s="1125">
        <f t="shared" si="98"/>
        <v>0</v>
      </c>
      <c r="AI168" s="1126">
        <f t="shared" si="99"/>
        <v>0</v>
      </c>
      <c r="AJ168" s="1124">
        <f t="shared" si="100"/>
        <v>0</v>
      </c>
      <c r="AK168" s="1124">
        <f t="shared" si="101"/>
        <v>0</v>
      </c>
      <c r="AL168" s="1127">
        <f t="shared" si="102"/>
        <v>0</v>
      </c>
      <c r="AM168" s="1128">
        <f t="shared" si="103"/>
        <v>0</v>
      </c>
      <c r="AN168" s="2298">
        <f t="shared" si="104"/>
        <v>0</v>
      </c>
      <c r="AO168" s="2299"/>
      <c r="AP168" s="1093"/>
      <c r="AQ168" s="1093"/>
      <c r="AR168" s="1093"/>
    </row>
    <row r="169" spans="1:44">
      <c r="A169" s="989"/>
      <c r="B169" s="1057" t="s">
        <v>2065</v>
      </c>
      <c r="C169" s="2295" t="str">
        <f t="shared" si="69"/>
        <v>特：特休（～）ｈ</v>
      </c>
      <c r="D169" s="2296"/>
      <c r="E169" s="2297"/>
      <c r="F169" s="1122" t="str">
        <f t="shared" si="70"/>
        <v>特</v>
      </c>
      <c r="G169" s="1123">
        <f t="shared" si="71"/>
        <v>0</v>
      </c>
      <c r="H169" s="1124">
        <f t="shared" si="72"/>
        <v>0</v>
      </c>
      <c r="I169" s="1124">
        <f t="shared" si="73"/>
        <v>0</v>
      </c>
      <c r="J169" s="1124">
        <f t="shared" si="74"/>
        <v>0</v>
      </c>
      <c r="K169" s="1124">
        <f t="shared" si="75"/>
        <v>0</v>
      </c>
      <c r="L169" s="1124">
        <f t="shared" si="76"/>
        <v>0</v>
      </c>
      <c r="M169" s="1125">
        <f t="shared" si="77"/>
        <v>0</v>
      </c>
      <c r="N169" s="1123">
        <f t="shared" si="78"/>
        <v>0</v>
      </c>
      <c r="O169" s="1124">
        <f t="shared" si="79"/>
        <v>0</v>
      </c>
      <c r="P169" s="1124">
        <f t="shared" si="80"/>
        <v>0</v>
      </c>
      <c r="Q169" s="1124">
        <f t="shared" si="81"/>
        <v>0</v>
      </c>
      <c r="R169" s="1124">
        <f t="shared" si="82"/>
        <v>0</v>
      </c>
      <c r="S169" s="1124">
        <f t="shared" si="83"/>
        <v>0</v>
      </c>
      <c r="T169" s="1125">
        <f t="shared" si="84"/>
        <v>0</v>
      </c>
      <c r="U169" s="1123">
        <f t="shared" si="85"/>
        <v>0</v>
      </c>
      <c r="V169" s="1124">
        <f t="shared" si="86"/>
        <v>0</v>
      </c>
      <c r="W169" s="1124">
        <f t="shared" si="87"/>
        <v>0</v>
      </c>
      <c r="X169" s="1124">
        <f t="shared" si="88"/>
        <v>0</v>
      </c>
      <c r="Y169" s="1124">
        <f t="shared" si="89"/>
        <v>0</v>
      </c>
      <c r="Z169" s="1124">
        <f t="shared" si="90"/>
        <v>0</v>
      </c>
      <c r="AA169" s="1125">
        <f t="shared" si="91"/>
        <v>0</v>
      </c>
      <c r="AB169" s="1123">
        <f t="shared" si="92"/>
        <v>0</v>
      </c>
      <c r="AC169" s="1124">
        <f t="shared" si="93"/>
        <v>0</v>
      </c>
      <c r="AD169" s="1124">
        <f t="shared" si="94"/>
        <v>0</v>
      </c>
      <c r="AE169" s="1124">
        <f t="shared" si="95"/>
        <v>0</v>
      </c>
      <c r="AF169" s="1124">
        <f t="shared" si="96"/>
        <v>0</v>
      </c>
      <c r="AG169" s="1124">
        <f t="shared" si="97"/>
        <v>0</v>
      </c>
      <c r="AH169" s="1125">
        <f t="shared" si="98"/>
        <v>0</v>
      </c>
      <c r="AI169" s="1126">
        <f t="shared" si="99"/>
        <v>0</v>
      </c>
      <c r="AJ169" s="1124">
        <f t="shared" si="100"/>
        <v>0</v>
      </c>
      <c r="AK169" s="1124">
        <f t="shared" si="101"/>
        <v>0</v>
      </c>
      <c r="AL169" s="1127">
        <f t="shared" si="102"/>
        <v>0</v>
      </c>
      <c r="AM169" s="1128">
        <f t="shared" si="103"/>
        <v>0</v>
      </c>
      <c r="AN169" s="2298">
        <f t="shared" si="104"/>
        <v>0</v>
      </c>
      <c r="AO169" s="2299"/>
      <c r="AP169" s="1093"/>
      <c r="AQ169" s="1093"/>
      <c r="AR169" s="1093"/>
    </row>
    <row r="170" spans="1:44">
      <c r="A170" s="989"/>
      <c r="B170" s="1057" t="s">
        <v>2066</v>
      </c>
      <c r="C170" s="2295" t="str">
        <f t="shared" si="69"/>
        <v>-：（～）ｈ</v>
      </c>
      <c r="D170" s="2296"/>
      <c r="E170" s="2297"/>
      <c r="F170" s="1122" t="str">
        <f t="shared" si="70"/>
        <v>-</v>
      </c>
      <c r="G170" s="1123">
        <f t="shared" si="71"/>
        <v>0</v>
      </c>
      <c r="H170" s="1124">
        <f t="shared" si="72"/>
        <v>0</v>
      </c>
      <c r="I170" s="1124">
        <f t="shared" si="73"/>
        <v>0</v>
      </c>
      <c r="J170" s="1124">
        <f t="shared" si="74"/>
        <v>0</v>
      </c>
      <c r="K170" s="1124">
        <f t="shared" si="75"/>
        <v>0</v>
      </c>
      <c r="L170" s="1124">
        <f t="shared" si="76"/>
        <v>0</v>
      </c>
      <c r="M170" s="1125">
        <f t="shared" si="77"/>
        <v>0</v>
      </c>
      <c r="N170" s="1123">
        <f t="shared" si="78"/>
        <v>0</v>
      </c>
      <c r="O170" s="1124">
        <f t="shared" si="79"/>
        <v>0</v>
      </c>
      <c r="P170" s="1124">
        <f t="shared" si="80"/>
        <v>0</v>
      </c>
      <c r="Q170" s="1124">
        <f t="shared" si="81"/>
        <v>0</v>
      </c>
      <c r="R170" s="1124">
        <f t="shared" si="82"/>
        <v>0</v>
      </c>
      <c r="S170" s="1124">
        <f t="shared" si="83"/>
        <v>0</v>
      </c>
      <c r="T170" s="1125">
        <f t="shared" si="84"/>
        <v>0</v>
      </c>
      <c r="U170" s="1123">
        <f t="shared" si="85"/>
        <v>0</v>
      </c>
      <c r="V170" s="1124">
        <f t="shared" si="86"/>
        <v>0</v>
      </c>
      <c r="W170" s="1124">
        <f t="shared" si="87"/>
        <v>0</v>
      </c>
      <c r="X170" s="1124">
        <f t="shared" si="88"/>
        <v>0</v>
      </c>
      <c r="Y170" s="1124">
        <f t="shared" si="89"/>
        <v>0</v>
      </c>
      <c r="Z170" s="1124">
        <f t="shared" si="90"/>
        <v>0</v>
      </c>
      <c r="AA170" s="1125">
        <f t="shared" si="91"/>
        <v>0</v>
      </c>
      <c r="AB170" s="1123">
        <f t="shared" si="92"/>
        <v>0</v>
      </c>
      <c r="AC170" s="1124">
        <f t="shared" si="93"/>
        <v>0</v>
      </c>
      <c r="AD170" s="1124">
        <f t="shared" si="94"/>
        <v>0</v>
      </c>
      <c r="AE170" s="1124">
        <f t="shared" si="95"/>
        <v>0</v>
      </c>
      <c r="AF170" s="1124">
        <f t="shared" si="96"/>
        <v>0</v>
      </c>
      <c r="AG170" s="1124">
        <f t="shared" si="97"/>
        <v>0</v>
      </c>
      <c r="AH170" s="1125">
        <f t="shared" si="98"/>
        <v>0</v>
      </c>
      <c r="AI170" s="1126">
        <f t="shared" si="99"/>
        <v>0</v>
      </c>
      <c r="AJ170" s="1124">
        <f t="shared" si="100"/>
        <v>0</v>
      </c>
      <c r="AK170" s="1124">
        <f t="shared" si="101"/>
        <v>0</v>
      </c>
      <c r="AL170" s="1127">
        <f t="shared" si="102"/>
        <v>0</v>
      </c>
      <c r="AM170" s="1128">
        <f t="shared" si="103"/>
        <v>0</v>
      </c>
      <c r="AN170" s="2298">
        <f t="shared" si="104"/>
        <v>0</v>
      </c>
      <c r="AO170" s="2299"/>
      <c r="AP170" s="1093"/>
      <c r="AQ170" s="1093"/>
      <c r="AR170" s="1093"/>
    </row>
    <row r="171" spans="1:44">
      <c r="A171" s="989"/>
      <c r="B171" s="1057" t="s">
        <v>2067</v>
      </c>
      <c r="C171" s="2295" t="str">
        <f t="shared" si="69"/>
        <v>-：（～）ｈ</v>
      </c>
      <c r="D171" s="2296"/>
      <c r="E171" s="2297"/>
      <c r="F171" s="1122" t="str">
        <f t="shared" si="70"/>
        <v>-</v>
      </c>
      <c r="G171" s="1123">
        <f t="shared" si="71"/>
        <v>0</v>
      </c>
      <c r="H171" s="1124">
        <f t="shared" si="72"/>
        <v>0</v>
      </c>
      <c r="I171" s="1124">
        <f t="shared" si="73"/>
        <v>0</v>
      </c>
      <c r="J171" s="1124">
        <f t="shared" si="74"/>
        <v>0</v>
      </c>
      <c r="K171" s="1124">
        <f t="shared" si="75"/>
        <v>0</v>
      </c>
      <c r="L171" s="1124">
        <f t="shared" si="76"/>
        <v>0</v>
      </c>
      <c r="M171" s="1125">
        <f t="shared" si="77"/>
        <v>0</v>
      </c>
      <c r="N171" s="1123">
        <f t="shared" si="78"/>
        <v>0</v>
      </c>
      <c r="O171" s="1124">
        <f t="shared" si="79"/>
        <v>0</v>
      </c>
      <c r="P171" s="1124">
        <f t="shared" si="80"/>
        <v>0</v>
      </c>
      <c r="Q171" s="1124">
        <f t="shared" si="81"/>
        <v>0</v>
      </c>
      <c r="R171" s="1124">
        <f t="shared" si="82"/>
        <v>0</v>
      </c>
      <c r="S171" s="1124">
        <f t="shared" si="83"/>
        <v>0</v>
      </c>
      <c r="T171" s="1125">
        <f t="shared" si="84"/>
        <v>0</v>
      </c>
      <c r="U171" s="1123">
        <f t="shared" si="85"/>
        <v>0</v>
      </c>
      <c r="V171" s="1124">
        <f t="shared" si="86"/>
        <v>0</v>
      </c>
      <c r="W171" s="1124">
        <f t="shared" si="87"/>
        <v>0</v>
      </c>
      <c r="X171" s="1124">
        <f t="shared" si="88"/>
        <v>0</v>
      </c>
      <c r="Y171" s="1124">
        <f t="shared" si="89"/>
        <v>0</v>
      </c>
      <c r="Z171" s="1124">
        <f t="shared" si="90"/>
        <v>0</v>
      </c>
      <c r="AA171" s="1125">
        <f t="shared" si="91"/>
        <v>0</v>
      </c>
      <c r="AB171" s="1123">
        <f t="shared" si="92"/>
        <v>0</v>
      </c>
      <c r="AC171" s="1124">
        <f t="shared" si="93"/>
        <v>0</v>
      </c>
      <c r="AD171" s="1124">
        <f t="shared" si="94"/>
        <v>0</v>
      </c>
      <c r="AE171" s="1124">
        <f t="shared" si="95"/>
        <v>0</v>
      </c>
      <c r="AF171" s="1124">
        <f t="shared" si="96"/>
        <v>0</v>
      </c>
      <c r="AG171" s="1124">
        <f t="shared" si="97"/>
        <v>0</v>
      </c>
      <c r="AH171" s="1125">
        <f t="shared" si="98"/>
        <v>0</v>
      </c>
      <c r="AI171" s="1126">
        <f t="shared" si="99"/>
        <v>0</v>
      </c>
      <c r="AJ171" s="1124">
        <f t="shared" si="100"/>
        <v>0</v>
      </c>
      <c r="AK171" s="1124">
        <f t="shared" si="101"/>
        <v>0</v>
      </c>
      <c r="AL171" s="1127">
        <f t="shared" si="102"/>
        <v>0</v>
      </c>
      <c r="AM171" s="1128">
        <f t="shared" si="103"/>
        <v>0</v>
      </c>
      <c r="AN171" s="2298">
        <f t="shared" si="104"/>
        <v>0</v>
      </c>
      <c r="AO171" s="2299"/>
      <c r="AP171" s="1093"/>
      <c r="AQ171" s="1093"/>
      <c r="AR171" s="1093"/>
    </row>
    <row r="172" spans="1:44">
      <c r="A172" s="989"/>
      <c r="B172" s="1057" t="s">
        <v>2068</v>
      </c>
      <c r="C172" s="2295" t="str">
        <f t="shared" si="69"/>
        <v>-：（～）ｈ</v>
      </c>
      <c r="D172" s="2296"/>
      <c r="E172" s="2297"/>
      <c r="F172" s="1122" t="str">
        <f t="shared" si="70"/>
        <v>-</v>
      </c>
      <c r="G172" s="1123">
        <f t="shared" si="71"/>
        <v>0</v>
      </c>
      <c r="H172" s="1124">
        <f t="shared" si="72"/>
        <v>0</v>
      </c>
      <c r="I172" s="1124">
        <f t="shared" si="73"/>
        <v>0</v>
      </c>
      <c r="J172" s="1124">
        <f t="shared" si="74"/>
        <v>0</v>
      </c>
      <c r="K172" s="1124">
        <f t="shared" si="75"/>
        <v>0</v>
      </c>
      <c r="L172" s="1124">
        <f t="shared" si="76"/>
        <v>0</v>
      </c>
      <c r="M172" s="1125">
        <f t="shared" si="77"/>
        <v>0</v>
      </c>
      <c r="N172" s="1123">
        <f t="shared" si="78"/>
        <v>0</v>
      </c>
      <c r="O172" s="1124">
        <f t="shared" si="79"/>
        <v>0</v>
      </c>
      <c r="P172" s="1124">
        <f t="shared" si="80"/>
        <v>0</v>
      </c>
      <c r="Q172" s="1124">
        <f t="shared" si="81"/>
        <v>0</v>
      </c>
      <c r="R172" s="1124">
        <f t="shared" si="82"/>
        <v>0</v>
      </c>
      <c r="S172" s="1124">
        <f t="shared" si="83"/>
        <v>0</v>
      </c>
      <c r="T172" s="1125">
        <f t="shared" si="84"/>
        <v>0</v>
      </c>
      <c r="U172" s="1123">
        <f t="shared" si="85"/>
        <v>0</v>
      </c>
      <c r="V172" s="1124">
        <f t="shared" si="86"/>
        <v>0</v>
      </c>
      <c r="W172" s="1124">
        <f t="shared" si="87"/>
        <v>0</v>
      </c>
      <c r="X172" s="1124">
        <f t="shared" si="88"/>
        <v>0</v>
      </c>
      <c r="Y172" s="1124">
        <f t="shared" si="89"/>
        <v>0</v>
      </c>
      <c r="Z172" s="1124">
        <f t="shared" si="90"/>
        <v>0</v>
      </c>
      <c r="AA172" s="1125">
        <f t="shared" si="91"/>
        <v>0</v>
      </c>
      <c r="AB172" s="1123">
        <f t="shared" si="92"/>
        <v>0</v>
      </c>
      <c r="AC172" s="1124">
        <f t="shared" si="93"/>
        <v>0</v>
      </c>
      <c r="AD172" s="1124">
        <f t="shared" si="94"/>
        <v>0</v>
      </c>
      <c r="AE172" s="1124">
        <f t="shared" si="95"/>
        <v>0</v>
      </c>
      <c r="AF172" s="1124">
        <f t="shared" si="96"/>
        <v>0</v>
      </c>
      <c r="AG172" s="1124">
        <f t="shared" si="97"/>
        <v>0</v>
      </c>
      <c r="AH172" s="1125">
        <f t="shared" si="98"/>
        <v>0</v>
      </c>
      <c r="AI172" s="1126">
        <f t="shared" si="99"/>
        <v>0</v>
      </c>
      <c r="AJ172" s="1124">
        <f t="shared" si="100"/>
        <v>0</v>
      </c>
      <c r="AK172" s="1124">
        <f t="shared" si="101"/>
        <v>0</v>
      </c>
      <c r="AL172" s="1127">
        <f t="shared" si="102"/>
        <v>0</v>
      </c>
      <c r="AM172" s="1128">
        <f t="shared" si="103"/>
        <v>0</v>
      </c>
      <c r="AN172" s="2298">
        <f t="shared" si="104"/>
        <v>0</v>
      </c>
      <c r="AO172" s="2299"/>
      <c r="AP172" s="1093"/>
      <c r="AQ172" s="1093"/>
      <c r="AR172" s="1093"/>
    </row>
    <row r="173" spans="1:44">
      <c r="A173" s="989"/>
      <c r="B173" s="1057" t="s">
        <v>2069</v>
      </c>
      <c r="C173" s="2295" t="str">
        <f t="shared" si="69"/>
        <v>-：（～）ｈ</v>
      </c>
      <c r="D173" s="2296"/>
      <c r="E173" s="2297"/>
      <c r="F173" s="1122" t="str">
        <f t="shared" si="70"/>
        <v>-</v>
      </c>
      <c r="G173" s="1123">
        <f t="shared" si="71"/>
        <v>0</v>
      </c>
      <c r="H173" s="1124">
        <f t="shared" si="72"/>
        <v>0</v>
      </c>
      <c r="I173" s="1124">
        <f t="shared" si="73"/>
        <v>0</v>
      </c>
      <c r="J173" s="1124">
        <f t="shared" si="74"/>
        <v>0</v>
      </c>
      <c r="K173" s="1124">
        <f t="shared" si="75"/>
        <v>0</v>
      </c>
      <c r="L173" s="1124">
        <f t="shared" si="76"/>
        <v>0</v>
      </c>
      <c r="M173" s="1125">
        <f t="shared" si="77"/>
        <v>0</v>
      </c>
      <c r="N173" s="1123">
        <f t="shared" si="78"/>
        <v>0</v>
      </c>
      <c r="O173" s="1124">
        <f t="shared" si="79"/>
        <v>0</v>
      </c>
      <c r="P173" s="1124">
        <f t="shared" si="80"/>
        <v>0</v>
      </c>
      <c r="Q173" s="1124">
        <f t="shared" si="81"/>
        <v>0</v>
      </c>
      <c r="R173" s="1124">
        <f t="shared" si="82"/>
        <v>0</v>
      </c>
      <c r="S173" s="1124">
        <f t="shared" si="83"/>
        <v>0</v>
      </c>
      <c r="T173" s="1125">
        <f t="shared" si="84"/>
        <v>0</v>
      </c>
      <c r="U173" s="1123">
        <f t="shared" si="85"/>
        <v>0</v>
      </c>
      <c r="V173" s="1124">
        <f t="shared" si="86"/>
        <v>0</v>
      </c>
      <c r="W173" s="1124">
        <f t="shared" si="87"/>
        <v>0</v>
      </c>
      <c r="X173" s="1124">
        <f t="shared" si="88"/>
        <v>0</v>
      </c>
      <c r="Y173" s="1124">
        <f t="shared" si="89"/>
        <v>0</v>
      </c>
      <c r="Z173" s="1124">
        <f t="shared" si="90"/>
        <v>0</v>
      </c>
      <c r="AA173" s="1125">
        <f t="shared" si="91"/>
        <v>0</v>
      </c>
      <c r="AB173" s="1123">
        <f t="shared" si="92"/>
        <v>0</v>
      </c>
      <c r="AC173" s="1124">
        <f t="shared" si="93"/>
        <v>0</v>
      </c>
      <c r="AD173" s="1124">
        <f t="shared" si="94"/>
        <v>0</v>
      </c>
      <c r="AE173" s="1124">
        <f t="shared" si="95"/>
        <v>0</v>
      </c>
      <c r="AF173" s="1124">
        <f t="shared" si="96"/>
        <v>0</v>
      </c>
      <c r="AG173" s="1124">
        <f t="shared" si="97"/>
        <v>0</v>
      </c>
      <c r="AH173" s="1125">
        <f t="shared" si="98"/>
        <v>0</v>
      </c>
      <c r="AI173" s="1126">
        <f t="shared" si="99"/>
        <v>0</v>
      </c>
      <c r="AJ173" s="1124">
        <f t="shared" si="100"/>
        <v>0</v>
      </c>
      <c r="AK173" s="1124">
        <f t="shared" si="101"/>
        <v>0</v>
      </c>
      <c r="AL173" s="1127">
        <f t="shared" si="102"/>
        <v>0</v>
      </c>
      <c r="AM173" s="1128">
        <f t="shared" si="103"/>
        <v>0</v>
      </c>
      <c r="AN173" s="2298">
        <f t="shared" si="104"/>
        <v>0</v>
      </c>
      <c r="AO173" s="2299"/>
      <c r="AP173" s="1093"/>
      <c r="AQ173" s="1093"/>
      <c r="AR173" s="1093"/>
    </row>
    <row r="174" spans="1:44">
      <c r="A174" s="989"/>
      <c r="B174" s="1057" t="s">
        <v>2070</v>
      </c>
      <c r="C174" s="2295" t="str">
        <f t="shared" si="69"/>
        <v>-：（～）ｈ</v>
      </c>
      <c r="D174" s="2296"/>
      <c r="E174" s="2297"/>
      <c r="F174" s="1122" t="str">
        <f t="shared" si="70"/>
        <v>-</v>
      </c>
      <c r="G174" s="1123">
        <f t="shared" si="71"/>
        <v>0</v>
      </c>
      <c r="H174" s="1124">
        <f t="shared" si="72"/>
        <v>0</v>
      </c>
      <c r="I174" s="1124">
        <f t="shared" si="73"/>
        <v>0</v>
      </c>
      <c r="J174" s="1124">
        <f t="shared" si="74"/>
        <v>0</v>
      </c>
      <c r="K174" s="1124">
        <f t="shared" si="75"/>
        <v>0</v>
      </c>
      <c r="L174" s="1124">
        <f t="shared" si="76"/>
        <v>0</v>
      </c>
      <c r="M174" s="1125">
        <f t="shared" si="77"/>
        <v>0</v>
      </c>
      <c r="N174" s="1123">
        <f t="shared" si="78"/>
        <v>0</v>
      </c>
      <c r="O174" s="1124">
        <f t="shared" si="79"/>
        <v>0</v>
      </c>
      <c r="P174" s="1124">
        <f t="shared" si="80"/>
        <v>0</v>
      </c>
      <c r="Q174" s="1124">
        <f t="shared" si="81"/>
        <v>0</v>
      </c>
      <c r="R174" s="1124">
        <f t="shared" si="82"/>
        <v>0</v>
      </c>
      <c r="S174" s="1124">
        <f t="shared" si="83"/>
        <v>0</v>
      </c>
      <c r="T174" s="1125">
        <f t="shared" si="84"/>
        <v>0</v>
      </c>
      <c r="U174" s="1123">
        <f t="shared" si="85"/>
        <v>0</v>
      </c>
      <c r="V174" s="1124">
        <f t="shared" si="86"/>
        <v>0</v>
      </c>
      <c r="W174" s="1124">
        <f t="shared" si="87"/>
        <v>0</v>
      </c>
      <c r="X174" s="1124">
        <f t="shared" si="88"/>
        <v>0</v>
      </c>
      <c r="Y174" s="1124">
        <f t="shared" si="89"/>
        <v>0</v>
      </c>
      <c r="Z174" s="1124">
        <f t="shared" si="90"/>
        <v>0</v>
      </c>
      <c r="AA174" s="1125">
        <f t="shared" si="91"/>
        <v>0</v>
      </c>
      <c r="AB174" s="1123">
        <f t="shared" si="92"/>
        <v>0</v>
      </c>
      <c r="AC174" s="1124">
        <f t="shared" si="93"/>
        <v>0</v>
      </c>
      <c r="AD174" s="1124">
        <f t="shared" si="94"/>
        <v>0</v>
      </c>
      <c r="AE174" s="1124">
        <f t="shared" si="95"/>
        <v>0</v>
      </c>
      <c r="AF174" s="1124">
        <f t="shared" si="96"/>
        <v>0</v>
      </c>
      <c r="AG174" s="1124">
        <f t="shared" si="97"/>
        <v>0</v>
      </c>
      <c r="AH174" s="1125">
        <f t="shared" si="98"/>
        <v>0</v>
      </c>
      <c r="AI174" s="1126">
        <f t="shared" si="99"/>
        <v>0</v>
      </c>
      <c r="AJ174" s="1124">
        <f t="shared" si="100"/>
        <v>0</v>
      </c>
      <c r="AK174" s="1124">
        <f t="shared" si="101"/>
        <v>0</v>
      </c>
      <c r="AL174" s="1127">
        <f t="shared" si="102"/>
        <v>0</v>
      </c>
      <c r="AM174" s="1128">
        <f t="shared" si="103"/>
        <v>0</v>
      </c>
      <c r="AN174" s="2298">
        <f t="shared" si="104"/>
        <v>0</v>
      </c>
      <c r="AO174" s="2299"/>
      <c r="AP174" s="1093"/>
      <c r="AQ174" s="1093"/>
      <c r="AR174" s="1093"/>
    </row>
    <row r="175" spans="1:44">
      <c r="A175" s="989"/>
      <c r="B175" s="1057" t="s">
        <v>2071</v>
      </c>
      <c r="C175" s="2301" t="str">
        <f t="shared" si="69"/>
        <v>-：（～）ｈ</v>
      </c>
      <c r="D175" s="2302"/>
      <c r="E175" s="2303"/>
      <c r="F175" s="1129" t="str">
        <f t="shared" si="70"/>
        <v>-</v>
      </c>
      <c r="G175" s="1130">
        <f t="shared" si="71"/>
        <v>0</v>
      </c>
      <c r="H175" s="1131">
        <f t="shared" si="72"/>
        <v>0</v>
      </c>
      <c r="I175" s="1131">
        <f t="shared" si="73"/>
        <v>0</v>
      </c>
      <c r="J175" s="1131">
        <f t="shared" si="74"/>
        <v>0</v>
      </c>
      <c r="K175" s="1131">
        <f t="shared" si="75"/>
        <v>0</v>
      </c>
      <c r="L175" s="1131">
        <f t="shared" si="76"/>
        <v>0</v>
      </c>
      <c r="M175" s="1132">
        <f t="shared" si="77"/>
        <v>0</v>
      </c>
      <c r="N175" s="1130">
        <f t="shared" si="78"/>
        <v>0</v>
      </c>
      <c r="O175" s="1131">
        <f t="shared" si="79"/>
        <v>0</v>
      </c>
      <c r="P175" s="1131">
        <f t="shared" si="80"/>
        <v>0</v>
      </c>
      <c r="Q175" s="1131">
        <f t="shared" si="81"/>
        <v>0</v>
      </c>
      <c r="R175" s="1131">
        <f t="shared" si="82"/>
        <v>0</v>
      </c>
      <c r="S175" s="1131">
        <f t="shared" si="83"/>
        <v>0</v>
      </c>
      <c r="T175" s="1132">
        <f t="shared" si="84"/>
        <v>0</v>
      </c>
      <c r="U175" s="1130">
        <f t="shared" si="85"/>
        <v>0</v>
      </c>
      <c r="V175" s="1131">
        <f t="shared" si="86"/>
        <v>0</v>
      </c>
      <c r="W175" s="1131">
        <f t="shared" si="87"/>
        <v>0</v>
      </c>
      <c r="X175" s="1131">
        <f t="shared" si="88"/>
        <v>0</v>
      </c>
      <c r="Y175" s="1131">
        <f t="shared" si="89"/>
        <v>0</v>
      </c>
      <c r="Z175" s="1131">
        <f t="shared" si="90"/>
        <v>0</v>
      </c>
      <c r="AA175" s="1132">
        <f t="shared" si="91"/>
        <v>0</v>
      </c>
      <c r="AB175" s="1130">
        <f t="shared" si="92"/>
        <v>0</v>
      </c>
      <c r="AC175" s="1131">
        <f t="shared" si="93"/>
        <v>0</v>
      </c>
      <c r="AD175" s="1131">
        <f t="shared" si="94"/>
        <v>0</v>
      </c>
      <c r="AE175" s="1131">
        <f t="shared" si="95"/>
        <v>0</v>
      </c>
      <c r="AF175" s="1131">
        <f t="shared" si="96"/>
        <v>0</v>
      </c>
      <c r="AG175" s="1131">
        <f t="shared" si="97"/>
        <v>0</v>
      </c>
      <c r="AH175" s="1132">
        <f t="shared" si="98"/>
        <v>0</v>
      </c>
      <c r="AI175" s="1133">
        <f t="shared" si="99"/>
        <v>0</v>
      </c>
      <c r="AJ175" s="1131">
        <f t="shared" si="100"/>
        <v>0</v>
      </c>
      <c r="AK175" s="1131">
        <f t="shared" si="101"/>
        <v>0</v>
      </c>
      <c r="AL175" s="1134">
        <f t="shared" si="102"/>
        <v>0</v>
      </c>
      <c r="AM175" s="1135">
        <f t="shared" si="103"/>
        <v>0</v>
      </c>
      <c r="AN175" s="2304">
        <f t="shared" si="104"/>
        <v>0</v>
      </c>
      <c r="AO175" s="2305"/>
      <c r="AP175" s="1093"/>
      <c r="AQ175" s="1093"/>
      <c r="AR175" s="1093"/>
    </row>
    <row r="176" spans="1:44" ht="13.5" customHeight="1">
      <c r="A176" s="989"/>
      <c r="C176" s="1136"/>
      <c r="G176" s="1137"/>
      <c r="H176" s="1001"/>
      <c r="I176" s="1001"/>
      <c r="J176" s="1001"/>
      <c r="K176" s="1001"/>
      <c r="L176" s="1001"/>
      <c r="M176" s="1001"/>
      <c r="N176" s="1001"/>
      <c r="O176" s="1001"/>
      <c r="P176" s="1001"/>
      <c r="Q176" s="1001"/>
      <c r="R176" s="1001"/>
      <c r="S176" s="1001"/>
      <c r="T176" s="1001"/>
      <c r="U176" s="1001"/>
      <c r="V176" s="1001"/>
      <c r="W176" s="1001"/>
      <c r="X176" s="1001"/>
      <c r="Y176" s="1001"/>
      <c r="Z176" s="1001"/>
      <c r="AA176" s="1001"/>
      <c r="AB176" s="1001"/>
      <c r="AC176" s="1001"/>
      <c r="AD176" s="1001"/>
      <c r="AE176" s="1001"/>
      <c r="AF176" s="1001"/>
      <c r="AG176" s="1001"/>
      <c r="AH176" s="1001"/>
      <c r="AI176" s="2306" t="s">
        <v>2072</v>
      </c>
      <c r="AJ176" s="2306"/>
      <c r="AK176" s="2306"/>
      <c r="AL176" s="2306"/>
      <c r="AM176" s="2307"/>
      <c r="AN176" s="2308">
        <f>SUM(AN151:AO175)</f>
        <v>557.73</v>
      </c>
      <c r="AO176" s="2309"/>
      <c r="AP176" s="1001"/>
      <c r="AQ176" s="1001"/>
      <c r="AR176" s="1001"/>
    </row>
    <row r="177" spans="1:44" ht="13.5" customHeight="1">
      <c r="A177" s="989"/>
      <c r="C177" s="1136"/>
      <c r="G177" s="1137"/>
      <c r="H177" s="1001"/>
      <c r="I177" s="1001"/>
      <c r="J177" s="1001"/>
      <c r="K177" s="1001"/>
      <c r="L177" s="1001"/>
      <c r="M177" s="1001"/>
      <c r="N177" s="1001"/>
      <c r="O177" s="1001"/>
      <c r="P177" s="1001"/>
      <c r="Q177" s="1001"/>
      <c r="R177" s="1001"/>
      <c r="S177" s="1001"/>
      <c r="T177" s="1001"/>
      <c r="U177" s="1001"/>
      <c r="V177" s="1001"/>
      <c r="W177" s="1001"/>
      <c r="X177" s="1001"/>
      <c r="Y177" s="1001"/>
      <c r="Z177" s="1001"/>
      <c r="AA177" s="1001"/>
      <c r="AB177" s="1001"/>
      <c r="AC177" s="1001"/>
      <c r="AD177" s="1001"/>
      <c r="AE177" s="1001"/>
      <c r="AF177" s="1001"/>
      <c r="AG177" s="1001"/>
      <c r="AH177" s="1001"/>
      <c r="AI177" s="1138"/>
      <c r="AJ177" s="1138"/>
      <c r="AK177" s="1138"/>
      <c r="AL177" s="1138"/>
      <c r="AM177" s="1138"/>
      <c r="AN177" s="1139"/>
      <c r="AO177" s="1139"/>
      <c r="AP177" s="1001"/>
      <c r="AQ177" s="1001"/>
      <c r="AR177" s="1001"/>
    </row>
    <row r="178" spans="1:44" ht="14.4">
      <c r="A178" s="989"/>
      <c r="C178" s="990" t="s">
        <v>2073</v>
      </c>
      <c r="G178" s="1137"/>
      <c r="H178" s="1001"/>
      <c r="I178" s="1001"/>
      <c r="J178" s="1001"/>
      <c r="K178" s="1001"/>
      <c r="L178" s="1001"/>
      <c r="M178" s="1001"/>
      <c r="N178" s="1001"/>
      <c r="O178" s="1001"/>
      <c r="P178" s="1001"/>
      <c r="Q178" s="1001"/>
      <c r="R178" s="1001"/>
      <c r="S178" s="1001"/>
      <c r="T178" s="1001"/>
      <c r="U178" s="1001"/>
      <c r="V178" s="1001"/>
      <c r="W178" s="1001"/>
      <c r="X178" s="1001"/>
      <c r="Y178" s="1001"/>
      <c r="Z178" s="1001"/>
      <c r="AA178" s="1001"/>
      <c r="AB178" s="1001"/>
      <c r="AC178" s="1001"/>
      <c r="AD178" s="1001"/>
      <c r="AE178" s="1001"/>
      <c r="AF178" s="1001"/>
      <c r="AG178" s="1001"/>
      <c r="AH178" s="1001"/>
      <c r="AI178" s="1001"/>
      <c r="AJ178" s="1001"/>
      <c r="AK178" s="1001"/>
      <c r="AL178" s="1001"/>
      <c r="AM178" s="1001"/>
      <c r="AN178" s="1001"/>
      <c r="AO178" s="1001"/>
      <c r="AP178" s="1001"/>
      <c r="AQ178" s="1001"/>
      <c r="AR178" s="1001"/>
    </row>
    <row r="179" spans="1:44">
      <c r="A179" s="989"/>
      <c r="C179" s="1136"/>
      <c r="G179" s="1137"/>
      <c r="H179" s="1001"/>
      <c r="I179" s="1001"/>
      <c r="J179" s="1001"/>
      <c r="K179" s="1001"/>
      <c r="L179" s="1001"/>
      <c r="M179" s="1001"/>
      <c r="N179" s="1001"/>
      <c r="O179" s="1001"/>
      <c r="P179" s="1001"/>
      <c r="Q179" s="1001"/>
      <c r="R179" s="1001"/>
      <c r="S179" s="1001"/>
      <c r="T179" s="1001"/>
      <c r="U179" s="1001"/>
      <c r="V179" s="1001"/>
      <c r="W179" s="1001"/>
      <c r="X179" s="1001"/>
      <c r="Y179" s="1001"/>
      <c r="Z179" s="1001"/>
      <c r="AA179" s="1001"/>
      <c r="AB179" s="1001"/>
      <c r="AC179" s="1001"/>
      <c r="AD179" s="1001"/>
      <c r="AE179" s="1001"/>
      <c r="AF179" s="1001"/>
      <c r="AG179" s="1001"/>
      <c r="AH179" s="1001"/>
      <c r="AI179" s="1001"/>
      <c r="AJ179" s="1001"/>
      <c r="AK179" s="1001"/>
      <c r="AL179" s="1001"/>
      <c r="AM179" s="1001"/>
      <c r="AN179" s="1001"/>
      <c r="AO179" s="1001"/>
      <c r="AP179" s="1001"/>
      <c r="AQ179" s="1001"/>
      <c r="AR179" s="1001"/>
    </row>
    <row r="180" spans="1:44">
      <c r="A180" s="989"/>
      <c r="C180" s="989" t="s">
        <v>2074</v>
      </c>
      <c r="G180" s="1137"/>
      <c r="H180" s="1001"/>
      <c r="I180" s="1001"/>
      <c r="J180" s="1001"/>
      <c r="K180" s="1001"/>
      <c r="L180" s="1001"/>
      <c r="M180" s="1001"/>
      <c r="N180" s="1001"/>
      <c r="O180" s="1001"/>
      <c r="P180" s="1001"/>
      <c r="Q180" s="1001"/>
      <c r="R180" s="1001"/>
      <c r="S180" s="1001"/>
      <c r="T180" s="1001"/>
      <c r="U180" s="1001"/>
      <c r="V180" s="1001"/>
      <c r="W180" s="1001"/>
      <c r="X180" s="1001"/>
      <c r="Y180" s="1001"/>
      <c r="Z180" s="1001"/>
      <c r="AA180" s="1001"/>
      <c r="AB180" s="1001"/>
      <c r="AC180" s="1001"/>
      <c r="AD180" s="1001"/>
      <c r="AE180" s="1001"/>
      <c r="AF180" s="1001"/>
      <c r="AG180" s="1001"/>
      <c r="AH180" s="1001"/>
      <c r="AI180" s="1001"/>
      <c r="AJ180" s="1001"/>
      <c r="AK180" s="1001"/>
      <c r="AL180" s="1001"/>
      <c r="AM180" s="1001"/>
      <c r="AN180" s="1001"/>
      <c r="AO180" s="1001"/>
      <c r="AP180" s="1001"/>
      <c r="AQ180" s="1001"/>
      <c r="AR180" s="1001"/>
    </row>
    <row r="181" spans="1:44">
      <c r="A181" s="989"/>
      <c r="C181" s="999" t="s">
        <v>2075</v>
      </c>
    </row>
    <row r="182" spans="1:44">
      <c r="A182" s="989"/>
      <c r="C182" s="999" t="s">
        <v>2076</v>
      </c>
    </row>
    <row r="183" spans="1:44">
      <c r="A183" s="989"/>
      <c r="C183" s="999" t="s">
        <v>2077</v>
      </c>
    </row>
    <row r="184" spans="1:44">
      <c r="A184" s="989"/>
      <c r="C184" s="999"/>
      <c r="D184" s="1001" t="s">
        <v>2078</v>
      </c>
    </row>
    <row r="185" spans="1:44">
      <c r="A185" s="989"/>
      <c r="C185" s="999" t="s">
        <v>2079</v>
      </c>
    </row>
    <row r="186" spans="1:44">
      <c r="A186" s="989"/>
      <c r="C186" s="999"/>
      <c r="D186" s="1001" t="s">
        <v>2080</v>
      </c>
      <c r="E186" s="1001"/>
      <c r="F186" s="1001"/>
    </row>
    <row r="187" spans="1:44">
      <c r="A187" s="989"/>
      <c r="C187" s="999" t="s">
        <v>2081</v>
      </c>
    </row>
    <row r="188" spans="1:44">
      <c r="A188" s="989"/>
      <c r="C188" s="999" t="s">
        <v>2082</v>
      </c>
    </row>
    <row r="189" spans="1:44">
      <c r="A189" s="989"/>
    </row>
    <row r="190" spans="1:44" ht="14.4">
      <c r="A190" s="989"/>
      <c r="C190" s="990" t="s">
        <v>2083</v>
      </c>
    </row>
    <row r="191" spans="1:44" ht="12.6" thickBot="1">
      <c r="A191" s="989"/>
    </row>
    <row r="192" spans="1:44">
      <c r="A192" s="989"/>
      <c r="C192" s="2310" t="s">
        <v>2084</v>
      </c>
      <c r="D192" s="2311"/>
      <c r="E192" s="2311"/>
      <c r="F192" s="1140"/>
      <c r="G192" s="2314">
        <v>7.75</v>
      </c>
      <c r="H192" s="2314"/>
      <c r="I192" s="2315" t="s">
        <v>2085</v>
      </c>
      <c r="J192" s="2315"/>
      <c r="K192" s="1141">
        <v>5</v>
      </c>
      <c r="L192" s="2315" t="s">
        <v>2086</v>
      </c>
      <c r="M192" s="2315"/>
      <c r="N192" s="2316">
        <f>G192*K192</f>
        <v>38.75</v>
      </c>
      <c r="O192" s="2316"/>
      <c r="P192" s="1142" t="s">
        <v>2087</v>
      </c>
      <c r="Q192" s="2317"/>
      <c r="R192" s="2317"/>
      <c r="Z192" s="2310" t="s">
        <v>2088</v>
      </c>
      <c r="AA192" s="2311"/>
      <c r="AB192" s="2311"/>
      <c r="AC192" s="2318"/>
      <c r="AD192" s="2328" t="s">
        <v>2089</v>
      </c>
      <c r="AE192" s="2329"/>
      <c r="AF192" s="2332" t="s">
        <v>2090</v>
      </c>
      <c r="AG192" s="2332"/>
      <c r="AH192" s="2315" t="s">
        <v>2091</v>
      </c>
      <c r="AI192" s="2332" t="s">
        <v>2092</v>
      </c>
      <c r="AJ192" s="2332"/>
      <c r="AK192" s="2334">
        <v>14.75</v>
      </c>
      <c r="AL192" s="2334"/>
      <c r="AM192" s="2336" t="s">
        <v>2093</v>
      </c>
    </row>
    <row r="193" spans="1:48" ht="12.6" thickBot="1">
      <c r="A193" s="989"/>
      <c r="C193" s="2312"/>
      <c r="D193" s="2313"/>
      <c r="E193" s="2313"/>
      <c r="F193" s="1143"/>
      <c r="G193" s="1143"/>
      <c r="H193" s="1143"/>
      <c r="I193" s="1144"/>
      <c r="J193" s="1144"/>
      <c r="K193" s="1145">
        <v>4</v>
      </c>
      <c r="L193" s="2325" t="s">
        <v>2094</v>
      </c>
      <c r="M193" s="2325"/>
      <c r="N193" s="2326">
        <f>N192*K193</f>
        <v>155</v>
      </c>
      <c r="O193" s="2326"/>
      <c r="P193" s="1146" t="s">
        <v>2095</v>
      </c>
      <c r="Z193" s="2312"/>
      <c r="AA193" s="2313"/>
      <c r="AB193" s="2313"/>
      <c r="AC193" s="2319"/>
      <c r="AD193" s="2330"/>
      <c r="AE193" s="2331"/>
      <c r="AF193" s="2333"/>
      <c r="AG193" s="2333"/>
      <c r="AH193" s="2325"/>
      <c r="AI193" s="2333"/>
      <c r="AJ193" s="2333"/>
      <c r="AK193" s="2335"/>
      <c r="AL193" s="2335"/>
      <c r="AM193" s="2337"/>
    </row>
    <row r="194" spans="1:48">
      <c r="A194" s="989"/>
      <c r="C194" s="1090"/>
      <c r="D194" s="1090"/>
      <c r="E194" s="1090"/>
      <c r="F194" s="1090"/>
      <c r="G194" s="1090"/>
      <c r="H194" s="1090"/>
      <c r="I194" s="1090"/>
      <c r="J194" s="1090"/>
      <c r="K194" s="1090"/>
      <c r="L194" s="1090"/>
      <c r="M194" s="1090"/>
      <c r="N194" s="1090"/>
      <c r="O194" s="1090"/>
      <c r="P194" s="1090"/>
      <c r="AC194" s="991" t="s">
        <v>2096</v>
      </c>
    </row>
    <row r="195" spans="1:48">
      <c r="A195" s="989"/>
      <c r="C195" s="1090"/>
      <c r="D195" s="1090"/>
      <c r="E195" s="1090"/>
      <c r="F195" s="1090"/>
      <c r="G195" s="1090"/>
      <c r="H195" s="1090"/>
      <c r="I195" s="989" t="s">
        <v>2097</v>
      </c>
      <c r="J195" s="1090"/>
      <c r="K195" s="1090"/>
      <c r="L195" s="1090"/>
      <c r="M195" s="1090"/>
      <c r="N195" s="1090"/>
      <c r="O195" s="1090"/>
      <c r="P195" s="1090"/>
      <c r="AC195" s="991"/>
    </row>
    <row r="196" spans="1:48" ht="15.9" customHeight="1" thickBot="1">
      <c r="A196" s="989"/>
      <c r="E196" s="1147" t="s">
        <v>1953</v>
      </c>
      <c r="F196" s="2320" t="s">
        <v>2098</v>
      </c>
      <c r="G196" s="2260"/>
      <c r="I196" s="2327" t="s">
        <v>2099</v>
      </c>
      <c r="J196" s="2327"/>
      <c r="K196" s="2327" t="s">
        <v>2100</v>
      </c>
      <c r="L196" s="2327"/>
      <c r="M196" s="2320" t="s">
        <v>2101</v>
      </c>
      <c r="N196" s="2258"/>
      <c r="O196" s="2258"/>
      <c r="P196" s="2258"/>
      <c r="Q196" s="2260"/>
      <c r="S196" s="2320" t="s">
        <v>2102</v>
      </c>
      <c r="T196" s="2258"/>
      <c r="U196" s="2258"/>
      <c r="V196" s="2258"/>
      <c r="W196" s="2260"/>
      <c r="Z196" s="2321"/>
      <c r="AA196" s="2321"/>
      <c r="AB196" s="2321"/>
      <c r="AC196" s="2321" t="s">
        <v>2103</v>
      </c>
      <c r="AD196" s="2321"/>
      <c r="AE196" s="2321"/>
      <c r="AF196" s="2321" t="s">
        <v>2104</v>
      </c>
      <c r="AG196" s="2321"/>
      <c r="AH196" s="2321"/>
      <c r="AI196" s="2321"/>
      <c r="AJ196" s="2321"/>
      <c r="AK196" s="2321" t="s">
        <v>2045</v>
      </c>
      <c r="AL196" s="2321"/>
      <c r="AM196" s="2321"/>
      <c r="AN196" s="1148" t="s">
        <v>2105</v>
      </c>
      <c r="AP196" s="2322" t="s">
        <v>2106</v>
      </c>
      <c r="AQ196" s="2323"/>
      <c r="AR196" s="2324"/>
    </row>
    <row r="197" spans="1:48" ht="15.9" customHeight="1">
      <c r="A197" s="989"/>
      <c r="E197" s="1196" t="s">
        <v>2107</v>
      </c>
      <c r="F197" s="2349">
        <f t="shared" ref="F197:F221" si="105">IF(E197="","",COUNTIF($C$10:$C$141,E197))</f>
        <v>0</v>
      </c>
      <c r="G197" s="2350"/>
      <c r="I197" s="2351">
        <f t="shared" ref="I197:I221" si="106">SUMIF($AN$10:$AN$141,E197,$AP$10:$AP$141)</f>
        <v>0</v>
      </c>
      <c r="J197" s="2351"/>
      <c r="K197" s="2351">
        <f t="shared" ref="K197:K221" si="107">SUMIF($AN$10:$AN$141,E197,$AR$10:$AR$141)</f>
        <v>0</v>
      </c>
      <c r="L197" s="2351"/>
      <c r="M197" s="2352">
        <f t="shared" ref="M197:M221" si="108">SUM(I197:L197)</f>
        <v>0</v>
      </c>
      <c r="N197" s="2338"/>
      <c r="O197" s="1150" t="s">
        <v>2108</v>
      </c>
      <c r="P197" s="2338">
        <f t="shared" ref="P197:P221" si="109">ROUNDDOWN(SUM(M197),1)</f>
        <v>0</v>
      </c>
      <c r="Q197" s="2339"/>
      <c r="S197" s="2353">
        <f t="shared" ref="S197:S221" si="110">SUMIF($AN$10:$AN$141,E197,$AQ$10:$AQ$141)</f>
        <v>0</v>
      </c>
      <c r="T197" s="2354"/>
      <c r="U197" s="1150" t="s">
        <v>2108</v>
      </c>
      <c r="V197" s="2338">
        <f>ROUNDDOWN(SUM(S197),1)</f>
        <v>0</v>
      </c>
      <c r="W197" s="2339"/>
      <c r="Y197" s="1151" t="s">
        <v>2109</v>
      </c>
      <c r="Z197" s="2340"/>
      <c r="AA197" s="2341"/>
      <c r="AB197" s="2341"/>
      <c r="AC197" s="1197" t="s">
        <v>2110</v>
      </c>
      <c r="AD197" s="2342" t="s">
        <v>2111</v>
      </c>
      <c r="AE197" s="2343"/>
      <c r="AF197" s="2344" t="s">
        <v>2090</v>
      </c>
      <c r="AG197" s="2345"/>
      <c r="AH197" s="1153" t="s">
        <v>2091</v>
      </c>
      <c r="AI197" s="2345" t="s">
        <v>2112</v>
      </c>
      <c r="AJ197" s="2346"/>
      <c r="AK197" s="2347">
        <v>7.5</v>
      </c>
      <c r="AL197" s="2348"/>
      <c r="AM197" s="1154" t="s">
        <v>2093</v>
      </c>
      <c r="AN197" s="1155" t="str">
        <f>CONCATENATE(AC197,"：",AD197,"（",AK197,AM197,"）、")</f>
        <v>夜：夜勤（7.5ｈ）、</v>
      </c>
      <c r="AO197" s="989" t="str">
        <f>IF(AC197="","",AC197)</f>
        <v>夜</v>
      </c>
      <c r="AP197" s="1156">
        <v>7.5</v>
      </c>
      <c r="AQ197" s="1157"/>
      <c r="AR197" s="1158">
        <f>SUM(AP197:AQ197)</f>
        <v>7.5</v>
      </c>
      <c r="AU197" s="1160"/>
      <c r="AV197" s="1160"/>
    </row>
    <row r="198" spans="1:48" ht="15.9" customHeight="1" thickBot="1">
      <c r="A198" s="989"/>
      <c r="E198" s="1198" t="s">
        <v>2113</v>
      </c>
      <c r="F198" s="2366">
        <f t="shared" si="105"/>
        <v>0</v>
      </c>
      <c r="G198" s="2367"/>
      <c r="I198" s="2368">
        <f t="shared" si="106"/>
        <v>0</v>
      </c>
      <c r="J198" s="2368"/>
      <c r="K198" s="2368">
        <f t="shared" si="107"/>
        <v>0</v>
      </c>
      <c r="L198" s="2368"/>
      <c r="M198" s="2369">
        <f t="shared" si="108"/>
        <v>0</v>
      </c>
      <c r="N198" s="2355"/>
      <c r="O198" s="1162" t="s">
        <v>2108</v>
      </c>
      <c r="P198" s="2355">
        <f t="shared" si="109"/>
        <v>0</v>
      </c>
      <c r="Q198" s="2356"/>
      <c r="S198" s="2370">
        <f t="shared" si="110"/>
        <v>0</v>
      </c>
      <c r="T198" s="2371"/>
      <c r="U198" s="1162" t="s">
        <v>2108</v>
      </c>
      <c r="V198" s="2355">
        <f t="shared" ref="V198:V221" si="111">ROUNDDOWN(SUM(S198),1)</f>
        <v>0</v>
      </c>
      <c r="W198" s="2356"/>
      <c r="Y198" s="1151" t="s">
        <v>2114</v>
      </c>
      <c r="Z198" s="2357"/>
      <c r="AA198" s="2358"/>
      <c r="AB198" s="2358"/>
      <c r="AC198" s="1199" t="s">
        <v>2115</v>
      </c>
      <c r="AD198" s="2359" t="s">
        <v>2116</v>
      </c>
      <c r="AE198" s="2360"/>
      <c r="AF198" s="2361" t="s">
        <v>2112</v>
      </c>
      <c r="AG198" s="2362"/>
      <c r="AH198" s="1164" t="s">
        <v>2091</v>
      </c>
      <c r="AI198" s="2362" t="s">
        <v>2092</v>
      </c>
      <c r="AJ198" s="2363"/>
      <c r="AK198" s="2364">
        <v>7.25</v>
      </c>
      <c r="AL198" s="2365"/>
      <c r="AM198" s="1165" t="s">
        <v>2093</v>
      </c>
      <c r="AN198" s="1166" t="str">
        <f t="shared" ref="AN198:AN221" si="112">CONCATENATE(AC198,"：",AD198,"（",AK198,AM198,"）、")</f>
        <v>明：明け（7.25ｈ）、</v>
      </c>
      <c r="AO198" s="989" t="str">
        <f t="shared" ref="AO198:AO221" si="113">IF(AC198="","",AC198)</f>
        <v>明</v>
      </c>
      <c r="AP198" s="1167"/>
      <c r="AQ198" s="1168">
        <v>7.25</v>
      </c>
      <c r="AR198" s="1169">
        <f t="shared" ref="AR198:AR221" si="114">SUM(AP198:AQ198)</f>
        <v>7.25</v>
      </c>
      <c r="AU198" s="1160"/>
      <c r="AV198" s="1160"/>
    </row>
    <row r="199" spans="1:48" ht="15.9" customHeight="1">
      <c r="A199" s="989"/>
      <c r="E199" s="1198" t="s">
        <v>2117</v>
      </c>
      <c r="F199" s="2366">
        <f t="shared" si="105"/>
        <v>0</v>
      </c>
      <c r="G199" s="2367"/>
      <c r="I199" s="2368">
        <f t="shared" si="106"/>
        <v>0</v>
      </c>
      <c r="J199" s="2368"/>
      <c r="K199" s="2368">
        <f t="shared" si="107"/>
        <v>0</v>
      </c>
      <c r="L199" s="2368"/>
      <c r="M199" s="2369">
        <f t="shared" si="108"/>
        <v>0</v>
      </c>
      <c r="N199" s="2355"/>
      <c r="O199" s="1162" t="s">
        <v>2108</v>
      </c>
      <c r="P199" s="2355">
        <f t="shared" si="109"/>
        <v>0</v>
      </c>
      <c r="Q199" s="2356"/>
      <c r="S199" s="2370">
        <f t="shared" si="110"/>
        <v>0</v>
      </c>
      <c r="T199" s="2371"/>
      <c r="U199" s="1162" t="s">
        <v>2108</v>
      </c>
      <c r="V199" s="2355">
        <f t="shared" si="111"/>
        <v>0</v>
      </c>
      <c r="W199" s="2356"/>
      <c r="Y199" s="1151" t="s">
        <v>2118</v>
      </c>
      <c r="Z199" s="2372"/>
      <c r="AA199" s="2372"/>
      <c r="AB199" s="2372"/>
      <c r="AC199" s="1200" t="s">
        <v>2040</v>
      </c>
      <c r="AD199" s="2373" t="s">
        <v>2119</v>
      </c>
      <c r="AE199" s="2374"/>
      <c r="AF199" s="2375" t="s">
        <v>2120</v>
      </c>
      <c r="AG199" s="2376"/>
      <c r="AH199" s="1171" t="s">
        <v>2091</v>
      </c>
      <c r="AI199" s="2376" t="s">
        <v>2121</v>
      </c>
      <c r="AJ199" s="2377"/>
      <c r="AK199" s="2378">
        <v>7.75</v>
      </c>
      <c r="AL199" s="2379"/>
      <c r="AM199" s="1172" t="s">
        <v>2093</v>
      </c>
      <c r="AN199" s="1173" t="str">
        <f t="shared" si="112"/>
        <v>①：日勤Ａ（7.75ｈ）、</v>
      </c>
      <c r="AO199" s="989" t="str">
        <f t="shared" si="113"/>
        <v>①</v>
      </c>
      <c r="AP199" s="1174">
        <v>0.57999999999999996</v>
      </c>
      <c r="AQ199" s="1174">
        <v>0.75</v>
      </c>
      <c r="AR199" s="1175">
        <f t="shared" si="114"/>
        <v>1.33</v>
      </c>
      <c r="AU199" s="1160"/>
      <c r="AV199" s="1160"/>
    </row>
    <row r="200" spans="1:48" ht="15.9" customHeight="1">
      <c r="A200" s="989"/>
      <c r="E200" s="1198" t="s">
        <v>2122</v>
      </c>
      <c r="F200" s="2366">
        <f t="shared" si="105"/>
        <v>0</v>
      </c>
      <c r="G200" s="2367"/>
      <c r="I200" s="2368">
        <f t="shared" si="106"/>
        <v>0</v>
      </c>
      <c r="J200" s="2368"/>
      <c r="K200" s="2368">
        <f t="shared" si="107"/>
        <v>0</v>
      </c>
      <c r="L200" s="2368"/>
      <c r="M200" s="2369">
        <f t="shared" si="108"/>
        <v>0</v>
      </c>
      <c r="N200" s="2355"/>
      <c r="O200" s="1162" t="s">
        <v>2108</v>
      </c>
      <c r="P200" s="2355">
        <f t="shared" si="109"/>
        <v>0</v>
      </c>
      <c r="Q200" s="2356"/>
      <c r="S200" s="2370">
        <f t="shared" si="110"/>
        <v>0</v>
      </c>
      <c r="T200" s="2371"/>
      <c r="U200" s="1162" t="s">
        <v>2108</v>
      </c>
      <c r="V200" s="2355">
        <f t="shared" si="111"/>
        <v>0</v>
      </c>
      <c r="W200" s="2356"/>
      <c r="Y200" s="1151" t="s">
        <v>2123</v>
      </c>
      <c r="Z200" s="2380"/>
      <c r="AA200" s="2380"/>
      <c r="AB200" s="2380"/>
      <c r="AC200" s="1201" t="s">
        <v>2041</v>
      </c>
      <c r="AD200" s="2381" t="s">
        <v>2124</v>
      </c>
      <c r="AE200" s="2382"/>
      <c r="AF200" s="2383" t="s">
        <v>2125</v>
      </c>
      <c r="AG200" s="2384"/>
      <c r="AH200" s="1177" t="s">
        <v>2091</v>
      </c>
      <c r="AI200" s="2384" t="s">
        <v>2126</v>
      </c>
      <c r="AJ200" s="2385"/>
      <c r="AK200" s="2386">
        <v>7.75</v>
      </c>
      <c r="AL200" s="2387"/>
      <c r="AM200" s="1178" t="s">
        <v>2093</v>
      </c>
      <c r="AN200" s="1179" t="str">
        <f t="shared" si="112"/>
        <v>②：早出（7.75ｈ）、</v>
      </c>
      <c r="AO200" s="989" t="str">
        <f t="shared" si="113"/>
        <v>②</v>
      </c>
      <c r="AP200" s="1180">
        <v>2.08</v>
      </c>
      <c r="AQ200" s="1180"/>
      <c r="AR200" s="1181">
        <f t="shared" si="114"/>
        <v>2.08</v>
      </c>
      <c r="AU200" s="1160"/>
      <c r="AV200" s="1160"/>
    </row>
    <row r="201" spans="1:48" ht="15.9" customHeight="1">
      <c r="A201" s="989"/>
      <c r="E201" s="1202" t="s">
        <v>2127</v>
      </c>
      <c r="F201" s="2366">
        <f t="shared" si="105"/>
        <v>3</v>
      </c>
      <c r="G201" s="2367"/>
      <c r="I201" s="2368">
        <f t="shared" si="106"/>
        <v>2</v>
      </c>
      <c r="J201" s="2368"/>
      <c r="K201" s="2368">
        <f t="shared" si="107"/>
        <v>0.88</v>
      </c>
      <c r="L201" s="2368"/>
      <c r="M201" s="2369">
        <f t="shared" si="108"/>
        <v>2.88</v>
      </c>
      <c r="N201" s="2355"/>
      <c r="O201" s="1162" t="s">
        <v>2108</v>
      </c>
      <c r="P201" s="2355">
        <f t="shared" si="109"/>
        <v>2.8</v>
      </c>
      <c r="Q201" s="2356"/>
      <c r="S201" s="2370">
        <f t="shared" si="110"/>
        <v>2.84</v>
      </c>
      <c r="T201" s="2371"/>
      <c r="U201" s="1162" t="s">
        <v>2108</v>
      </c>
      <c r="V201" s="2355">
        <f t="shared" si="111"/>
        <v>2.8</v>
      </c>
      <c r="W201" s="2356"/>
      <c r="Y201" s="1151" t="s">
        <v>2128</v>
      </c>
      <c r="Z201" s="2380"/>
      <c r="AA201" s="2380"/>
      <c r="AB201" s="2380"/>
      <c r="AC201" s="1201" t="s">
        <v>2042</v>
      </c>
      <c r="AD201" s="2381" t="s">
        <v>2129</v>
      </c>
      <c r="AE201" s="2382"/>
      <c r="AF201" s="2383" t="s">
        <v>2130</v>
      </c>
      <c r="AG201" s="2384"/>
      <c r="AH201" s="1177" t="s">
        <v>2091</v>
      </c>
      <c r="AI201" s="2384" t="s">
        <v>2131</v>
      </c>
      <c r="AJ201" s="2385"/>
      <c r="AK201" s="2386">
        <v>7.75</v>
      </c>
      <c r="AL201" s="2387"/>
      <c r="AM201" s="1178" t="s">
        <v>2093</v>
      </c>
      <c r="AN201" s="1179" t="str">
        <f t="shared" si="112"/>
        <v>③：遅出（7.75ｈ）、</v>
      </c>
      <c r="AO201" s="989" t="str">
        <f t="shared" si="113"/>
        <v>③</v>
      </c>
      <c r="AP201" s="1180"/>
      <c r="AQ201" s="1180">
        <v>2.5</v>
      </c>
      <c r="AR201" s="1181">
        <f t="shared" si="114"/>
        <v>2.5</v>
      </c>
      <c r="AU201" s="1160"/>
      <c r="AV201" s="1160"/>
    </row>
    <row r="202" spans="1:48" ht="15.9" customHeight="1">
      <c r="A202" s="989"/>
      <c r="E202" s="1202" t="s">
        <v>2132</v>
      </c>
      <c r="F202" s="2366">
        <f t="shared" si="105"/>
        <v>1</v>
      </c>
      <c r="G202" s="2367"/>
      <c r="I202" s="2368">
        <f t="shared" si="106"/>
        <v>1</v>
      </c>
      <c r="J202" s="2368"/>
      <c r="K202" s="2368">
        <f t="shared" si="107"/>
        <v>0</v>
      </c>
      <c r="L202" s="2368"/>
      <c r="M202" s="2369">
        <f t="shared" si="108"/>
        <v>1</v>
      </c>
      <c r="N202" s="2355"/>
      <c r="O202" s="1162" t="s">
        <v>2108</v>
      </c>
      <c r="P202" s="2355">
        <f t="shared" si="109"/>
        <v>1</v>
      </c>
      <c r="Q202" s="2356"/>
      <c r="S202" s="2370">
        <f t="shared" si="110"/>
        <v>0.93</v>
      </c>
      <c r="T202" s="2371"/>
      <c r="U202" s="1162" t="s">
        <v>2108</v>
      </c>
      <c r="V202" s="2355">
        <f t="shared" si="111"/>
        <v>0.9</v>
      </c>
      <c r="W202" s="2356"/>
      <c r="Y202" s="1151" t="s">
        <v>2133</v>
      </c>
      <c r="Z202" s="2380"/>
      <c r="AA202" s="2380"/>
      <c r="AB202" s="2380"/>
      <c r="AC202" s="1201" t="s">
        <v>2134</v>
      </c>
      <c r="AD202" s="2381" t="s">
        <v>2135</v>
      </c>
      <c r="AE202" s="2382"/>
      <c r="AF202" s="2383" t="s">
        <v>2120</v>
      </c>
      <c r="AG202" s="2384"/>
      <c r="AH202" s="1177" t="s">
        <v>2091</v>
      </c>
      <c r="AI202" s="2384" t="s">
        <v>2136</v>
      </c>
      <c r="AJ202" s="2385"/>
      <c r="AK202" s="2386">
        <v>4</v>
      </c>
      <c r="AL202" s="2387"/>
      <c r="AM202" s="1178" t="s">
        <v>2093</v>
      </c>
      <c r="AN202" s="1179" t="str">
        <f t="shared" si="112"/>
        <v>⑤：午前Ａ（4ｈ）、</v>
      </c>
      <c r="AO202" s="1090" t="str">
        <f t="shared" si="113"/>
        <v>⑤</v>
      </c>
      <c r="AP202" s="1180">
        <v>0.57999999999999996</v>
      </c>
      <c r="AQ202" s="1180"/>
      <c r="AR202" s="1181">
        <f t="shared" si="114"/>
        <v>0.57999999999999996</v>
      </c>
      <c r="AU202" s="1160"/>
      <c r="AV202" s="1160"/>
    </row>
    <row r="203" spans="1:48" ht="15.9" customHeight="1">
      <c r="A203" s="989"/>
      <c r="E203" s="1198" t="s">
        <v>2137</v>
      </c>
      <c r="F203" s="2366">
        <f t="shared" si="105"/>
        <v>0</v>
      </c>
      <c r="G203" s="2367"/>
      <c r="I203" s="2368">
        <f t="shared" si="106"/>
        <v>0</v>
      </c>
      <c r="J203" s="2368"/>
      <c r="K203" s="2368">
        <f t="shared" si="107"/>
        <v>0</v>
      </c>
      <c r="L203" s="2368"/>
      <c r="M203" s="2369">
        <f t="shared" si="108"/>
        <v>0</v>
      </c>
      <c r="N203" s="2355"/>
      <c r="O203" s="1162" t="s">
        <v>2108</v>
      </c>
      <c r="P203" s="2355">
        <f t="shared" si="109"/>
        <v>0</v>
      </c>
      <c r="Q203" s="2356"/>
      <c r="S203" s="2370">
        <f t="shared" si="110"/>
        <v>0</v>
      </c>
      <c r="T203" s="2371"/>
      <c r="U203" s="1162" t="s">
        <v>2108</v>
      </c>
      <c r="V203" s="2355">
        <f t="shared" si="111"/>
        <v>0</v>
      </c>
      <c r="W203" s="2356"/>
      <c r="Y203" s="1151" t="s">
        <v>2138</v>
      </c>
      <c r="Z203" s="2380"/>
      <c r="AA203" s="2380"/>
      <c r="AB203" s="2380"/>
      <c r="AC203" s="1201" t="s">
        <v>2139</v>
      </c>
      <c r="AD203" s="2381" t="s">
        <v>2140</v>
      </c>
      <c r="AE203" s="2382"/>
      <c r="AF203" s="2383" t="s">
        <v>2141</v>
      </c>
      <c r="AG203" s="2384"/>
      <c r="AH203" s="1177" t="s">
        <v>2091</v>
      </c>
      <c r="AI203" s="2384" t="s">
        <v>2142</v>
      </c>
      <c r="AJ203" s="2385"/>
      <c r="AK203" s="2386">
        <v>4</v>
      </c>
      <c r="AL203" s="2387"/>
      <c r="AM203" s="1178" t="s">
        <v>2093</v>
      </c>
      <c r="AN203" s="1179" t="str">
        <f t="shared" si="112"/>
        <v>⑥：午後Ａ（4ｈ）、</v>
      </c>
      <c r="AO203" s="1090" t="str">
        <f t="shared" si="113"/>
        <v>⑥</v>
      </c>
      <c r="AP203" s="1180"/>
      <c r="AQ203" s="1180">
        <v>1</v>
      </c>
      <c r="AR203" s="1181">
        <f t="shared" si="114"/>
        <v>1</v>
      </c>
      <c r="AU203" s="1160"/>
      <c r="AV203" s="1160"/>
    </row>
    <row r="204" spans="1:48" ht="15.9" customHeight="1">
      <c r="A204" s="989"/>
      <c r="E204" s="1198" t="s">
        <v>2143</v>
      </c>
      <c r="F204" s="2366">
        <f t="shared" si="105"/>
        <v>0</v>
      </c>
      <c r="G204" s="2367"/>
      <c r="I204" s="2368">
        <f t="shared" si="106"/>
        <v>0</v>
      </c>
      <c r="J204" s="2368"/>
      <c r="K204" s="2368">
        <f t="shared" si="107"/>
        <v>0</v>
      </c>
      <c r="L204" s="2368"/>
      <c r="M204" s="2369">
        <f t="shared" si="108"/>
        <v>0</v>
      </c>
      <c r="N204" s="2355"/>
      <c r="O204" s="1162" t="s">
        <v>2108</v>
      </c>
      <c r="P204" s="2355">
        <f t="shared" si="109"/>
        <v>0</v>
      </c>
      <c r="Q204" s="2356"/>
      <c r="S204" s="2370">
        <f t="shared" si="110"/>
        <v>0</v>
      </c>
      <c r="T204" s="2371"/>
      <c r="U204" s="1162" t="s">
        <v>2108</v>
      </c>
      <c r="V204" s="2355">
        <f t="shared" si="111"/>
        <v>0</v>
      </c>
      <c r="W204" s="2356"/>
      <c r="Y204" s="1151" t="s">
        <v>2144</v>
      </c>
      <c r="Z204" s="2380"/>
      <c r="AA204" s="2380"/>
      <c r="AB204" s="2380"/>
      <c r="AC204" s="1201" t="s">
        <v>2145</v>
      </c>
      <c r="AD204" s="2381" t="s">
        <v>2146</v>
      </c>
      <c r="AE204" s="2382"/>
      <c r="AF204" s="2383" t="s">
        <v>2147</v>
      </c>
      <c r="AG204" s="2384"/>
      <c r="AH204" s="1177" t="s">
        <v>2091</v>
      </c>
      <c r="AI204" s="2384" t="s">
        <v>2148</v>
      </c>
      <c r="AJ204" s="2385"/>
      <c r="AK204" s="2386">
        <v>7</v>
      </c>
      <c r="AL204" s="2387"/>
      <c r="AM204" s="1178" t="s">
        <v>2093</v>
      </c>
      <c r="AN204" s="1179" t="str">
        <f t="shared" si="112"/>
        <v>⑦：日勤Ｂ（7ｈ）、</v>
      </c>
      <c r="AO204" s="1090" t="str">
        <f t="shared" si="113"/>
        <v>⑦</v>
      </c>
      <c r="AP204" s="1180">
        <v>0.25</v>
      </c>
      <c r="AQ204" s="1180">
        <v>0.5</v>
      </c>
      <c r="AR204" s="1181">
        <f t="shared" si="114"/>
        <v>0.75</v>
      </c>
      <c r="AU204" s="1160"/>
      <c r="AV204" s="1160"/>
    </row>
    <row r="205" spans="1:48" ht="15.9" customHeight="1">
      <c r="A205" s="989"/>
      <c r="E205" s="1198" t="s">
        <v>2149</v>
      </c>
      <c r="F205" s="2366">
        <f t="shared" si="105"/>
        <v>0</v>
      </c>
      <c r="G205" s="2367"/>
      <c r="I205" s="2368">
        <f t="shared" si="106"/>
        <v>0</v>
      </c>
      <c r="J205" s="2368"/>
      <c r="K205" s="2368">
        <f t="shared" si="107"/>
        <v>0</v>
      </c>
      <c r="L205" s="2368"/>
      <c r="M205" s="2369">
        <f t="shared" si="108"/>
        <v>0</v>
      </c>
      <c r="N205" s="2355"/>
      <c r="O205" s="1162" t="s">
        <v>2108</v>
      </c>
      <c r="P205" s="2355">
        <f t="shared" si="109"/>
        <v>0</v>
      </c>
      <c r="Q205" s="2356"/>
      <c r="S205" s="2370">
        <f t="shared" si="110"/>
        <v>0</v>
      </c>
      <c r="T205" s="2371"/>
      <c r="U205" s="1162" t="s">
        <v>2108</v>
      </c>
      <c r="V205" s="2355">
        <f t="shared" si="111"/>
        <v>0</v>
      </c>
      <c r="W205" s="2356"/>
      <c r="Y205" s="1151" t="s">
        <v>2150</v>
      </c>
      <c r="Z205" s="2380"/>
      <c r="AA205" s="2380"/>
      <c r="AB205" s="2380"/>
      <c r="AC205" s="1201" t="s">
        <v>2151</v>
      </c>
      <c r="AD205" s="2381" t="s">
        <v>2152</v>
      </c>
      <c r="AE205" s="2382"/>
      <c r="AF205" s="2383" t="s">
        <v>2147</v>
      </c>
      <c r="AG205" s="2384"/>
      <c r="AH205" s="1177" t="s">
        <v>2091</v>
      </c>
      <c r="AI205" s="2384" t="s">
        <v>2153</v>
      </c>
      <c r="AJ205" s="2385"/>
      <c r="AK205" s="2386">
        <v>4</v>
      </c>
      <c r="AL205" s="2387"/>
      <c r="AM205" s="1178" t="s">
        <v>2093</v>
      </c>
      <c r="AN205" s="1179" t="str">
        <f t="shared" si="112"/>
        <v>⑧：午前Ｂ（4ｈ）、</v>
      </c>
      <c r="AO205" s="1090" t="str">
        <f t="shared" si="113"/>
        <v>⑧</v>
      </c>
      <c r="AP205" s="1180">
        <v>0.25</v>
      </c>
      <c r="AQ205" s="1180"/>
      <c r="AR205" s="1181">
        <f t="shared" si="114"/>
        <v>0.25</v>
      </c>
      <c r="AU205" s="1160"/>
      <c r="AV205" s="1160"/>
    </row>
    <row r="206" spans="1:48" ht="15.9" customHeight="1">
      <c r="A206" s="989"/>
      <c r="E206" s="1198" t="s">
        <v>2154</v>
      </c>
      <c r="F206" s="2366">
        <f t="shared" si="105"/>
        <v>0</v>
      </c>
      <c r="G206" s="2367"/>
      <c r="I206" s="2368">
        <f t="shared" si="106"/>
        <v>0</v>
      </c>
      <c r="J206" s="2368"/>
      <c r="K206" s="2368">
        <f t="shared" si="107"/>
        <v>0</v>
      </c>
      <c r="L206" s="2368"/>
      <c r="M206" s="2369">
        <f t="shared" si="108"/>
        <v>0</v>
      </c>
      <c r="N206" s="2355"/>
      <c r="O206" s="1162" t="s">
        <v>2108</v>
      </c>
      <c r="P206" s="2355">
        <f t="shared" si="109"/>
        <v>0</v>
      </c>
      <c r="Q206" s="2356"/>
      <c r="S206" s="2370">
        <f t="shared" si="110"/>
        <v>0</v>
      </c>
      <c r="T206" s="2371"/>
      <c r="U206" s="1162" t="s">
        <v>2108</v>
      </c>
      <c r="V206" s="2355">
        <f t="shared" si="111"/>
        <v>0</v>
      </c>
      <c r="W206" s="2356"/>
      <c r="Y206" s="1151" t="s">
        <v>2155</v>
      </c>
      <c r="Z206" s="2380"/>
      <c r="AA206" s="2380"/>
      <c r="AB206" s="2380"/>
      <c r="AC206" s="1201" t="s">
        <v>2156</v>
      </c>
      <c r="AD206" s="2381" t="s">
        <v>2157</v>
      </c>
      <c r="AE206" s="2382"/>
      <c r="AF206" s="2383" t="s">
        <v>2153</v>
      </c>
      <c r="AG206" s="2384"/>
      <c r="AH206" s="1177" t="s">
        <v>2091</v>
      </c>
      <c r="AI206" s="2384" t="s">
        <v>2148</v>
      </c>
      <c r="AJ206" s="2385"/>
      <c r="AK206" s="2386">
        <v>4</v>
      </c>
      <c r="AL206" s="2387"/>
      <c r="AM206" s="1178" t="s">
        <v>2093</v>
      </c>
      <c r="AN206" s="1179" t="str">
        <f t="shared" si="112"/>
        <v>⑨：午後Ｂ（4ｈ）、</v>
      </c>
      <c r="AO206" s="1090" t="str">
        <f t="shared" si="113"/>
        <v>⑨</v>
      </c>
      <c r="AP206" s="1180"/>
      <c r="AQ206" s="1180">
        <v>0.5</v>
      </c>
      <c r="AR206" s="1181">
        <f t="shared" si="114"/>
        <v>0.5</v>
      </c>
      <c r="AU206" s="1160"/>
      <c r="AV206" s="1160"/>
    </row>
    <row r="207" spans="1:48" ht="15.9" customHeight="1">
      <c r="A207" s="989"/>
      <c r="E207" s="1198" t="s">
        <v>2158</v>
      </c>
      <c r="F207" s="2366">
        <f t="shared" si="105"/>
        <v>0</v>
      </c>
      <c r="G207" s="2367"/>
      <c r="I207" s="2368">
        <f t="shared" si="106"/>
        <v>0</v>
      </c>
      <c r="J207" s="2368"/>
      <c r="K207" s="2368">
        <f t="shared" si="107"/>
        <v>0</v>
      </c>
      <c r="L207" s="2368"/>
      <c r="M207" s="2369">
        <f t="shared" si="108"/>
        <v>0</v>
      </c>
      <c r="N207" s="2355"/>
      <c r="O207" s="1162" t="s">
        <v>2108</v>
      </c>
      <c r="P207" s="2355">
        <f t="shared" si="109"/>
        <v>0</v>
      </c>
      <c r="Q207" s="2356"/>
      <c r="S207" s="2370">
        <f t="shared" si="110"/>
        <v>0</v>
      </c>
      <c r="T207" s="2371"/>
      <c r="U207" s="1162" t="s">
        <v>2108</v>
      </c>
      <c r="V207" s="2355">
        <f t="shared" si="111"/>
        <v>0</v>
      </c>
      <c r="W207" s="2356"/>
      <c r="Y207" s="1151" t="s">
        <v>2159</v>
      </c>
      <c r="Z207" s="2380"/>
      <c r="AA207" s="2380"/>
      <c r="AB207" s="2380"/>
      <c r="AC207" s="1201" t="s">
        <v>2160</v>
      </c>
      <c r="AD207" s="2381" t="s">
        <v>2161</v>
      </c>
      <c r="AE207" s="2382"/>
      <c r="AF207" s="2383" t="s">
        <v>2130</v>
      </c>
      <c r="AG207" s="2384"/>
      <c r="AH207" s="1177" t="s">
        <v>2091</v>
      </c>
      <c r="AI207" s="2384" t="s">
        <v>2162</v>
      </c>
      <c r="AJ207" s="2385"/>
      <c r="AK207" s="2386">
        <v>4</v>
      </c>
      <c r="AL207" s="2387"/>
      <c r="AM207" s="1178" t="s">
        <v>2093</v>
      </c>
      <c r="AN207" s="1179" t="str">
        <f t="shared" si="112"/>
        <v>⑩：午後Ｃ（4ｈ）、</v>
      </c>
      <c r="AO207" s="1090" t="str">
        <f t="shared" si="113"/>
        <v>⑩</v>
      </c>
      <c r="AP207" s="1180"/>
      <c r="AQ207" s="1180"/>
      <c r="AR207" s="1181">
        <f t="shared" si="114"/>
        <v>0</v>
      </c>
      <c r="AU207" s="1160"/>
      <c r="AV207" s="1160"/>
    </row>
    <row r="208" spans="1:48" ht="15.9" customHeight="1">
      <c r="A208" s="989"/>
      <c r="E208" s="1198" t="s">
        <v>2163</v>
      </c>
      <c r="F208" s="2366">
        <f t="shared" si="105"/>
        <v>0</v>
      </c>
      <c r="G208" s="2367"/>
      <c r="I208" s="2368">
        <f t="shared" si="106"/>
        <v>0</v>
      </c>
      <c r="J208" s="2368"/>
      <c r="K208" s="2368">
        <f t="shared" si="107"/>
        <v>0</v>
      </c>
      <c r="L208" s="2368"/>
      <c r="M208" s="2369">
        <f t="shared" si="108"/>
        <v>0</v>
      </c>
      <c r="N208" s="2355"/>
      <c r="O208" s="1162" t="s">
        <v>2108</v>
      </c>
      <c r="P208" s="2355">
        <f t="shared" si="109"/>
        <v>0</v>
      </c>
      <c r="Q208" s="2356"/>
      <c r="S208" s="2370">
        <f t="shared" si="110"/>
        <v>0</v>
      </c>
      <c r="T208" s="2371"/>
      <c r="U208" s="1162" t="s">
        <v>2108</v>
      </c>
      <c r="V208" s="2355">
        <f t="shared" si="111"/>
        <v>0</v>
      </c>
      <c r="W208" s="2356"/>
      <c r="Y208" s="1151" t="s">
        <v>2164</v>
      </c>
      <c r="Z208" s="2380"/>
      <c r="AA208" s="2380"/>
      <c r="AB208" s="2380"/>
      <c r="AC208" s="1201" t="s">
        <v>2165</v>
      </c>
      <c r="AD208" s="2381" t="s">
        <v>2166</v>
      </c>
      <c r="AE208" s="2382"/>
      <c r="AF208" s="2383" t="s">
        <v>2167</v>
      </c>
      <c r="AG208" s="2384"/>
      <c r="AH208" s="1177" t="s">
        <v>2091</v>
      </c>
      <c r="AI208" s="2384" t="s">
        <v>2131</v>
      </c>
      <c r="AJ208" s="2385"/>
      <c r="AK208" s="2386">
        <v>4</v>
      </c>
      <c r="AL208" s="2387"/>
      <c r="AM208" s="1178" t="s">
        <v>2093</v>
      </c>
      <c r="AN208" s="1179" t="str">
        <f t="shared" si="112"/>
        <v>⑪：午後Ｄ（4ｈ）、</v>
      </c>
      <c r="AO208" s="1090" t="str">
        <f t="shared" si="113"/>
        <v>⑪</v>
      </c>
      <c r="AP208" s="1180"/>
      <c r="AQ208" s="1180">
        <v>3.5</v>
      </c>
      <c r="AR208" s="1181">
        <f t="shared" si="114"/>
        <v>3.5</v>
      </c>
      <c r="AU208" s="1160"/>
      <c r="AV208" s="1160"/>
    </row>
    <row r="209" spans="1:48" ht="15.9" customHeight="1">
      <c r="A209" s="989"/>
      <c r="E209" s="1198" t="s">
        <v>2168</v>
      </c>
      <c r="F209" s="2366">
        <f t="shared" si="105"/>
        <v>0</v>
      </c>
      <c r="G209" s="2367"/>
      <c r="I209" s="2368">
        <f t="shared" si="106"/>
        <v>0</v>
      </c>
      <c r="J209" s="2368"/>
      <c r="K209" s="2368">
        <f t="shared" si="107"/>
        <v>0</v>
      </c>
      <c r="L209" s="2368"/>
      <c r="M209" s="2369">
        <f t="shared" si="108"/>
        <v>0</v>
      </c>
      <c r="N209" s="2355"/>
      <c r="O209" s="1162" t="s">
        <v>2108</v>
      </c>
      <c r="P209" s="2355">
        <f t="shared" si="109"/>
        <v>0</v>
      </c>
      <c r="Q209" s="2356"/>
      <c r="S209" s="2370">
        <f t="shared" si="110"/>
        <v>0</v>
      </c>
      <c r="T209" s="2371"/>
      <c r="U209" s="1162" t="s">
        <v>2108</v>
      </c>
      <c r="V209" s="2355">
        <f t="shared" si="111"/>
        <v>0</v>
      </c>
      <c r="W209" s="2356"/>
      <c r="Y209" s="1151" t="s">
        <v>2169</v>
      </c>
      <c r="Z209" s="2380"/>
      <c r="AA209" s="2380"/>
      <c r="AB209" s="2380"/>
      <c r="AC209" s="1201" t="s">
        <v>2170</v>
      </c>
      <c r="AD209" s="2381" t="s">
        <v>2171</v>
      </c>
      <c r="AE209" s="2382"/>
      <c r="AF209" s="2383" t="s">
        <v>2120</v>
      </c>
      <c r="AG209" s="2384"/>
      <c r="AH209" s="1177" t="s">
        <v>2091</v>
      </c>
      <c r="AI209" s="2384" t="s">
        <v>2148</v>
      </c>
      <c r="AJ209" s="2385"/>
      <c r="AK209" s="2386">
        <v>7.5</v>
      </c>
      <c r="AL209" s="2387"/>
      <c r="AM209" s="1178" t="s">
        <v>2093</v>
      </c>
      <c r="AN209" s="1179" t="str">
        <f t="shared" si="112"/>
        <v>⑱：日勤Ｃ（7.5ｈ）、</v>
      </c>
      <c r="AO209" s="1090" t="str">
        <f t="shared" si="113"/>
        <v>⑱</v>
      </c>
      <c r="AP209" s="1180">
        <v>0.57999999999999996</v>
      </c>
      <c r="AQ209" s="1180">
        <v>0.5</v>
      </c>
      <c r="AR209" s="1181">
        <f t="shared" si="114"/>
        <v>1.08</v>
      </c>
      <c r="AU209" s="1160"/>
      <c r="AV209" s="1160"/>
    </row>
    <row r="210" spans="1:48" ht="15.9" customHeight="1">
      <c r="A210" s="989"/>
      <c r="E210" s="1198" t="s">
        <v>2172</v>
      </c>
      <c r="F210" s="2366">
        <f t="shared" si="105"/>
        <v>0</v>
      </c>
      <c r="G210" s="2367"/>
      <c r="I210" s="2368">
        <f t="shared" si="106"/>
        <v>0</v>
      </c>
      <c r="J210" s="2368"/>
      <c r="K210" s="2368">
        <f t="shared" si="107"/>
        <v>0</v>
      </c>
      <c r="L210" s="2368"/>
      <c r="M210" s="2369">
        <f t="shared" si="108"/>
        <v>0</v>
      </c>
      <c r="N210" s="2355"/>
      <c r="O210" s="1162" t="s">
        <v>2108</v>
      </c>
      <c r="P210" s="2355">
        <f t="shared" si="109"/>
        <v>0</v>
      </c>
      <c r="Q210" s="2356"/>
      <c r="S210" s="2370">
        <f t="shared" si="110"/>
        <v>0</v>
      </c>
      <c r="T210" s="2371"/>
      <c r="U210" s="1162" t="s">
        <v>2108</v>
      </c>
      <c r="V210" s="2355">
        <f t="shared" si="111"/>
        <v>0</v>
      </c>
      <c r="W210" s="2356"/>
      <c r="Y210" s="1151" t="s">
        <v>2173</v>
      </c>
      <c r="Z210" s="2380"/>
      <c r="AA210" s="2380"/>
      <c r="AB210" s="2380"/>
      <c r="AC210" s="1201" t="s">
        <v>2174</v>
      </c>
      <c r="AD210" s="2381" t="s">
        <v>2175</v>
      </c>
      <c r="AE210" s="2382"/>
      <c r="AF210" s="2383" t="s">
        <v>2147</v>
      </c>
      <c r="AG210" s="2384"/>
      <c r="AH210" s="1177" t="s">
        <v>2091</v>
      </c>
      <c r="AI210" s="2384" t="s">
        <v>2153</v>
      </c>
      <c r="AJ210" s="2385"/>
      <c r="AK210" s="2386">
        <v>4</v>
      </c>
      <c r="AL210" s="2387"/>
      <c r="AM210" s="1178" t="s">
        <v>2093</v>
      </c>
      <c r="AN210" s="1179" t="str">
        <f t="shared" si="112"/>
        <v>⑲：午前Ｃ（4ｈ）、</v>
      </c>
      <c r="AO210" s="1090" t="str">
        <f t="shared" si="113"/>
        <v>⑲</v>
      </c>
      <c r="AP210" s="1180">
        <v>0.25</v>
      </c>
      <c r="AQ210" s="1180"/>
      <c r="AR210" s="1181">
        <f t="shared" si="114"/>
        <v>0.25</v>
      </c>
      <c r="AU210" s="1160"/>
      <c r="AV210" s="1160"/>
    </row>
    <row r="211" spans="1:48" ht="15.9" customHeight="1">
      <c r="A211" s="989"/>
      <c r="E211" s="1198" t="s">
        <v>2176</v>
      </c>
      <c r="F211" s="2366">
        <f t="shared" si="105"/>
        <v>0</v>
      </c>
      <c r="G211" s="2367"/>
      <c r="I211" s="2368">
        <f t="shared" si="106"/>
        <v>0</v>
      </c>
      <c r="J211" s="2368"/>
      <c r="K211" s="2368">
        <f t="shared" si="107"/>
        <v>0</v>
      </c>
      <c r="L211" s="2368"/>
      <c r="M211" s="2369">
        <f t="shared" si="108"/>
        <v>0</v>
      </c>
      <c r="N211" s="2355"/>
      <c r="O211" s="1162" t="s">
        <v>2108</v>
      </c>
      <c r="P211" s="2355">
        <f t="shared" si="109"/>
        <v>0</v>
      </c>
      <c r="Q211" s="2356"/>
      <c r="S211" s="2370">
        <f t="shared" si="110"/>
        <v>0</v>
      </c>
      <c r="T211" s="2371"/>
      <c r="U211" s="1162" t="s">
        <v>2108</v>
      </c>
      <c r="V211" s="2355">
        <f t="shared" si="111"/>
        <v>0</v>
      </c>
      <c r="W211" s="2356"/>
      <c r="Y211" s="1151" t="s">
        <v>2177</v>
      </c>
      <c r="Z211" s="2380"/>
      <c r="AA211" s="2380"/>
      <c r="AB211" s="2380"/>
      <c r="AC211" s="1201" t="s">
        <v>2178</v>
      </c>
      <c r="AD211" s="2381" t="s">
        <v>2179</v>
      </c>
      <c r="AE211" s="2382"/>
      <c r="AF211" s="2383" t="s">
        <v>2125</v>
      </c>
      <c r="AG211" s="2384"/>
      <c r="AH211" s="1177" t="s">
        <v>2091</v>
      </c>
      <c r="AI211" s="2384" t="s">
        <v>2180</v>
      </c>
      <c r="AJ211" s="2385"/>
      <c r="AK211" s="2386">
        <v>4</v>
      </c>
      <c r="AL211" s="2387"/>
      <c r="AM211" s="1178" t="s">
        <v>2093</v>
      </c>
      <c r="AN211" s="1179" t="str">
        <f t="shared" si="112"/>
        <v>⑳：午前Ｄ（4ｈ）、</v>
      </c>
      <c r="AO211" s="1090" t="str">
        <f t="shared" si="113"/>
        <v>⑳</v>
      </c>
      <c r="AP211" s="1180">
        <v>2.08</v>
      </c>
      <c r="AQ211" s="1180"/>
      <c r="AR211" s="1181">
        <f t="shared" si="114"/>
        <v>2.08</v>
      </c>
      <c r="AU211" s="1160"/>
      <c r="AV211" s="1160"/>
    </row>
    <row r="212" spans="1:48" ht="15.9" customHeight="1">
      <c r="A212" s="989"/>
      <c r="E212" s="1198" t="s">
        <v>2181</v>
      </c>
      <c r="F212" s="2366">
        <f t="shared" si="105"/>
        <v>0</v>
      </c>
      <c r="G212" s="2367"/>
      <c r="I212" s="2368">
        <f t="shared" si="106"/>
        <v>0</v>
      </c>
      <c r="J212" s="2368"/>
      <c r="K212" s="2368">
        <f t="shared" si="107"/>
        <v>0</v>
      </c>
      <c r="L212" s="2368"/>
      <c r="M212" s="2369">
        <f t="shared" si="108"/>
        <v>0</v>
      </c>
      <c r="N212" s="2355"/>
      <c r="O212" s="1162" t="s">
        <v>2108</v>
      </c>
      <c r="P212" s="2355">
        <f t="shared" si="109"/>
        <v>0</v>
      </c>
      <c r="Q212" s="2356"/>
      <c r="S212" s="2370">
        <f t="shared" si="110"/>
        <v>0</v>
      </c>
      <c r="T212" s="2371"/>
      <c r="U212" s="1162" t="s">
        <v>2108</v>
      </c>
      <c r="V212" s="2355">
        <f t="shared" si="111"/>
        <v>0</v>
      </c>
      <c r="W212" s="2356"/>
      <c r="Y212" s="1151" t="s">
        <v>2182</v>
      </c>
      <c r="Z212" s="2380"/>
      <c r="AA212" s="2380"/>
      <c r="AB212" s="2380"/>
      <c r="AC212" s="1201" t="s">
        <v>2183</v>
      </c>
      <c r="AD212" s="2381" t="s">
        <v>2184</v>
      </c>
      <c r="AE212" s="2382"/>
      <c r="AF212" s="2383"/>
      <c r="AG212" s="2384"/>
      <c r="AH212" s="1177" t="s">
        <v>2091</v>
      </c>
      <c r="AI212" s="2384"/>
      <c r="AJ212" s="2385"/>
      <c r="AK212" s="2386"/>
      <c r="AL212" s="2387"/>
      <c r="AM212" s="1178" t="s">
        <v>2093</v>
      </c>
      <c r="AN212" s="1179" t="str">
        <f t="shared" si="112"/>
        <v>公：公休（ｈ）、</v>
      </c>
      <c r="AO212" s="1090" t="str">
        <f t="shared" si="113"/>
        <v>公</v>
      </c>
      <c r="AP212" s="1180"/>
      <c r="AQ212" s="1180"/>
      <c r="AR212" s="1181">
        <f t="shared" si="114"/>
        <v>0</v>
      </c>
      <c r="AU212" s="1160"/>
      <c r="AV212" s="1160"/>
    </row>
    <row r="213" spans="1:48" ht="15.9" customHeight="1">
      <c r="A213" s="989"/>
      <c r="E213" s="1198" t="s">
        <v>2185</v>
      </c>
      <c r="F213" s="2366">
        <f t="shared" si="105"/>
        <v>0</v>
      </c>
      <c r="G213" s="2367"/>
      <c r="I213" s="2368">
        <f t="shared" si="106"/>
        <v>0</v>
      </c>
      <c r="J213" s="2368"/>
      <c r="K213" s="2368">
        <f t="shared" si="107"/>
        <v>0</v>
      </c>
      <c r="L213" s="2368"/>
      <c r="M213" s="2369">
        <f t="shared" si="108"/>
        <v>0</v>
      </c>
      <c r="N213" s="2355"/>
      <c r="O213" s="1162" t="s">
        <v>2108</v>
      </c>
      <c r="P213" s="2355">
        <f t="shared" si="109"/>
        <v>0</v>
      </c>
      <c r="Q213" s="2356"/>
      <c r="S213" s="2370">
        <f t="shared" si="110"/>
        <v>0</v>
      </c>
      <c r="T213" s="2371"/>
      <c r="U213" s="1162" t="s">
        <v>2108</v>
      </c>
      <c r="V213" s="2355">
        <f t="shared" si="111"/>
        <v>0</v>
      </c>
      <c r="W213" s="2356"/>
      <c r="Y213" s="1151" t="s">
        <v>2186</v>
      </c>
      <c r="Z213" s="2380"/>
      <c r="AA213" s="2380"/>
      <c r="AB213" s="2380"/>
      <c r="AC213" s="1201" t="s">
        <v>2187</v>
      </c>
      <c r="AD213" s="2381" t="s">
        <v>2188</v>
      </c>
      <c r="AE213" s="2382"/>
      <c r="AF213" s="2383"/>
      <c r="AG213" s="2384"/>
      <c r="AH213" s="1177" t="s">
        <v>2091</v>
      </c>
      <c r="AI213" s="2384"/>
      <c r="AJ213" s="2385"/>
      <c r="AK213" s="2386"/>
      <c r="AL213" s="2387"/>
      <c r="AM213" s="1178" t="s">
        <v>2093</v>
      </c>
      <c r="AN213" s="1179" t="str">
        <f t="shared" si="112"/>
        <v>有：有休（ｈ）、</v>
      </c>
      <c r="AO213" s="1090" t="str">
        <f t="shared" si="113"/>
        <v>有</v>
      </c>
      <c r="AP213" s="1180"/>
      <c r="AQ213" s="1180"/>
      <c r="AR213" s="1181">
        <f t="shared" si="114"/>
        <v>0</v>
      </c>
      <c r="AU213" s="1160"/>
      <c r="AV213" s="1160"/>
    </row>
    <row r="214" spans="1:48" ht="15.9" customHeight="1">
      <c r="A214" s="989"/>
      <c r="E214" s="1198" t="s">
        <v>2189</v>
      </c>
      <c r="F214" s="2366">
        <f t="shared" si="105"/>
        <v>0</v>
      </c>
      <c r="G214" s="2367"/>
      <c r="I214" s="2368">
        <f t="shared" si="106"/>
        <v>0</v>
      </c>
      <c r="J214" s="2368"/>
      <c r="K214" s="2368">
        <f t="shared" si="107"/>
        <v>0</v>
      </c>
      <c r="L214" s="2368"/>
      <c r="M214" s="2369">
        <f t="shared" si="108"/>
        <v>0</v>
      </c>
      <c r="N214" s="2355"/>
      <c r="O214" s="1162" t="s">
        <v>2108</v>
      </c>
      <c r="P214" s="2355">
        <f t="shared" si="109"/>
        <v>0</v>
      </c>
      <c r="Q214" s="2356"/>
      <c r="S214" s="2370">
        <f t="shared" si="110"/>
        <v>0</v>
      </c>
      <c r="T214" s="2371"/>
      <c r="U214" s="1162" t="s">
        <v>2108</v>
      </c>
      <c r="V214" s="2355">
        <f t="shared" si="111"/>
        <v>0</v>
      </c>
      <c r="W214" s="2356"/>
      <c r="Y214" s="1151" t="s">
        <v>2190</v>
      </c>
      <c r="Z214" s="2380"/>
      <c r="AA214" s="2380"/>
      <c r="AB214" s="2380"/>
      <c r="AC214" s="1201" t="s">
        <v>2191</v>
      </c>
      <c r="AD214" s="2381" t="s">
        <v>2192</v>
      </c>
      <c r="AE214" s="2382"/>
      <c r="AF214" s="2383"/>
      <c r="AG214" s="2384"/>
      <c r="AH214" s="1177" t="s">
        <v>2091</v>
      </c>
      <c r="AI214" s="2384"/>
      <c r="AJ214" s="2385"/>
      <c r="AK214" s="2386"/>
      <c r="AL214" s="2387"/>
      <c r="AM214" s="1178" t="s">
        <v>2093</v>
      </c>
      <c r="AN214" s="1179" t="str">
        <f t="shared" si="112"/>
        <v>欠：欠勤（ｈ）、</v>
      </c>
      <c r="AO214" s="1090" t="str">
        <f t="shared" si="113"/>
        <v>欠</v>
      </c>
      <c r="AP214" s="1180"/>
      <c r="AQ214" s="1180"/>
      <c r="AR214" s="1181">
        <f t="shared" si="114"/>
        <v>0</v>
      </c>
      <c r="AU214" s="1160"/>
      <c r="AV214" s="1160"/>
    </row>
    <row r="215" spans="1:48" ht="15.9" customHeight="1">
      <c r="A215" s="989"/>
      <c r="E215" s="1198"/>
      <c r="F215" s="2366" t="str">
        <f t="shared" si="105"/>
        <v/>
      </c>
      <c r="G215" s="2367"/>
      <c r="I215" s="2368">
        <f t="shared" si="106"/>
        <v>0</v>
      </c>
      <c r="J215" s="2368"/>
      <c r="K215" s="2368">
        <f t="shared" si="107"/>
        <v>0</v>
      </c>
      <c r="L215" s="2368"/>
      <c r="M215" s="2369">
        <f t="shared" si="108"/>
        <v>0</v>
      </c>
      <c r="N215" s="2355"/>
      <c r="O215" s="1162" t="s">
        <v>2108</v>
      </c>
      <c r="P215" s="2355">
        <f t="shared" si="109"/>
        <v>0</v>
      </c>
      <c r="Q215" s="2356"/>
      <c r="S215" s="2370">
        <f t="shared" si="110"/>
        <v>0</v>
      </c>
      <c r="T215" s="2371"/>
      <c r="U215" s="1162" t="s">
        <v>2108</v>
      </c>
      <c r="V215" s="2355">
        <f t="shared" si="111"/>
        <v>0</v>
      </c>
      <c r="W215" s="2356"/>
      <c r="Y215" s="1151" t="s">
        <v>2193</v>
      </c>
      <c r="Z215" s="2380"/>
      <c r="AA215" s="2380"/>
      <c r="AB215" s="2380"/>
      <c r="AC215" s="1201" t="s">
        <v>2194</v>
      </c>
      <c r="AD215" s="2381" t="s">
        <v>2195</v>
      </c>
      <c r="AE215" s="2382"/>
      <c r="AF215" s="2383"/>
      <c r="AG215" s="2384"/>
      <c r="AH215" s="1177" t="s">
        <v>2091</v>
      </c>
      <c r="AI215" s="2384"/>
      <c r="AJ215" s="2385"/>
      <c r="AK215" s="2386"/>
      <c r="AL215" s="2387"/>
      <c r="AM215" s="1178" t="s">
        <v>2093</v>
      </c>
      <c r="AN215" s="1179" t="str">
        <f t="shared" si="112"/>
        <v>特：特休（ｈ）、</v>
      </c>
      <c r="AO215" s="1090" t="str">
        <f t="shared" si="113"/>
        <v>特</v>
      </c>
      <c r="AP215" s="1180"/>
      <c r="AQ215" s="1180"/>
      <c r="AR215" s="1181">
        <f t="shared" si="114"/>
        <v>0</v>
      </c>
      <c r="AU215" s="1160"/>
      <c r="AV215" s="1160"/>
    </row>
    <row r="216" spans="1:48" ht="15.9" customHeight="1">
      <c r="A216" s="989"/>
      <c r="E216" s="1198"/>
      <c r="F216" s="2366" t="str">
        <f t="shared" si="105"/>
        <v/>
      </c>
      <c r="G216" s="2367"/>
      <c r="I216" s="2368">
        <f t="shared" si="106"/>
        <v>0</v>
      </c>
      <c r="J216" s="2368"/>
      <c r="K216" s="2368">
        <f t="shared" si="107"/>
        <v>0</v>
      </c>
      <c r="L216" s="2368"/>
      <c r="M216" s="2369">
        <f t="shared" si="108"/>
        <v>0</v>
      </c>
      <c r="N216" s="2355"/>
      <c r="O216" s="1162" t="s">
        <v>2108</v>
      </c>
      <c r="P216" s="2355">
        <f t="shared" si="109"/>
        <v>0</v>
      </c>
      <c r="Q216" s="2356"/>
      <c r="S216" s="2370">
        <f t="shared" si="110"/>
        <v>0</v>
      </c>
      <c r="T216" s="2371"/>
      <c r="U216" s="1162" t="s">
        <v>2108</v>
      </c>
      <c r="V216" s="2355">
        <f t="shared" si="111"/>
        <v>0</v>
      </c>
      <c r="W216" s="2356"/>
      <c r="Y216" s="1151" t="s">
        <v>2196</v>
      </c>
      <c r="Z216" s="2380"/>
      <c r="AA216" s="2380"/>
      <c r="AB216" s="2380"/>
      <c r="AC216" s="1201" t="s">
        <v>2197</v>
      </c>
      <c r="AD216" s="2381"/>
      <c r="AE216" s="2382"/>
      <c r="AF216" s="2383"/>
      <c r="AG216" s="2384"/>
      <c r="AH216" s="1177" t="s">
        <v>2091</v>
      </c>
      <c r="AI216" s="2384"/>
      <c r="AJ216" s="2385"/>
      <c r="AK216" s="2386"/>
      <c r="AL216" s="2387"/>
      <c r="AM216" s="1178" t="s">
        <v>2093</v>
      </c>
      <c r="AN216" s="1179" t="str">
        <f t="shared" si="112"/>
        <v>-：（ｈ）、</v>
      </c>
      <c r="AO216" s="1090" t="str">
        <f t="shared" si="113"/>
        <v>-</v>
      </c>
      <c r="AP216" s="1180"/>
      <c r="AQ216" s="1180"/>
      <c r="AR216" s="1181">
        <f t="shared" si="114"/>
        <v>0</v>
      </c>
      <c r="AU216" s="1160"/>
      <c r="AV216" s="1160"/>
    </row>
    <row r="217" spans="1:48" ht="15.9" customHeight="1">
      <c r="A217" s="989"/>
      <c r="E217" s="1198"/>
      <c r="F217" s="2366" t="str">
        <f t="shared" si="105"/>
        <v/>
      </c>
      <c r="G217" s="2367"/>
      <c r="I217" s="2368">
        <f t="shared" si="106"/>
        <v>0</v>
      </c>
      <c r="J217" s="2368"/>
      <c r="K217" s="2368">
        <f t="shared" si="107"/>
        <v>0</v>
      </c>
      <c r="L217" s="2368"/>
      <c r="M217" s="2369">
        <f t="shared" si="108"/>
        <v>0</v>
      </c>
      <c r="N217" s="2355"/>
      <c r="O217" s="1162" t="s">
        <v>2108</v>
      </c>
      <c r="P217" s="2355">
        <f t="shared" si="109"/>
        <v>0</v>
      </c>
      <c r="Q217" s="2356"/>
      <c r="S217" s="2370">
        <f t="shared" si="110"/>
        <v>0</v>
      </c>
      <c r="T217" s="2371"/>
      <c r="U217" s="1162" t="s">
        <v>2108</v>
      </c>
      <c r="V217" s="2355">
        <f t="shared" si="111"/>
        <v>0</v>
      </c>
      <c r="W217" s="2356"/>
      <c r="Y217" s="1151" t="s">
        <v>2198</v>
      </c>
      <c r="Z217" s="2380"/>
      <c r="AA217" s="2380"/>
      <c r="AB217" s="2380"/>
      <c r="AC217" s="1201" t="s">
        <v>2197</v>
      </c>
      <c r="AD217" s="2381"/>
      <c r="AE217" s="2382"/>
      <c r="AF217" s="2383"/>
      <c r="AG217" s="2384"/>
      <c r="AH217" s="1177" t="s">
        <v>2091</v>
      </c>
      <c r="AI217" s="2384"/>
      <c r="AJ217" s="2385"/>
      <c r="AK217" s="2386"/>
      <c r="AL217" s="2387"/>
      <c r="AM217" s="1178" t="s">
        <v>2093</v>
      </c>
      <c r="AN217" s="1179" t="str">
        <f t="shared" si="112"/>
        <v>-：（ｈ）、</v>
      </c>
      <c r="AO217" s="1090" t="str">
        <f t="shared" si="113"/>
        <v>-</v>
      </c>
      <c r="AP217" s="1180"/>
      <c r="AQ217" s="1180"/>
      <c r="AR217" s="1181">
        <f t="shared" si="114"/>
        <v>0</v>
      </c>
      <c r="AU217" s="1160"/>
      <c r="AV217" s="1160"/>
    </row>
    <row r="218" spans="1:48" ht="15.9" customHeight="1">
      <c r="A218" s="989"/>
      <c r="E218" s="1198"/>
      <c r="F218" s="2366" t="str">
        <f t="shared" si="105"/>
        <v/>
      </c>
      <c r="G218" s="2367"/>
      <c r="I218" s="2368">
        <f t="shared" si="106"/>
        <v>0</v>
      </c>
      <c r="J218" s="2368"/>
      <c r="K218" s="2368">
        <f t="shared" si="107"/>
        <v>0</v>
      </c>
      <c r="L218" s="2368"/>
      <c r="M218" s="2369">
        <f t="shared" si="108"/>
        <v>0</v>
      </c>
      <c r="N218" s="2355"/>
      <c r="O218" s="1162" t="s">
        <v>2108</v>
      </c>
      <c r="P218" s="2355">
        <f t="shared" si="109"/>
        <v>0</v>
      </c>
      <c r="Q218" s="2356"/>
      <c r="S218" s="2370">
        <f t="shared" si="110"/>
        <v>0</v>
      </c>
      <c r="T218" s="2371"/>
      <c r="U218" s="1162" t="s">
        <v>2108</v>
      </c>
      <c r="V218" s="2355">
        <f t="shared" si="111"/>
        <v>0</v>
      </c>
      <c r="W218" s="2356"/>
      <c r="Y218" s="1151" t="s">
        <v>2199</v>
      </c>
      <c r="Z218" s="2380"/>
      <c r="AA218" s="2380"/>
      <c r="AB218" s="2380"/>
      <c r="AC218" s="1201" t="s">
        <v>2197</v>
      </c>
      <c r="AD218" s="2381"/>
      <c r="AE218" s="2382"/>
      <c r="AF218" s="2383"/>
      <c r="AG218" s="2384"/>
      <c r="AH218" s="1177" t="s">
        <v>2091</v>
      </c>
      <c r="AI218" s="2384"/>
      <c r="AJ218" s="2385"/>
      <c r="AK218" s="2386"/>
      <c r="AL218" s="2387"/>
      <c r="AM218" s="1178" t="s">
        <v>2093</v>
      </c>
      <c r="AN218" s="1179" t="str">
        <f t="shared" si="112"/>
        <v>-：（ｈ）、</v>
      </c>
      <c r="AO218" s="1090" t="str">
        <f t="shared" si="113"/>
        <v>-</v>
      </c>
      <c r="AP218" s="1180"/>
      <c r="AQ218" s="1180"/>
      <c r="AR218" s="1181">
        <f t="shared" si="114"/>
        <v>0</v>
      </c>
      <c r="AU218" s="1160"/>
      <c r="AV218" s="1160"/>
    </row>
    <row r="219" spans="1:48" ht="15.9" customHeight="1">
      <c r="A219" s="989"/>
      <c r="E219" s="1198"/>
      <c r="F219" s="2366" t="str">
        <f t="shared" si="105"/>
        <v/>
      </c>
      <c r="G219" s="2367"/>
      <c r="I219" s="2368">
        <f t="shared" si="106"/>
        <v>0</v>
      </c>
      <c r="J219" s="2368"/>
      <c r="K219" s="2368">
        <f t="shared" si="107"/>
        <v>0</v>
      </c>
      <c r="L219" s="2368"/>
      <c r="M219" s="2369">
        <f t="shared" si="108"/>
        <v>0</v>
      </c>
      <c r="N219" s="2355"/>
      <c r="O219" s="1162" t="s">
        <v>2108</v>
      </c>
      <c r="P219" s="2355">
        <f t="shared" si="109"/>
        <v>0</v>
      </c>
      <c r="Q219" s="2356"/>
      <c r="S219" s="2370">
        <f t="shared" si="110"/>
        <v>0</v>
      </c>
      <c r="T219" s="2371"/>
      <c r="U219" s="1162" t="s">
        <v>2108</v>
      </c>
      <c r="V219" s="2355">
        <f t="shared" si="111"/>
        <v>0</v>
      </c>
      <c r="W219" s="2356"/>
      <c r="Y219" s="1151" t="s">
        <v>2200</v>
      </c>
      <c r="Z219" s="2380"/>
      <c r="AA219" s="2380"/>
      <c r="AB219" s="2380"/>
      <c r="AC219" s="1201" t="s">
        <v>2197</v>
      </c>
      <c r="AD219" s="2381"/>
      <c r="AE219" s="2382"/>
      <c r="AF219" s="2383"/>
      <c r="AG219" s="2384"/>
      <c r="AH219" s="1177" t="s">
        <v>2091</v>
      </c>
      <c r="AI219" s="2384"/>
      <c r="AJ219" s="2385"/>
      <c r="AK219" s="2386"/>
      <c r="AL219" s="2387"/>
      <c r="AM219" s="1178" t="s">
        <v>2093</v>
      </c>
      <c r="AN219" s="1179" t="str">
        <f t="shared" si="112"/>
        <v>-：（ｈ）、</v>
      </c>
      <c r="AO219" s="1090" t="str">
        <f t="shared" si="113"/>
        <v>-</v>
      </c>
      <c r="AP219" s="1180"/>
      <c r="AQ219" s="1180"/>
      <c r="AR219" s="1181">
        <f t="shared" si="114"/>
        <v>0</v>
      </c>
      <c r="AU219" s="1160"/>
      <c r="AV219" s="1160"/>
    </row>
    <row r="220" spans="1:48" ht="15.9" customHeight="1">
      <c r="A220" s="989"/>
      <c r="E220" s="1203"/>
      <c r="F220" s="2366" t="str">
        <f t="shared" si="105"/>
        <v/>
      </c>
      <c r="G220" s="2367"/>
      <c r="I220" s="2368">
        <f t="shared" si="106"/>
        <v>0</v>
      </c>
      <c r="J220" s="2368"/>
      <c r="K220" s="2368">
        <f t="shared" si="107"/>
        <v>0</v>
      </c>
      <c r="L220" s="2368"/>
      <c r="M220" s="2369">
        <f t="shared" si="108"/>
        <v>0</v>
      </c>
      <c r="N220" s="2355"/>
      <c r="O220" s="1162" t="s">
        <v>2108</v>
      </c>
      <c r="P220" s="2355">
        <f t="shared" si="109"/>
        <v>0</v>
      </c>
      <c r="Q220" s="2356"/>
      <c r="S220" s="2370">
        <f t="shared" si="110"/>
        <v>0</v>
      </c>
      <c r="T220" s="2371"/>
      <c r="U220" s="1162" t="s">
        <v>2108</v>
      </c>
      <c r="V220" s="2355">
        <f t="shared" si="111"/>
        <v>0</v>
      </c>
      <c r="W220" s="2356"/>
      <c r="Y220" s="1151" t="s">
        <v>2201</v>
      </c>
      <c r="Z220" s="2380"/>
      <c r="AA220" s="2380"/>
      <c r="AB220" s="2380"/>
      <c r="AC220" s="1201" t="s">
        <v>2197</v>
      </c>
      <c r="AD220" s="2381"/>
      <c r="AE220" s="2382"/>
      <c r="AF220" s="2383"/>
      <c r="AG220" s="2384"/>
      <c r="AH220" s="1177" t="s">
        <v>2091</v>
      </c>
      <c r="AI220" s="2384"/>
      <c r="AJ220" s="2385"/>
      <c r="AK220" s="2386"/>
      <c r="AL220" s="2387"/>
      <c r="AM220" s="1178" t="s">
        <v>2093</v>
      </c>
      <c r="AN220" s="1179" t="str">
        <f t="shared" si="112"/>
        <v>-：（ｈ）、</v>
      </c>
      <c r="AO220" s="1090" t="str">
        <f t="shared" si="113"/>
        <v>-</v>
      </c>
      <c r="AP220" s="1180"/>
      <c r="AQ220" s="1180"/>
      <c r="AR220" s="1181">
        <f t="shared" si="114"/>
        <v>0</v>
      </c>
      <c r="AU220" s="1160"/>
      <c r="AV220" s="1160"/>
    </row>
    <row r="221" spans="1:48" ht="15.9" customHeight="1">
      <c r="A221" s="989"/>
      <c r="E221" s="1204"/>
      <c r="F221" s="2399" t="str">
        <f t="shared" si="105"/>
        <v/>
      </c>
      <c r="G221" s="2400"/>
      <c r="I221" s="2401">
        <f t="shared" si="106"/>
        <v>0</v>
      </c>
      <c r="J221" s="2401"/>
      <c r="K221" s="2401">
        <f t="shared" si="107"/>
        <v>0</v>
      </c>
      <c r="L221" s="2401"/>
      <c r="M221" s="2402">
        <f t="shared" si="108"/>
        <v>0</v>
      </c>
      <c r="N221" s="2389"/>
      <c r="O221" s="1185" t="s">
        <v>2108</v>
      </c>
      <c r="P221" s="2389">
        <f t="shared" si="109"/>
        <v>0</v>
      </c>
      <c r="Q221" s="2390"/>
      <c r="S221" s="2403">
        <f t="shared" si="110"/>
        <v>0</v>
      </c>
      <c r="T221" s="2404"/>
      <c r="U221" s="1185" t="s">
        <v>2108</v>
      </c>
      <c r="V221" s="2389">
        <f t="shared" si="111"/>
        <v>0</v>
      </c>
      <c r="W221" s="2390"/>
      <c r="Y221" s="1151" t="s">
        <v>2202</v>
      </c>
      <c r="Z221" s="2391"/>
      <c r="AA221" s="2391"/>
      <c r="AB221" s="2391"/>
      <c r="AC221" s="1205" t="s">
        <v>2197</v>
      </c>
      <c r="AD221" s="2392"/>
      <c r="AE221" s="2393"/>
      <c r="AF221" s="2394"/>
      <c r="AG221" s="2395"/>
      <c r="AH221" s="1187" t="s">
        <v>2091</v>
      </c>
      <c r="AI221" s="2395"/>
      <c r="AJ221" s="2396"/>
      <c r="AK221" s="2397"/>
      <c r="AL221" s="2398"/>
      <c r="AM221" s="1188" t="s">
        <v>2093</v>
      </c>
      <c r="AN221" s="1189" t="str">
        <f t="shared" si="112"/>
        <v>-：（ｈ）、</v>
      </c>
      <c r="AO221" s="1090" t="str">
        <f t="shared" si="113"/>
        <v>-</v>
      </c>
      <c r="AP221" s="1190"/>
      <c r="AQ221" s="1190"/>
      <c r="AR221" s="1191">
        <f t="shared" si="114"/>
        <v>0</v>
      </c>
      <c r="AU221" s="1160"/>
      <c r="AV221" s="1160"/>
    </row>
    <row r="222" spans="1:48">
      <c r="A222" s="989"/>
      <c r="AF222" s="2388" t="s">
        <v>2203</v>
      </c>
      <c r="AG222" s="2388"/>
      <c r="AH222" s="2388"/>
      <c r="AI222" s="2388"/>
      <c r="AJ222" s="2388"/>
    </row>
    <row r="223" spans="1:48">
      <c r="A223" s="989"/>
    </row>
    <row r="224" spans="1:48">
      <c r="A224" s="989"/>
      <c r="T224" s="994"/>
    </row>
  </sheetData>
  <mergeCells count="672">
    <mergeCell ref="AF222:AJ222"/>
    <mergeCell ref="V221:W221"/>
    <mergeCell ref="Z221:AB221"/>
    <mergeCell ref="AD221:AE221"/>
    <mergeCell ref="AF221:AG221"/>
    <mergeCell ref="AI221:AJ221"/>
    <mergeCell ref="AK221:AL221"/>
    <mergeCell ref="F221:G221"/>
    <mergeCell ref="I221:J221"/>
    <mergeCell ref="K221:L221"/>
    <mergeCell ref="M221:N221"/>
    <mergeCell ref="P221:Q221"/>
    <mergeCell ref="S221:T221"/>
    <mergeCell ref="V220:W220"/>
    <mergeCell ref="Z220:AB220"/>
    <mergeCell ref="AD220:AE220"/>
    <mergeCell ref="AF220:AG220"/>
    <mergeCell ref="AI220:AJ220"/>
    <mergeCell ref="AK220:AL220"/>
    <mergeCell ref="F220:G220"/>
    <mergeCell ref="I220:J220"/>
    <mergeCell ref="K220:L220"/>
    <mergeCell ref="M220:N220"/>
    <mergeCell ref="P220:Q220"/>
    <mergeCell ref="S220:T220"/>
    <mergeCell ref="V219:W219"/>
    <mergeCell ref="Z219:AB219"/>
    <mergeCell ref="AD219:AE219"/>
    <mergeCell ref="AF219:AG219"/>
    <mergeCell ref="AI219:AJ219"/>
    <mergeCell ref="AK219:AL219"/>
    <mergeCell ref="F219:G219"/>
    <mergeCell ref="I219:J219"/>
    <mergeCell ref="K219:L219"/>
    <mergeCell ref="M219:N219"/>
    <mergeCell ref="P219:Q219"/>
    <mergeCell ref="S219:T219"/>
    <mergeCell ref="V218:W218"/>
    <mergeCell ref="Z218:AB218"/>
    <mergeCell ref="AD218:AE218"/>
    <mergeCell ref="AF218:AG218"/>
    <mergeCell ref="AI218:AJ218"/>
    <mergeCell ref="AK218:AL218"/>
    <mergeCell ref="F218:G218"/>
    <mergeCell ref="I218:J218"/>
    <mergeCell ref="K218:L218"/>
    <mergeCell ref="M218:N218"/>
    <mergeCell ref="P218:Q218"/>
    <mergeCell ref="S218:T218"/>
    <mergeCell ref="V217:W217"/>
    <mergeCell ref="Z217:AB217"/>
    <mergeCell ref="AD217:AE217"/>
    <mergeCell ref="AF217:AG217"/>
    <mergeCell ref="AI217:AJ217"/>
    <mergeCell ref="AK217:AL217"/>
    <mergeCell ref="F217:G217"/>
    <mergeCell ref="I217:J217"/>
    <mergeCell ref="K217:L217"/>
    <mergeCell ref="M217:N217"/>
    <mergeCell ref="P217:Q217"/>
    <mergeCell ref="S217:T217"/>
    <mergeCell ref="V216:W216"/>
    <mergeCell ref="Z216:AB216"/>
    <mergeCell ref="AD216:AE216"/>
    <mergeCell ref="AF216:AG216"/>
    <mergeCell ref="AI216:AJ216"/>
    <mergeCell ref="AK216:AL216"/>
    <mergeCell ref="F216:G216"/>
    <mergeCell ref="I216:J216"/>
    <mergeCell ref="K216:L216"/>
    <mergeCell ref="M216:N216"/>
    <mergeCell ref="P216:Q216"/>
    <mergeCell ref="S216:T216"/>
    <mergeCell ref="V215:W215"/>
    <mergeCell ref="Z215:AB215"/>
    <mergeCell ref="AD215:AE215"/>
    <mergeCell ref="AF215:AG215"/>
    <mergeCell ref="AI215:AJ215"/>
    <mergeCell ref="AK215:AL215"/>
    <mergeCell ref="F215:G215"/>
    <mergeCell ref="I215:J215"/>
    <mergeCell ref="K215:L215"/>
    <mergeCell ref="M215:N215"/>
    <mergeCell ref="P215:Q215"/>
    <mergeCell ref="S215:T215"/>
    <mergeCell ref="V214:W214"/>
    <mergeCell ref="Z214:AB214"/>
    <mergeCell ref="AD214:AE214"/>
    <mergeCell ref="AF214:AG214"/>
    <mergeCell ref="AI214:AJ214"/>
    <mergeCell ref="AK214:AL214"/>
    <mergeCell ref="F214:G214"/>
    <mergeCell ref="I214:J214"/>
    <mergeCell ref="K214:L214"/>
    <mergeCell ref="M214:N214"/>
    <mergeCell ref="P214:Q214"/>
    <mergeCell ref="S214:T214"/>
    <mergeCell ref="V213:W213"/>
    <mergeCell ref="Z213:AB213"/>
    <mergeCell ref="AD213:AE213"/>
    <mergeCell ref="AF213:AG213"/>
    <mergeCell ref="AI213:AJ213"/>
    <mergeCell ref="AK213:AL213"/>
    <mergeCell ref="F213:G213"/>
    <mergeCell ref="I213:J213"/>
    <mergeCell ref="K213:L213"/>
    <mergeCell ref="M213:N213"/>
    <mergeCell ref="P213:Q213"/>
    <mergeCell ref="S213:T213"/>
    <mergeCell ref="V212:W212"/>
    <mergeCell ref="Z212:AB212"/>
    <mergeCell ref="AD212:AE212"/>
    <mergeCell ref="AF212:AG212"/>
    <mergeCell ref="AI212:AJ212"/>
    <mergeCell ref="AK212:AL212"/>
    <mergeCell ref="F212:G212"/>
    <mergeCell ref="I212:J212"/>
    <mergeCell ref="K212:L212"/>
    <mergeCell ref="M212:N212"/>
    <mergeCell ref="P212:Q212"/>
    <mergeCell ref="S212:T212"/>
    <mergeCell ref="V211:W211"/>
    <mergeCell ref="Z211:AB211"/>
    <mergeCell ref="AD211:AE211"/>
    <mergeCell ref="AF211:AG211"/>
    <mergeCell ref="AI211:AJ211"/>
    <mergeCell ref="AK211:AL211"/>
    <mergeCell ref="F211:G211"/>
    <mergeCell ref="I211:J211"/>
    <mergeCell ref="K211:L211"/>
    <mergeCell ref="M211:N211"/>
    <mergeCell ref="P211:Q211"/>
    <mergeCell ref="S211:T211"/>
    <mergeCell ref="V210:W210"/>
    <mergeCell ref="Z210:AB210"/>
    <mergeCell ref="AD210:AE210"/>
    <mergeCell ref="AF210:AG210"/>
    <mergeCell ref="AI210:AJ210"/>
    <mergeCell ref="AK210:AL210"/>
    <mergeCell ref="F210:G210"/>
    <mergeCell ref="I210:J210"/>
    <mergeCell ref="K210:L210"/>
    <mergeCell ref="M210:N210"/>
    <mergeCell ref="P210:Q210"/>
    <mergeCell ref="S210:T210"/>
    <mergeCell ref="V209:W209"/>
    <mergeCell ref="Z209:AB209"/>
    <mergeCell ref="AD209:AE209"/>
    <mergeCell ref="AF209:AG209"/>
    <mergeCell ref="AI209:AJ209"/>
    <mergeCell ref="AK209:AL209"/>
    <mergeCell ref="F209:G209"/>
    <mergeCell ref="I209:J209"/>
    <mergeCell ref="K209:L209"/>
    <mergeCell ref="M209:N209"/>
    <mergeCell ref="P209:Q209"/>
    <mergeCell ref="S209:T209"/>
    <mergeCell ref="V208:W208"/>
    <mergeCell ref="Z208:AB208"/>
    <mergeCell ref="AD208:AE208"/>
    <mergeCell ref="AF208:AG208"/>
    <mergeCell ref="AI208:AJ208"/>
    <mergeCell ref="AK208:AL208"/>
    <mergeCell ref="F208:G208"/>
    <mergeCell ref="I208:J208"/>
    <mergeCell ref="K208:L208"/>
    <mergeCell ref="M208:N208"/>
    <mergeCell ref="P208:Q208"/>
    <mergeCell ref="S208:T208"/>
    <mergeCell ref="V207:W207"/>
    <mergeCell ref="Z207:AB207"/>
    <mergeCell ref="AD207:AE207"/>
    <mergeCell ref="AF207:AG207"/>
    <mergeCell ref="AI207:AJ207"/>
    <mergeCell ref="AK207:AL207"/>
    <mergeCell ref="F207:G207"/>
    <mergeCell ref="I207:J207"/>
    <mergeCell ref="K207:L207"/>
    <mergeCell ref="M207:N207"/>
    <mergeCell ref="P207:Q207"/>
    <mergeCell ref="S207:T207"/>
    <mergeCell ref="V206:W206"/>
    <mergeCell ref="Z206:AB206"/>
    <mergeCell ref="AD206:AE206"/>
    <mergeCell ref="AF206:AG206"/>
    <mergeCell ref="AI206:AJ206"/>
    <mergeCell ref="AK206:AL206"/>
    <mergeCell ref="F206:G206"/>
    <mergeCell ref="I206:J206"/>
    <mergeCell ref="K206:L206"/>
    <mergeCell ref="M206:N206"/>
    <mergeCell ref="P206:Q206"/>
    <mergeCell ref="S206:T206"/>
    <mergeCell ref="V205:W205"/>
    <mergeCell ref="Z205:AB205"/>
    <mergeCell ref="AD205:AE205"/>
    <mergeCell ref="AF205:AG205"/>
    <mergeCell ref="AI205:AJ205"/>
    <mergeCell ref="AK205:AL205"/>
    <mergeCell ref="F205:G205"/>
    <mergeCell ref="I205:J205"/>
    <mergeCell ref="K205:L205"/>
    <mergeCell ref="M205:N205"/>
    <mergeCell ref="P205:Q205"/>
    <mergeCell ref="S205:T205"/>
    <mergeCell ref="V204:W204"/>
    <mergeCell ref="Z204:AB204"/>
    <mergeCell ref="AD204:AE204"/>
    <mergeCell ref="AF204:AG204"/>
    <mergeCell ref="AI204:AJ204"/>
    <mergeCell ref="AK204:AL204"/>
    <mergeCell ref="F204:G204"/>
    <mergeCell ref="I204:J204"/>
    <mergeCell ref="K204:L204"/>
    <mergeCell ref="M204:N204"/>
    <mergeCell ref="P204:Q204"/>
    <mergeCell ref="S204:T204"/>
    <mergeCell ref="V203:W203"/>
    <mergeCell ref="Z203:AB203"/>
    <mergeCell ref="AD203:AE203"/>
    <mergeCell ref="AF203:AG203"/>
    <mergeCell ref="AI203:AJ203"/>
    <mergeCell ref="AK203:AL203"/>
    <mergeCell ref="F203:G203"/>
    <mergeCell ref="I203:J203"/>
    <mergeCell ref="K203:L203"/>
    <mergeCell ref="M203:N203"/>
    <mergeCell ref="P203:Q203"/>
    <mergeCell ref="S203:T203"/>
    <mergeCell ref="V202:W202"/>
    <mergeCell ref="Z202:AB202"/>
    <mergeCell ref="AD202:AE202"/>
    <mergeCell ref="AF202:AG202"/>
    <mergeCell ref="AI202:AJ202"/>
    <mergeCell ref="AK202:AL202"/>
    <mergeCell ref="F202:G202"/>
    <mergeCell ref="I202:J202"/>
    <mergeCell ref="K202:L202"/>
    <mergeCell ref="M202:N202"/>
    <mergeCell ref="P202:Q202"/>
    <mergeCell ref="S202:T202"/>
    <mergeCell ref="V201:W201"/>
    <mergeCell ref="Z201:AB201"/>
    <mergeCell ref="AD201:AE201"/>
    <mergeCell ref="AF201:AG201"/>
    <mergeCell ref="AI201:AJ201"/>
    <mergeCell ref="AK201:AL201"/>
    <mergeCell ref="F201:G201"/>
    <mergeCell ref="I201:J201"/>
    <mergeCell ref="K201:L201"/>
    <mergeCell ref="M201:N201"/>
    <mergeCell ref="P201:Q201"/>
    <mergeCell ref="S201:T201"/>
    <mergeCell ref="V200:W200"/>
    <mergeCell ref="Z200:AB200"/>
    <mergeCell ref="AD200:AE200"/>
    <mergeCell ref="AF200:AG200"/>
    <mergeCell ref="AI200:AJ200"/>
    <mergeCell ref="AK200:AL200"/>
    <mergeCell ref="F200:G200"/>
    <mergeCell ref="I200:J200"/>
    <mergeCell ref="K200:L200"/>
    <mergeCell ref="M200:N200"/>
    <mergeCell ref="P200:Q200"/>
    <mergeCell ref="S200:T200"/>
    <mergeCell ref="V199:W199"/>
    <mergeCell ref="Z199:AB199"/>
    <mergeCell ref="AD199:AE199"/>
    <mergeCell ref="AF199:AG199"/>
    <mergeCell ref="AI199:AJ199"/>
    <mergeCell ref="AK199:AL199"/>
    <mergeCell ref="F199:G199"/>
    <mergeCell ref="I199:J199"/>
    <mergeCell ref="K199:L199"/>
    <mergeCell ref="M199:N199"/>
    <mergeCell ref="P199:Q199"/>
    <mergeCell ref="S199:T199"/>
    <mergeCell ref="V198:W198"/>
    <mergeCell ref="Z198:AB198"/>
    <mergeCell ref="AD198:AE198"/>
    <mergeCell ref="AF198:AG198"/>
    <mergeCell ref="AI198:AJ198"/>
    <mergeCell ref="AK198:AL198"/>
    <mergeCell ref="F198:G198"/>
    <mergeCell ref="I198:J198"/>
    <mergeCell ref="K198:L198"/>
    <mergeCell ref="M198:N198"/>
    <mergeCell ref="P198:Q198"/>
    <mergeCell ref="S198:T198"/>
    <mergeCell ref="V197:W197"/>
    <mergeCell ref="Z197:AB197"/>
    <mergeCell ref="AD197:AE197"/>
    <mergeCell ref="AF197:AG197"/>
    <mergeCell ref="AI197:AJ197"/>
    <mergeCell ref="AK197:AL197"/>
    <mergeCell ref="F197:G197"/>
    <mergeCell ref="I197:J197"/>
    <mergeCell ref="K197:L197"/>
    <mergeCell ref="M197:N197"/>
    <mergeCell ref="P197:Q197"/>
    <mergeCell ref="S197:T197"/>
    <mergeCell ref="S196:W196"/>
    <mergeCell ref="Z196:AB196"/>
    <mergeCell ref="AC196:AE196"/>
    <mergeCell ref="AF196:AJ196"/>
    <mergeCell ref="AK196:AM196"/>
    <mergeCell ref="AP196:AR196"/>
    <mergeCell ref="L193:M193"/>
    <mergeCell ref="N193:O193"/>
    <mergeCell ref="F196:G196"/>
    <mergeCell ref="I196:J196"/>
    <mergeCell ref="K196:L196"/>
    <mergeCell ref="M196:Q196"/>
    <mergeCell ref="AD192:AE193"/>
    <mergeCell ref="AF192:AG193"/>
    <mergeCell ref="AH192:AH193"/>
    <mergeCell ref="AI192:AJ193"/>
    <mergeCell ref="AK192:AL193"/>
    <mergeCell ref="AM192:AM193"/>
    <mergeCell ref="AI176:AM176"/>
    <mergeCell ref="AN176:AO176"/>
    <mergeCell ref="C192:E193"/>
    <mergeCell ref="G192:H192"/>
    <mergeCell ref="I192:J192"/>
    <mergeCell ref="L192:M192"/>
    <mergeCell ref="N192:O192"/>
    <mergeCell ref="Q192:R192"/>
    <mergeCell ref="Z192:AB193"/>
    <mergeCell ref="AC192:AC193"/>
    <mergeCell ref="C173:E173"/>
    <mergeCell ref="AN173:AO173"/>
    <mergeCell ref="C174:E174"/>
    <mergeCell ref="AN174:AO174"/>
    <mergeCell ref="C175:E175"/>
    <mergeCell ref="AN175:AO175"/>
    <mergeCell ref="C170:E170"/>
    <mergeCell ref="AN170:AO170"/>
    <mergeCell ref="C171:E171"/>
    <mergeCell ref="AN171:AO171"/>
    <mergeCell ref="C172:E172"/>
    <mergeCell ref="AN172:AO172"/>
    <mergeCell ref="C167:E167"/>
    <mergeCell ref="AN167:AO167"/>
    <mergeCell ref="C168:E168"/>
    <mergeCell ref="AN168:AO168"/>
    <mergeCell ref="C169:E169"/>
    <mergeCell ref="AN169:AO169"/>
    <mergeCell ref="C164:E164"/>
    <mergeCell ref="AN164:AO164"/>
    <mergeCell ref="C165:E165"/>
    <mergeCell ref="AN165:AO165"/>
    <mergeCell ref="C166:E166"/>
    <mergeCell ref="AN166:AO166"/>
    <mergeCell ref="C161:E161"/>
    <mergeCell ref="AN161:AO161"/>
    <mergeCell ref="C162:E162"/>
    <mergeCell ref="AN162:AO162"/>
    <mergeCell ref="C163:E163"/>
    <mergeCell ref="AN163:AO163"/>
    <mergeCell ref="C158:E158"/>
    <mergeCell ref="AN158:AO158"/>
    <mergeCell ref="C159:E159"/>
    <mergeCell ref="AN159:AO159"/>
    <mergeCell ref="C160:E160"/>
    <mergeCell ref="AN160:AO160"/>
    <mergeCell ref="C155:E155"/>
    <mergeCell ref="AN155:AO155"/>
    <mergeCell ref="C156:E156"/>
    <mergeCell ref="AN156:AO156"/>
    <mergeCell ref="C157:E157"/>
    <mergeCell ref="AN157:AO157"/>
    <mergeCell ref="C152:E152"/>
    <mergeCell ref="AN152:AO152"/>
    <mergeCell ref="C153:E153"/>
    <mergeCell ref="AN153:AO153"/>
    <mergeCell ref="C154:E154"/>
    <mergeCell ref="AN154:AO154"/>
    <mergeCell ref="AG148:AH148"/>
    <mergeCell ref="AJ148:AK148"/>
    <mergeCell ref="AN149:AO149"/>
    <mergeCell ref="C150:F150"/>
    <mergeCell ref="AN150:AO150"/>
    <mergeCell ref="C151:E151"/>
    <mergeCell ref="AN151:AO151"/>
    <mergeCell ref="G148:I148"/>
    <mergeCell ref="M148:N148"/>
    <mergeCell ref="Q148:R148"/>
    <mergeCell ref="U148:V148"/>
    <mergeCell ref="Y148:AA148"/>
    <mergeCell ref="AD148:AE148"/>
    <mergeCell ref="C140:C141"/>
    <mergeCell ref="D140:D141"/>
    <mergeCell ref="E140:E141"/>
    <mergeCell ref="C143:E143"/>
    <mergeCell ref="Y146:AB146"/>
    <mergeCell ref="AD146:AL147"/>
    <mergeCell ref="F147:I147"/>
    <mergeCell ref="L147:O147"/>
    <mergeCell ref="S147:W147"/>
    <mergeCell ref="Y147:AB147"/>
    <mergeCell ref="B136:B137"/>
    <mergeCell ref="C136:C137"/>
    <mergeCell ref="D136:D137"/>
    <mergeCell ref="E136:E137"/>
    <mergeCell ref="B138:B139"/>
    <mergeCell ref="C138:C139"/>
    <mergeCell ref="D138:D139"/>
    <mergeCell ref="E138:E139"/>
    <mergeCell ref="B132:B133"/>
    <mergeCell ref="C132:C133"/>
    <mergeCell ref="D132:D133"/>
    <mergeCell ref="E132:E133"/>
    <mergeCell ref="B134:B135"/>
    <mergeCell ref="C134:C135"/>
    <mergeCell ref="D134:D135"/>
    <mergeCell ref="E134:E135"/>
    <mergeCell ref="B128:B129"/>
    <mergeCell ref="C128:C129"/>
    <mergeCell ref="D128:D129"/>
    <mergeCell ref="E128:E129"/>
    <mergeCell ref="B130:B131"/>
    <mergeCell ref="C130:C131"/>
    <mergeCell ref="D130:D131"/>
    <mergeCell ref="E130:E131"/>
    <mergeCell ref="B124:B125"/>
    <mergeCell ref="C124:C125"/>
    <mergeCell ref="D124:D125"/>
    <mergeCell ref="E124:E125"/>
    <mergeCell ref="B126:B127"/>
    <mergeCell ref="C126:C127"/>
    <mergeCell ref="D126:D127"/>
    <mergeCell ref="E126:E127"/>
    <mergeCell ref="B120:B121"/>
    <mergeCell ref="C120:C121"/>
    <mergeCell ref="D120:D121"/>
    <mergeCell ref="E120:E121"/>
    <mergeCell ref="B122:B123"/>
    <mergeCell ref="C122:C123"/>
    <mergeCell ref="D122:D123"/>
    <mergeCell ref="E122:E123"/>
    <mergeCell ref="B116:B117"/>
    <mergeCell ref="C116:C117"/>
    <mergeCell ref="D116:D117"/>
    <mergeCell ref="E116:E117"/>
    <mergeCell ref="B118:B119"/>
    <mergeCell ref="C118:C119"/>
    <mergeCell ref="D118:D119"/>
    <mergeCell ref="E118:E119"/>
    <mergeCell ref="B112:B113"/>
    <mergeCell ref="C112:C113"/>
    <mergeCell ref="D112:D113"/>
    <mergeCell ref="E112:E113"/>
    <mergeCell ref="B114:B115"/>
    <mergeCell ref="C114:C115"/>
    <mergeCell ref="D114:D115"/>
    <mergeCell ref="E114:E115"/>
    <mergeCell ref="B108:B109"/>
    <mergeCell ref="C108:C109"/>
    <mergeCell ref="D108:D109"/>
    <mergeCell ref="E108:E109"/>
    <mergeCell ref="B110:B111"/>
    <mergeCell ref="C110:C111"/>
    <mergeCell ref="D110:D111"/>
    <mergeCell ref="E110:E111"/>
    <mergeCell ref="B104:B105"/>
    <mergeCell ref="C104:C105"/>
    <mergeCell ref="D104:D105"/>
    <mergeCell ref="E104:E105"/>
    <mergeCell ref="B106:B107"/>
    <mergeCell ref="C106:C107"/>
    <mergeCell ref="D106:D107"/>
    <mergeCell ref="E106:E107"/>
    <mergeCell ref="B100:B101"/>
    <mergeCell ref="C100:C101"/>
    <mergeCell ref="D100:D101"/>
    <mergeCell ref="E100:E101"/>
    <mergeCell ref="B102:B103"/>
    <mergeCell ref="C102:C103"/>
    <mergeCell ref="D102:D103"/>
    <mergeCell ref="E102:E103"/>
    <mergeCell ref="B96:B97"/>
    <mergeCell ref="C96:C97"/>
    <mergeCell ref="D96:D97"/>
    <mergeCell ref="E96:E97"/>
    <mergeCell ref="B98:B99"/>
    <mergeCell ref="C98:C99"/>
    <mergeCell ref="D98:D99"/>
    <mergeCell ref="E98:E99"/>
    <mergeCell ref="B92:B93"/>
    <mergeCell ref="C92:C93"/>
    <mergeCell ref="D92:D93"/>
    <mergeCell ref="E92:E93"/>
    <mergeCell ref="B94:B95"/>
    <mergeCell ref="C94:C95"/>
    <mergeCell ref="D94:D95"/>
    <mergeCell ref="E94:E95"/>
    <mergeCell ref="B88:B89"/>
    <mergeCell ref="C88:C89"/>
    <mergeCell ref="D88:D89"/>
    <mergeCell ref="E88:E89"/>
    <mergeCell ref="B90:B91"/>
    <mergeCell ref="C90:C91"/>
    <mergeCell ref="D90:D91"/>
    <mergeCell ref="E90:E91"/>
    <mergeCell ref="B84:B85"/>
    <mergeCell ref="C84:C85"/>
    <mergeCell ref="D84:D85"/>
    <mergeCell ref="E84:E85"/>
    <mergeCell ref="B86:B87"/>
    <mergeCell ref="C86:C87"/>
    <mergeCell ref="D86:D87"/>
    <mergeCell ref="E86:E87"/>
    <mergeCell ref="B80:B81"/>
    <mergeCell ref="C80:C81"/>
    <mergeCell ref="D80:D81"/>
    <mergeCell ref="E80:E81"/>
    <mergeCell ref="B82:B83"/>
    <mergeCell ref="C82:C83"/>
    <mergeCell ref="D82:D83"/>
    <mergeCell ref="E82:E83"/>
    <mergeCell ref="B76:B77"/>
    <mergeCell ref="C76:C77"/>
    <mergeCell ref="D76:D77"/>
    <mergeCell ref="E76:E77"/>
    <mergeCell ref="B78:B79"/>
    <mergeCell ref="C78:C79"/>
    <mergeCell ref="D78:D79"/>
    <mergeCell ref="E78:E79"/>
    <mergeCell ref="B72:B73"/>
    <mergeCell ref="C72:C73"/>
    <mergeCell ref="D72:D73"/>
    <mergeCell ref="E72:E73"/>
    <mergeCell ref="B74:B75"/>
    <mergeCell ref="C74:C75"/>
    <mergeCell ref="D74:D75"/>
    <mergeCell ref="E74:E75"/>
    <mergeCell ref="B68:B69"/>
    <mergeCell ref="C68:C69"/>
    <mergeCell ref="D68:D69"/>
    <mergeCell ref="E68:E69"/>
    <mergeCell ref="B70:B71"/>
    <mergeCell ref="C70:C71"/>
    <mergeCell ref="D70:D71"/>
    <mergeCell ref="E70:E71"/>
    <mergeCell ref="B64:B65"/>
    <mergeCell ref="C64:C65"/>
    <mergeCell ref="D64:D65"/>
    <mergeCell ref="E64:E65"/>
    <mergeCell ref="B66:B67"/>
    <mergeCell ref="C66:C67"/>
    <mergeCell ref="D66:D67"/>
    <mergeCell ref="E66:E67"/>
    <mergeCell ref="B60:B61"/>
    <mergeCell ref="C60:C61"/>
    <mergeCell ref="D60:D61"/>
    <mergeCell ref="E60:E61"/>
    <mergeCell ref="B62:B63"/>
    <mergeCell ref="C62:C63"/>
    <mergeCell ref="D62:D63"/>
    <mergeCell ref="E62:E63"/>
    <mergeCell ref="B56:B57"/>
    <mergeCell ref="C56:C57"/>
    <mergeCell ref="D56:D57"/>
    <mergeCell ref="E56:E57"/>
    <mergeCell ref="B58:B59"/>
    <mergeCell ref="C58:C59"/>
    <mergeCell ref="D58:D59"/>
    <mergeCell ref="E58:E59"/>
    <mergeCell ref="B52:B53"/>
    <mergeCell ref="C52:C53"/>
    <mergeCell ref="D52:D53"/>
    <mergeCell ref="E52:E53"/>
    <mergeCell ref="B54:B55"/>
    <mergeCell ref="C54:C55"/>
    <mergeCell ref="D54:D55"/>
    <mergeCell ref="E54:E55"/>
    <mergeCell ref="B48:B49"/>
    <mergeCell ref="C48:C49"/>
    <mergeCell ref="D48:D49"/>
    <mergeCell ref="E48:E49"/>
    <mergeCell ref="B50:B51"/>
    <mergeCell ref="C50:C51"/>
    <mergeCell ref="D50:D51"/>
    <mergeCell ref="E50:E51"/>
    <mergeCell ref="B44:B45"/>
    <mergeCell ref="C44:C45"/>
    <mergeCell ref="D44:D45"/>
    <mergeCell ref="E44:E45"/>
    <mergeCell ref="B46:B47"/>
    <mergeCell ref="C46:C47"/>
    <mergeCell ref="D46:D47"/>
    <mergeCell ref="E46:E47"/>
    <mergeCell ref="B40:B41"/>
    <mergeCell ref="C40:C41"/>
    <mergeCell ref="D40:D41"/>
    <mergeCell ref="E40:E41"/>
    <mergeCell ref="B42:B43"/>
    <mergeCell ref="C42:C43"/>
    <mergeCell ref="D42:D43"/>
    <mergeCell ref="E42:E43"/>
    <mergeCell ref="B36:B37"/>
    <mergeCell ref="C36:C37"/>
    <mergeCell ref="D36:D37"/>
    <mergeCell ref="E36:E37"/>
    <mergeCell ref="B38:B39"/>
    <mergeCell ref="C38:C39"/>
    <mergeCell ref="D38:D39"/>
    <mergeCell ref="E38:E39"/>
    <mergeCell ref="B32:B33"/>
    <mergeCell ref="C32:C33"/>
    <mergeCell ref="D32:D33"/>
    <mergeCell ref="E32:E33"/>
    <mergeCell ref="B34:B35"/>
    <mergeCell ref="C34:C35"/>
    <mergeCell ref="D34:D35"/>
    <mergeCell ref="E34:E35"/>
    <mergeCell ref="B28:B29"/>
    <mergeCell ref="C28:C29"/>
    <mergeCell ref="D28:D29"/>
    <mergeCell ref="E28:E29"/>
    <mergeCell ref="B30:B31"/>
    <mergeCell ref="C30:C31"/>
    <mergeCell ref="D30:D31"/>
    <mergeCell ref="E30:E31"/>
    <mergeCell ref="B24:B25"/>
    <mergeCell ref="C24:C25"/>
    <mergeCell ref="D24:D25"/>
    <mergeCell ref="E24:E25"/>
    <mergeCell ref="B26:B27"/>
    <mergeCell ref="C26:C27"/>
    <mergeCell ref="D26:D27"/>
    <mergeCell ref="E26:E27"/>
    <mergeCell ref="B20:B21"/>
    <mergeCell ref="C20:C21"/>
    <mergeCell ref="D20:D21"/>
    <mergeCell ref="E20:E21"/>
    <mergeCell ref="B22:B23"/>
    <mergeCell ref="C22:C23"/>
    <mergeCell ref="D22:D23"/>
    <mergeCell ref="E22:E23"/>
    <mergeCell ref="B16:B17"/>
    <mergeCell ref="C16:C17"/>
    <mergeCell ref="D16:D17"/>
    <mergeCell ref="E16:E17"/>
    <mergeCell ref="B18:B19"/>
    <mergeCell ref="C18:C19"/>
    <mergeCell ref="D18:D19"/>
    <mergeCell ref="E18:E19"/>
    <mergeCell ref="B12:B13"/>
    <mergeCell ref="C12:C13"/>
    <mergeCell ref="D12:D13"/>
    <mergeCell ref="E12:E13"/>
    <mergeCell ref="B14:B15"/>
    <mergeCell ref="C14:C15"/>
    <mergeCell ref="D14:D15"/>
    <mergeCell ref="E14:E15"/>
    <mergeCell ref="AL7:AL9"/>
    <mergeCell ref="AN7:AR8"/>
    <mergeCell ref="B10:B11"/>
    <mergeCell ref="C10:C11"/>
    <mergeCell ref="D10:D11"/>
    <mergeCell ref="E10:E11"/>
    <mergeCell ref="AQ1:AR1"/>
    <mergeCell ref="J2:K2"/>
    <mergeCell ref="O2:P2"/>
    <mergeCell ref="E4:AK5"/>
    <mergeCell ref="D7:D9"/>
    <mergeCell ref="G7:M7"/>
    <mergeCell ref="N7:T7"/>
    <mergeCell ref="U7:AA7"/>
    <mergeCell ref="AB7:AH7"/>
    <mergeCell ref="AI7:AK7"/>
  </mergeCells>
  <phoneticPr fontId="3"/>
  <dataValidations count="3">
    <dataValidation type="list" allowBlank="1" showInputMessage="1" showErrorMessage="1" sqref="C10:C141" xr:uid="{9679016D-94CC-44FD-90D3-224F42C4D7C5}">
      <formula1>$E$197:$E$221</formula1>
    </dataValidation>
    <dataValidation type="list" allowBlank="1" showInputMessage="1" showErrorMessage="1" sqref="G12:AK12 G10:AK10 G138:AK138 G136:AK136 G134:AK134 G132:AK132 G130:AK130 G128:AK128 G126:AK126 G124:AK124 G122:AK122 G140:AK140 G120:AK120 G112:AK112 G114:AK114 G116:AK116 G88:AK88 G90:AK90 G92:AK92 G94:AK94 G80:AK80 G82:AK82 G84:AK84 G86:AK86 G104:AK104 G106:AK106 G108:AK108 G110:AK110 G96:AK96 G98:AK98 G100:AK100 G102:AK102 G64:AK64 G54:AK54 G66:AK66 G30:AK30 G44:AK44 G46:AK46 G52:AK52 G56:AK56 G14:AK14 G72:AK72 G58:AK58 G76:AK76 G78:AK78 G118:AK118 G60:AK60 G62:AK62 G68:AK68 G70:AK70 G24:AK24 G26:AK26 G28:AK28 G38:AK38 G16:AK16 G18:AK18 G20:AK20 G22:AK22 G40:AK40 G42:AK42 G48:AK48 G50:AK50 G32:AK32 G34:AK34 G36:AK36 G74:AK74" xr:uid="{9E778E08-CDC3-40B2-B00B-6E86E7314390}">
      <formula1>$AC$197:$AC$221</formula1>
    </dataValidation>
    <dataValidation type="list" allowBlank="1" showInputMessage="1" showErrorMessage="1" sqref="D140 D118 D116 D114 D94 D58 D88 D84 D92 D86 D72 D68 D60 D102 D100 D104 D106 D98 D96 D112 D110 D108 D120 D122 D124 D126 D128 D130 D132 D134 D136 D138 D70 D78 D18 D20 D22 D24 D16 D74 D28 D26 D30 D34 D38 D36 D32 D44 D46 D42 D40 D82 D80 D54 D52 D50 D48 D90 D56 D64 D983204:D983223 D917668:D917687 D852132:D852151 D786596:D786615 D721060:D721079 D655524:D655543 D589988:D590007 D524452:D524471 D458916:D458935 D393380:D393399 D327844:D327863 D262308:D262327 D196772:D196791 D131236:D131255 D65700:D65719 D10 D76 D62 D66 D12 D14" xr:uid="{D689447F-9789-4CC3-9771-1FEB2C4AD55D}">
      <formula1>$AU$2:$AU$6</formula1>
    </dataValidation>
  </dataValidations>
  <printOptions horizontalCentered="1"/>
  <pageMargins left="0.19685039370078741" right="0.19685039370078741" top="0.39370078740157483" bottom="0.19685039370078741" header="0.31496062992125984" footer="0.31496062992125984"/>
  <pageSetup paperSize="9" scale="74" orientation="landscape" cellComments="asDisplayed" r:id="rId1"/>
  <rowBreaks count="2" manualBreakCount="2">
    <brk id="144" max="44" man="1"/>
    <brk id="177" max="44" man="1"/>
  </row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6BB7F-F2B4-497E-84EB-E3C48E2B540F}">
  <sheetPr>
    <tabColor rgb="FFFFFF00"/>
    <pageSetUpPr fitToPage="1"/>
  </sheetPr>
  <dimension ref="A1:AE49"/>
  <sheetViews>
    <sheetView view="pageBreakPreview" zoomScaleNormal="100" zoomScaleSheetLayoutView="100" workbookViewId="0">
      <selection activeCell="AE30" sqref="AE30"/>
    </sheetView>
  </sheetViews>
  <sheetFormatPr defaultColWidth="8.77734375" defaultRowHeight="12"/>
  <cols>
    <col min="1" max="1" width="5.109375" style="681" customWidth="1"/>
    <col min="2" max="5" width="3.33203125" style="681" customWidth="1"/>
    <col min="6" max="6" width="8.77734375" style="681"/>
    <col min="7" max="7" width="5.6640625" style="681" customWidth="1"/>
    <col min="8" max="27" width="4.77734375" style="681" customWidth="1"/>
    <col min="28" max="16384" width="8.77734375" style="681"/>
  </cols>
  <sheetData>
    <row r="1" spans="1:31" ht="36.75" customHeight="1" thickBot="1">
      <c r="A1" s="2566" t="s">
        <v>1403</v>
      </c>
      <c r="B1" s="2566"/>
      <c r="C1" s="2566"/>
      <c r="D1" s="2566"/>
      <c r="E1" s="2566"/>
      <c r="F1" s="2566"/>
      <c r="G1" s="2566"/>
      <c r="H1" s="2566"/>
      <c r="I1" s="2566"/>
      <c r="J1" s="2566"/>
      <c r="K1" s="2566"/>
      <c r="L1" s="2566"/>
      <c r="M1" s="2566"/>
      <c r="N1" s="2566"/>
      <c r="O1" s="2566"/>
      <c r="P1" s="2566"/>
      <c r="Q1" s="2566"/>
      <c r="R1" s="2566"/>
      <c r="S1" s="2566"/>
      <c r="T1" s="2566"/>
      <c r="U1" s="2566"/>
      <c r="V1" s="2566"/>
      <c r="W1" s="2566"/>
      <c r="X1" s="2566"/>
      <c r="Y1" s="2566"/>
      <c r="Z1" s="2566"/>
      <c r="AA1" s="2566"/>
      <c r="AC1" s="681" t="s">
        <v>134</v>
      </c>
    </row>
    <row r="2" spans="1:31" ht="15" customHeight="1">
      <c r="A2" s="2567" t="s">
        <v>1404</v>
      </c>
      <c r="B2" s="2569" t="s">
        <v>1405</v>
      </c>
      <c r="C2" s="2570"/>
      <c r="D2" s="2570"/>
      <c r="E2" s="2571"/>
      <c r="F2" s="2572"/>
      <c r="G2" s="2572"/>
      <c r="H2" s="2572"/>
      <c r="I2" s="2572"/>
      <c r="J2" s="2572"/>
      <c r="K2" s="2572"/>
      <c r="L2" s="2572"/>
      <c r="M2" s="2572"/>
      <c r="N2" s="2572"/>
      <c r="O2" s="2572"/>
      <c r="P2" s="2572"/>
      <c r="Q2" s="2572"/>
      <c r="R2" s="2572"/>
      <c r="S2" s="2572"/>
      <c r="T2" s="2572"/>
      <c r="U2" s="2572"/>
      <c r="V2" s="2572"/>
      <c r="W2" s="2572"/>
      <c r="X2" s="2572"/>
      <c r="Y2" s="2572"/>
      <c r="Z2" s="2572"/>
      <c r="AA2" s="2573"/>
    </row>
    <row r="3" spans="1:31" ht="15" customHeight="1">
      <c r="A3" s="2519"/>
      <c r="B3" s="2574" t="s">
        <v>7</v>
      </c>
      <c r="C3" s="2575"/>
      <c r="D3" s="2575"/>
      <c r="E3" s="2576"/>
      <c r="F3" s="682"/>
      <c r="G3" s="683"/>
      <c r="H3" s="683"/>
      <c r="I3" s="683"/>
      <c r="J3" s="683"/>
      <c r="K3" s="683"/>
      <c r="L3" s="683"/>
      <c r="M3" s="683"/>
      <c r="N3" s="683"/>
      <c r="O3" s="683"/>
      <c r="P3" s="683"/>
      <c r="Q3" s="683"/>
      <c r="R3" s="683"/>
      <c r="S3" s="683"/>
      <c r="T3" s="683"/>
      <c r="U3" s="683"/>
      <c r="V3" s="683"/>
      <c r="W3" s="683"/>
      <c r="X3" s="683"/>
      <c r="Y3" s="683"/>
      <c r="Z3" s="683"/>
      <c r="AA3" s="684"/>
    </row>
    <row r="4" spans="1:31" ht="27.9" customHeight="1">
      <c r="A4" s="2519"/>
      <c r="B4" s="2500" t="s">
        <v>1406</v>
      </c>
      <c r="C4" s="2407"/>
      <c r="D4" s="2407"/>
      <c r="E4" s="2577"/>
      <c r="F4" s="2578"/>
      <c r="G4" s="2502"/>
      <c r="H4" s="2502"/>
      <c r="I4" s="2502"/>
      <c r="J4" s="2502"/>
      <c r="K4" s="2502"/>
      <c r="L4" s="2502"/>
      <c r="M4" s="2502"/>
      <c r="N4" s="2502"/>
      <c r="O4" s="2502"/>
      <c r="P4" s="2502"/>
      <c r="Q4" s="2502"/>
      <c r="R4" s="2502"/>
      <c r="S4" s="2502"/>
      <c r="T4" s="2502"/>
      <c r="U4" s="2502"/>
      <c r="V4" s="2502"/>
      <c r="W4" s="2502"/>
      <c r="X4" s="2502"/>
      <c r="Y4" s="2502"/>
      <c r="Z4" s="2502"/>
      <c r="AA4" s="2579"/>
    </row>
    <row r="5" spans="1:31" ht="15" customHeight="1">
      <c r="A5" s="2519"/>
      <c r="B5" s="2440" t="s">
        <v>1377</v>
      </c>
      <c r="C5" s="2441"/>
      <c r="D5" s="2441"/>
      <c r="E5" s="2545"/>
      <c r="F5" s="2525" t="s">
        <v>1407</v>
      </c>
      <c r="G5" s="2441"/>
      <c r="H5" s="2558"/>
      <c r="I5" s="2558"/>
      <c r="J5" s="685" t="s">
        <v>468</v>
      </c>
      <c r="K5" s="2558"/>
      <c r="L5" s="2558"/>
      <c r="M5" s="685" t="s">
        <v>1408</v>
      </c>
      <c r="N5" s="685"/>
      <c r="P5" s="2441" t="s">
        <v>1409</v>
      </c>
      <c r="Q5" s="2441"/>
      <c r="R5" s="2441"/>
      <c r="S5" s="2441"/>
      <c r="T5" s="2441"/>
      <c r="U5" s="2441"/>
      <c r="V5" s="2441"/>
      <c r="W5" s="2441"/>
      <c r="X5" s="2441"/>
      <c r="Y5" s="2441"/>
      <c r="Z5" s="2441"/>
      <c r="AA5" s="2559"/>
    </row>
    <row r="6" spans="1:31" ht="15" customHeight="1">
      <c r="A6" s="2519"/>
      <c r="B6" s="2520"/>
      <c r="C6" s="2580"/>
      <c r="D6" s="2580"/>
      <c r="E6" s="2581"/>
      <c r="F6" s="2560"/>
      <c r="G6" s="2561"/>
      <c r="H6" s="2561"/>
      <c r="I6" s="2561"/>
      <c r="J6" s="686" t="s">
        <v>1410</v>
      </c>
      <c r="K6" s="686" t="s">
        <v>1411</v>
      </c>
      <c r="L6" s="2561"/>
      <c r="M6" s="2561"/>
      <c r="N6" s="2561"/>
      <c r="O6" s="2561"/>
      <c r="P6" s="2561"/>
      <c r="Q6" s="2561"/>
      <c r="R6" s="686" t="s">
        <v>1412</v>
      </c>
      <c r="S6" s="686" t="s">
        <v>1413</v>
      </c>
      <c r="T6" s="2562"/>
      <c r="U6" s="2562"/>
      <c r="V6" s="2562"/>
      <c r="W6" s="2562"/>
      <c r="X6" s="2562"/>
      <c r="Y6" s="2562"/>
      <c r="Z6" s="2562"/>
      <c r="AA6" s="2563"/>
      <c r="AB6" s="687"/>
      <c r="AC6" s="687"/>
      <c r="AD6" s="687"/>
      <c r="AE6" s="687"/>
    </row>
    <row r="7" spans="1:31" ht="15" customHeight="1">
      <c r="A7" s="2519"/>
      <c r="B7" s="2520"/>
      <c r="C7" s="2580"/>
      <c r="D7" s="2580"/>
      <c r="E7" s="2581"/>
      <c r="F7" s="2560"/>
      <c r="G7" s="2561"/>
      <c r="H7" s="2561"/>
      <c r="I7" s="2561"/>
      <c r="J7" s="686" t="s">
        <v>1414</v>
      </c>
      <c r="K7" s="686" t="s">
        <v>1381</v>
      </c>
      <c r="L7" s="2561"/>
      <c r="M7" s="2561"/>
      <c r="N7" s="2561"/>
      <c r="O7" s="2561"/>
      <c r="P7" s="2561"/>
      <c r="Q7" s="2561"/>
      <c r="R7" s="686" t="s">
        <v>1415</v>
      </c>
      <c r="S7" s="686" t="s">
        <v>1416</v>
      </c>
      <c r="T7" s="2562"/>
      <c r="U7" s="2562"/>
      <c r="V7" s="2562"/>
      <c r="W7" s="2562"/>
      <c r="X7" s="2562"/>
      <c r="Y7" s="2562"/>
      <c r="Z7" s="2562"/>
      <c r="AA7" s="2563"/>
      <c r="AB7" s="687"/>
      <c r="AC7" s="687"/>
      <c r="AD7" s="687"/>
      <c r="AE7" s="687"/>
    </row>
    <row r="8" spans="1:31" ht="18.899999999999999" customHeight="1">
      <c r="A8" s="2519"/>
      <c r="B8" s="2546"/>
      <c r="C8" s="2547"/>
      <c r="D8" s="2547"/>
      <c r="E8" s="2548"/>
      <c r="F8" s="2564"/>
      <c r="G8" s="2565"/>
      <c r="H8" s="2505"/>
      <c r="I8" s="2505"/>
      <c r="J8" s="2505"/>
      <c r="K8" s="2505"/>
      <c r="L8" s="2505"/>
      <c r="M8" s="2505"/>
      <c r="N8" s="2505"/>
      <c r="O8" s="2505"/>
      <c r="P8" s="2505"/>
      <c r="Q8" s="2505"/>
      <c r="R8" s="2505"/>
      <c r="S8" s="2505"/>
      <c r="T8" s="2505"/>
      <c r="U8" s="2505"/>
      <c r="V8" s="2505"/>
      <c r="W8" s="2505"/>
      <c r="X8" s="2505"/>
      <c r="Y8" s="2505"/>
      <c r="Z8" s="2505"/>
      <c r="AA8" s="2506"/>
    </row>
    <row r="9" spans="1:31" ht="15" customHeight="1">
      <c r="A9" s="2519"/>
      <c r="B9" s="2440" t="s">
        <v>1417</v>
      </c>
      <c r="C9" s="2441"/>
      <c r="D9" s="2441"/>
      <c r="E9" s="2545"/>
      <c r="F9" s="2549" t="s">
        <v>9</v>
      </c>
      <c r="G9" s="2407"/>
      <c r="H9" s="2522"/>
      <c r="I9" s="2523"/>
      <c r="J9" s="2523"/>
      <c r="K9" s="2523"/>
      <c r="L9" s="2523"/>
      <c r="M9" s="2523"/>
      <c r="N9" s="2550" t="s">
        <v>1418</v>
      </c>
      <c r="O9" s="2550"/>
      <c r="P9" s="2551"/>
      <c r="Q9" s="2551"/>
      <c r="R9" s="2552"/>
      <c r="S9" s="2553" t="s">
        <v>1419</v>
      </c>
      <c r="T9" s="2554"/>
      <c r="U9" s="2555"/>
      <c r="V9" s="2522"/>
      <c r="W9" s="2523"/>
      <c r="X9" s="2523"/>
      <c r="Y9" s="2523"/>
      <c r="Z9" s="2523"/>
      <c r="AA9" s="2524"/>
    </row>
    <row r="10" spans="1:31" ht="15" customHeight="1">
      <c r="A10" s="2568"/>
      <c r="B10" s="2546"/>
      <c r="C10" s="2547"/>
      <c r="D10" s="2547"/>
      <c r="E10" s="2548"/>
      <c r="F10" s="2525" t="s">
        <v>1420</v>
      </c>
      <c r="G10" s="2441"/>
      <c r="H10" s="2526"/>
      <c r="I10" s="2526"/>
      <c r="J10" s="2526"/>
      <c r="K10" s="2526"/>
      <c r="L10" s="2526"/>
      <c r="M10" s="2526"/>
      <c r="N10" s="2526"/>
      <c r="O10" s="2526"/>
      <c r="P10" s="2526"/>
      <c r="Q10" s="2526"/>
      <c r="R10" s="2526"/>
      <c r="S10" s="2526"/>
      <c r="T10" s="2526"/>
      <c r="U10" s="2526"/>
      <c r="V10" s="2526"/>
      <c r="W10" s="2526"/>
      <c r="X10" s="2526"/>
      <c r="Y10" s="2526"/>
      <c r="Z10" s="2526"/>
      <c r="AA10" s="2527"/>
    </row>
    <row r="11" spans="1:31" ht="15" customHeight="1">
      <c r="A11" s="2528" t="s">
        <v>1421</v>
      </c>
      <c r="B11" s="2529"/>
      <c r="C11" s="2529"/>
      <c r="D11" s="2529"/>
      <c r="E11" s="2529"/>
      <c r="F11" s="2533" t="s">
        <v>1422</v>
      </c>
      <c r="G11" s="2534"/>
      <c r="H11" s="2534"/>
      <c r="I11" s="2534"/>
      <c r="J11" s="2534"/>
      <c r="K11" s="2534"/>
      <c r="L11" s="2534"/>
      <c r="M11" s="2535"/>
      <c r="N11" s="2475"/>
      <c r="O11" s="2514"/>
      <c r="P11" s="2536"/>
      <c r="Q11" s="2537"/>
      <c r="R11" s="2537"/>
      <c r="S11" s="2537"/>
      <c r="T11" s="2537"/>
      <c r="U11" s="2537"/>
      <c r="V11" s="2537"/>
      <c r="W11" s="2537"/>
      <c r="X11" s="2537"/>
      <c r="Y11" s="2537"/>
      <c r="Z11" s="2537"/>
      <c r="AA11" s="2538"/>
    </row>
    <row r="12" spans="1:31" ht="15" customHeight="1">
      <c r="A12" s="2530"/>
      <c r="B12" s="2531"/>
      <c r="C12" s="2531"/>
      <c r="D12" s="2531"/>
      <c r="E12" s="2531"/>
      <c r="F12" s="2533" t="s">
        <v>1423</v>
      </c>
      <c r="G12" s="2534"/>
      <c r="H12" s="2534"/>
      <c r="I12" s="2534"/>
      <c r="J12" s="2534"/>
      <c r="K12" s="2534"/>
      <c r="L12" s="2534"/>
      <c r="M12" s="2535"/>
      <c r="N12" s="2475"/>
      <c r="O12" s="2514"/>
      <c r="P12" s="2539"/>
      <c r="Q12" s="2540"/>
      <c r="R12" s="2540"/>
      <c r="S12" s="2540"/>
      <c r="T12" s="2540"/>
      <c r="U12" s="2540"/>
      <c r="V12" s="2540"/>
      <c r="W12" s="2540"/>
      <c r="X12" s="2540"/>
      <c r="Y12" s="2540"/>
      <c r="Z12" s="2540"/>
      <c r="AA12" s="2541"/>
    </row>
    <row r="13" spans="1:31" ht="15" customHeight="1">
      <c r="A13" s="2530"/>
      <c r="B13" s="2531"/>
      <c r="C13" s="2531"/>
      <c r="D13" s="2531"/>
      <c r="E13" s="2531"/>
      <c r="F13" s="2533" t="s">
        <v>1424</v>
      </c>
      <c r="G13" s="2534"/>
      <c r="H13" s="2534"/>
      <c r="I13" s="2534"/>
      <c r="J13" s="2534"/>
      <c r="K13" s="2534"/>
      <c r="L13" s="2534"/>
      <c r="M13" s="2535"/>
      <c r="N13" s="2475"/>
      <c r="O13" s="2514"/>
      <c r="P13" s="2539"/>
      <c r="Q13" s="2540"/>
      <c r="R13" s="2540"/>
      <c r="S13" s="2540"/>
      <c r="T13" s="2540"/>
      <c r="U13" s="2540"/>
      <c r="V13" s="2540"/>
      <c r="W13" s="2540"/>
      <c r="X13" s="2540"/>
      <c r="Y13" s="2540"/>
      <c r="Z13" s="2540"/>
      <c r="AA13" s="2541"/>
    </row>
    <row r="14" spans="1:31" ht="15" customHeight="1">
      <c r="A14" s="2532"/>
      <c r="B14" s="2459"/>
      <c r="C14" s="2459"/>
      <c r="D14" s="2459"/>
      <c r="E14" s="2459"/>
      <c r="F14" s="2515" t="s">
        <v>1425</v>
      </c>
      <c r="G14" s="2516"/>
      <c r="H14" s="2516"/>
      <c r="I14" s="2516"/>
      <c r="J14" s="2516"/>
      <c r="K14" s="2516"/>
      <c r="L14" s="2516"/>
      <c r="M14" s="2517"/>
      <c r="N14" s="2475"/>
      <c r="O14" s="2514"/>
      <c r="P14" s="2542"/>
      <c r="Q14" s="2543"/>
      <c r="R14" s="2543"/>
      <c r="S14" s="2543"/>
      <c r="T14" s="2543"/>
      <c r="U14" s="2543"/>
      <c r="V14" s="2543"/>
      <c r="W14" s="2543"/>
      <c r="X14" s="2543"/>
      <c r="Y14" s="2543"/>
      <c r="Z14" s="2543"/>
      <c r="AA14" s="2544"/>
    </row>
    <row r="15" spans="1:31" ht="15" customHeight="1">
      <c r="A15" s="2518" t="s">
        <v>1426</v>
      </c>
      <c r="B15" s="2500" t="s">
        <v>7</v>
      </c>
      <c r="C15" s="2407"/>
      <c r="D15" s="2407"/>
      <c r="E15" s="2493"/>
      <c r="F15" s="2501"/>
      <c r="G15" s="2502"/>
      <c r="H15" s="2502"/>
      <c r="I15" s="2502"/>
      <c r="J15" s="2502"/>
      <c r="K15" s="2502"/>
      <c r="L15" s="2502"/>
      <c r="M15" s="2503"/>
      <c r="N15" s="2440" t="s">
        <v>1427</v>
      </c>
      <c r="O15" s="2489"/>
      <c r="P15" s="2556" t="s">
        <v>1428</v>
      </c>
      <c r="Q15" s="2557"/>
      <c r="R15" s="2497"/>
      <c r="S15" s="2497"/>
      <c r="T15" s="688" t="s">
        <v>1429</v>
      </c>
      <c r="U15" s="2497"/>
      <c r="V15" s="2497"/>
      <c r="W15" s="2498" t="s">
        <v>1430</v>
      </c>
      <c r="X15" s="2498"/>
      <c r="Y15" s="2498"/>
      <c r="Z15" s="2498"/>
      <c r="AA15" s="2499"/>
    </row>
    <row r="16" spans="1:31" ht="23.25" customHeight="1">
      <c r="A16" s="2519"/>
      <c r="B16" s="2500" t="s">
        <v>1431</v>
      </c>
      <c r="C16" s="2407"/>
      <c r="D16" s="2407"/>
      <c r="E16" s="2493"/>
      <c r="F16" s="2501"/>
      <c r="G16" s="2502"/>
      <c r="H16" s="2502"/>
      <c r="I16" s="2502"/>
      <c r="J16" s="2502"/>
      <c r="K16" s="2502"/>
      <c r="L16" s="2502"/>
      <c r="M16" s="2503"/>
      <c r="N16" s="2520"/>
      <c r="O16" s="2521"/>
      <c r="P16" s="2504"/>
      <c r="Q16" s="2505"/>
      <c r="R16" s="2505"/>
      <c r="S16" s="2505"/>
      <c r="T16" s="2505"/>
      <c r="U16" s="2505"/>
      <c r="V16" s="2505"/>
      <c r="W16" s="2505"/>
      <c r="X16" s="2505"/>
      <c r="Y16" s="2505"/>
      <c r="Z16" s="2505"/>
      <c r="AA16" s="2506"/>
    </row>
    <row r="17" spans="1:31" ht="23.25" customHeight="1" thickBot="1">
      <c r="A17" s="2519"/>
      <c r="B17" s="2440" t="s">
        <v>1432</v>
      </c>
      <c r="C17" s="2441"/>
      <c r="D17" s="2441"/>
      <c r="E17" s="2489"/>
      <c r="F17" s="2507"/>
      <c r="G17" s="2508"/>
      <c r="H17" s="2508"/>
      <c r="I17" s="2508"/>
      <c r="J17" s="2508"/>
      <c r="K17" s="2508"/>
      <c r="L17" s="2508"/>
      <c r="M17" s="2509"/>
      <c r="N17" s="2520"/>
      <c r="O17" s="2521"/>
      <c r="P17" s="2504"/>
      <c r="Q17" s="2505"/>
      <c r="R17" s="2505"/>
      <c r="S17" s="2505"/>
      <c r="T17" s="2505"/>
      <c r="U17" s="2505"/>
      <c r="V17" s="2505"/>
      <c r="W17" s="2505"/>
      <c r="X17" s="2505"/>
      <c r="Y17" s="2505"/>
      <c r="Z17" s="2505"/>
      <c r="AA17" s="2506"/>
    </row>
    <row r="18" spans="1:31" s="690" customFormat="1" ht="18" customHeight="1" thickBot="1">
      <c r="A18" s="689"/>
      <c r="B18" s="2510" t="s">
        <v>1433</v>
      </c>
      <c r="C18" s="2510"/>
      <c r="D18" s="2510"/>
      <c r="E18" s="2510"/>
      <c r="F18" s="2510"/>
      <c r="G18" s="2510"/>
      <c r="H18" s="2510"/>
      <c r="I18" s="2510"/>
      <c r="J18" s="2510"/>
      <c r="K18" s="2511"/>
      <c r="L18" s="2512"/>
      <c r="M18" s="2414"/>
      <c r="N18" s="2414"/>
      <c r="O18" s="2414"/>
      <c r="P18" s="2414"/>
      <c r="Q18" s="2414"/>
      <c r="R18" s="2414"/>
      <c r="S18" s="2414"/>
      <c r="T18" s="2414"/>
      <c r="U18" s="2414"/>
      <c r="V18" s="2414"/>
      <c r="W18" s="2414"/>
      <c r="X18" s="2414"/>
      <c r="Y18" s="2414"/>
      <c r="Z18" s="2414"/>
      <c r="AA18" s="2513"/>
    </row>
    <row r="19" spans="1:31" s="690" customFormat="1" ht="18" customHeight="1">
      <c r="A19" s="2464" t="s">
        <v>1434</v>
      </c>
      <c r="B19" s="2467" t="s">
        <v>1435</v>
      </c>
      <c r="C19" s="2468"/>
      <c r="D19" s="2468"/>
      <c r="E19" s="2468"/>
      <c r="F19" s="2468"/>
      <c r="G19" s="2468"/>
      <c r="H19" s="2468"/>
      <c r="I19" s="2468"/>
      <c r="J19" s="2468"/>
      <c r="K19" s="2468"/>
      <c r="L19" s="691"/>
      <c r="M19" s="692"/>
      <c r="N19" s="2470" t="s">
        <v>1436</v>
      </c>
      <c r="O19" s="2470"/>
      <c r="P19" s="2470"/>
      <c r="Q19" s="2470"/>
      <c r="R19" s="2470"/>
      <c r="S19" s="2470"/>
      <c r="T19" s="693"/>
      <c r="U19" s="694"/>
      <c r="V19" s="694" t="s">
        <v>1437</v>
      </c>
      <c r="W19" s="694"/>
      <c r="X19" s="694"/>
      <c r="Y19" s="694"/>
      <c r="Z19" s="694"/>
      <c r="AA19" s="695"/>
    </row>
    <row r="20" spans="1:31" ht="18" customHeight="1">
      <c r="A20" s="2465"/>
      <c r="B20" s="2471" t="s">
        <v>1438</v>
      </c>
      <c r="C20" s="2472"/>
      <c r="D20" s="2472"/>
      <c r="E20" s="2472"/>
      <c r="F20" s="2472"/>
      <c r="G20" s="2472"/>
      <c r="H20" s="2472"/>
      <c r="I20" s="2472"/>
      <c r="J20" s="2472"/>
      <c r="K20" s="2472"/>
      <c r="L20" s="2472"/>
      <c r="M20" s="2473"/>
      <c r="N20" s="2473"/>
      <c r="O20" s="2474"/>
      <c r="P20" s="2475"/>
      <c r="Q20" s="2476"/>
      <c r="R20" s="2476"/>
      <c r="S20" s="696" t="s">
        <v>89</v>
      </c>
      <c r="T20" s="697"/>
      <c r="U20" s="697"/>
      <c r="V20" s="697"/>
      <c r="W20" s="697"/>
      <c r="X20" s="697"/>
      <c r="Y20" s="697"/>
      <c r="Z20" s="697"/>
      <c r="AA20" s="698"/>
      <c r="AB20" s="681" t="s">
        <v>134</v>
      </c>
    </row>
    <row r="21" spans="1:31" ht="18" customHeight="1">
      <c r="A21" s="2465"/>
      <c r="B21" s="2477" t="s">
        <v>1439</v>
      </c>
      <c r="C21" s="2478"/>
      <c r="D21" s="2478"/>
      <c r="E21" s="2478"/>
      <c r="F21" s="2478"/>
      <c r="G21" s="2478"/>
      <c r="H21" s="2478"/>
      <c r="I21" s="2478"/>
      <c r="J21" s="2478"/>
      <c r="K21" s="2478"/>
      <c r="L21" s="2478"/>
      <c r="M21" s="2478"/>
      <c r="N21" s="2478"/>
      <c r="O21" s="2478"/>
      <c r="P21" s="2478"/>
      <c r="Q21" s="2478"/>
      <c r="R21" s="2478"/>
      <c r="S21" s="2478"/>
      <c r="T21" s="2478"/>
      <c r="U21" s="2478"/>
      <c r="V21" s="2478"/>
      <c r="W21" s="2478"/>
      <c r="X21" s="2478"/>
      <c r="Y21" s="2478"/>
      <c r="Z21" s="2478"/>
      <c r="AA21" s="2479"/>
    </row>
    <row r="22" spans="1:31" ht="23.25" customHeight="1">
      <c r="A22" s="2465"/>
      <c r="B22" s="2471" t="s">
        <v>1440</v>
      </c>
      <c r="C22" s="2472"/>
      <c r="D22" s="2472"/>
      <c r="E22" s="2472"/>
      <c r="F22" s="2472"/>
      <c r="G22" s="2480"/>
      <c r="H22" s="2484" t="s">
        <v>1441</v>
      </c>
      <c r="I22" s="2485"/>
      <c r="J22" s="2485"/>
      <c r="K22" s="2486"/>
      <c r="L22" s="2458" t="s">
        <v>1442</v>
      </c>
      <c r="M22" s="2459"/>
      <c r="N22" s="2459"/>
      <c r="O22" s="2459"/>
      <c r="P22" s="2487" t="s">
        <v>1443</v>
      </c>
      <c r="Q22" s="2487"/>
      <c r="R22" s="2487"/>
      <c r="S22" s="2475"/>
      <c r="T22" s="2444" t="s">
        <v>1409</v>
      </c>
      <c r="U22" s="2445"/>
      <c r="V22" s="2445"/>
      <c r="W22" s="2445"/>
      <c r="X22" s="2445"/>
      <c r="Y22" s="2445"/>
      <c r="Z22" s="2445"/>
      <c r="AA22" s="2446"/>
    </row>
    <row r="23" spans="1:31" ht="23.25" customHeight="1">
      <c r="A23" s="2465"/>
      <c r="B23" s="2481"/>
      <c r="C23" s="2482"/>
      <c r="D23" s="2482"/>
      <c r="E23" s="2482"/>
      <c r="F23" s="2482"/>
      <c r="G23" s="2483"/>
      <c r="H23" s="2453" t="s">
        <v>1444</v>
      </c>
      <c r="I23" s="2454"/>
      <c r="J23" s="2453" t="s">
        <v>1445</v>
      </c>
      <c r="K23" s="2455"/>
      <c r="L23" s="2453" t="s">
        <v>1444</v>
      </c>
      <c r="M23" s="2454"/>
      <c r="N23" s="2453" t="s">
        <v>1445</v>
      </c>
      <c r="O23" s="2455"/>
      <c r="P23" s="2456" t="s">
        <v>1444</v>
      </c>
      <c r="Q23" s="2457"/>
      <c r="R23" s="2458" t="s">
        <v>1445</v>
      </c>
      <c r="S23" s="2459"/>
      <c r="T23" s="2447"/>
      <c r="U23" s="2448"/>
      <c r="V23" s="2448"/>
      <c r="W23" s="2448"/>
      <c r="X23" s="2448"/>
      <c r="Y23" s="2448"/>
      <c r="Z23" s="2448"/>
      <c r="AA23" s="2449"/>
    </row>
    <row r="24" spans="1:31" ht="18" customHeight="1">
      <c r="A24" s="2465"/>
      <c r="B24" s="2492" t="s">
        <v>1446</v>
      </c>
      <c r="C24" s="2407"/>
      <c r="D24" s="2407"/>
      <c r="E24" s="2407"/>
      <c r="F24" s="2407"/>
      <c r="G24" s="2493"/>
      <c r="H24" s="2460"/>
      <c r="I24" s="2494"/>
      <c r="J24" s="2460"/>
      <c r="K24" s="2461"/>
      <c r="L24" s="2460"/>
      <c r="M24" s="2494"/>
      <c r="N24" s="2460"/>
      <c r="O24" s="2461"/>
      <c r="P24" s="2495"/>
      <c r="Q24" s="2494"/>
      <c r="R24" s="2460"/>
      <c r="S24" s="2461"/>
      <c r="T24" s="2447"/>
      <c r="U24" s="2448"/>
      <c r="V24" s="2448"/>
      <c r="W24" s="2448"/>
      <c r="X24" s="2448"/>
      <c r="Y24" s="2448"/>
      <c r="Z24" s="2448"/>
      <c r="AA24" s="2449"/>
    </row>
    <row r="25" spans="1:31" ht="18" customHeight="1">
      <c r="A25" s="2465"/>
      <c r="B25" s="2488" t="s">
        <v>1447</v>
      </c>
      <c r="C25" s="2441"/>
      <c r="D25" s="2441"/>
      <c r="E25" s="2441"/>
      <c r="F25" s="2441"/>
      <c r="G25" s="2489"/>
      <c r="H25" s="2462"/>
      <c r="I25" s="2490"/>
      <c r="J25" s="2462"/>
      <c r="K25" s="2463"/>
      <c r="L25" s="2462"/>
      <c r="M25" s="2490"/>
      <c r="N25" s="2462"/>
      <c r="O25" s="2463"/>
      <c r="P25" s="2491"/>
      <c r="Q25" s="2490"/>
      <c r="R25" s="2462"/>
      <c r="S25" s="2463"/>
      <c r="T25" s="2447"/>
      <c r="U25" s="2448"/>
      <c r="V25" s="2448"/>
      <c r="W25" s="2448"/>
      <c r="X25" s="2448"/>
      <c r="Y25" s="2448"/>
      <c r="Z25" s="2448"/>
      <c r="AA25" s="2449"/>
    </row>
    <row r="26" spans="1:31" ht="18" customHeight="1">
      <c r="A26" s="2465"/>
      <c r="B26" s="2418" t="s">
        <v>1448</v>
      </c>
      <c r="C26" s="2419"/>
      <c r="D26" s="2419"/>
      <c r="E26" s="2419"/>
      <c r="F26" s="2419"/>
      <c r="G26" s="2419"/>
      <c r="H26" s="2420"/>
      <c r="I26" s="2420"/>
      <c r="J26" s="2420"/>
      <c r="K26" s="2420"/>
      <c r="L26" s="2421"/>
      <c r="M26" s="2421"/>
      <c r="N26" s="2421"/>
      <c r="O26" s="2421"/>
      <c r="P26" s="2421"/>
      <c r="Q26" s="2421"/>
      <c r="R26" s="2421"/>
      <c r="S26" s="2496"/>
      <c r="T26" s="2450"/>
      <c r="U26" s="2451"/>
      <c r="V26" s="2451"/>
      <c r="W26" s="2451"/>
      <c r="X26" s="2451"/>
      <c r="Y26" s="2451"/>
      <c r="Z26" s="2451"/>
      <c r="AA26" s="2452"/>
    </row>
    <row r="27" spans="1:31" ht="18" customHeight="1">
      <c r="A27" s="2465"/>
      <c r="B27" s="2422" t="s">
        <v>1449</v>
      </c>
      <c r="C27" s="2423"/>
      <c r="D27" s="2423"/>
      <c r="E27" s="2423"/>
      <c r="F27" s="2423"/>
      <c r="G27" s="2423"/>
      <c r="H27" s="2423"/>
      <c r="I27" s="2423"/>
      <c r="J27" s="2423"/>
      <c r="K27" s="2423"/>
      <c r="L27" s="2423"/>
      <c r="M27" s="2423"/>
      <c r="N27" s="2423"/>
      <c r="O27" s="2423"/>
      <c r="P27" s="2423"/>
      <c r="Q27" s="2423"/>
      <c r="R27" s="2423"/>
      <c r="S27" s="2423"/>
      <c r="T27" s="2423"/>
      <c r="U27" s="2423"/>
      <c r="V27" s="2423"/>
      <c r="W27" s="2423"/>
      <c r="X27" s="2423"/>
      <c r="Y27" s="2423"/>
      <c r="Z27" s="2423"/>
      <c r="AA27" s="2424"/>
    </row>
    <row r="28" spans="1:31" ht="18" customHeight="1">
      <c r="A28" s="2465"/>
      <c r="B28" s="2425" t="s">
        <v>1450</v>
      </c>
      <c r="C28" s="2426"/>
      <c r="D28" s="2426"/>
      <c r="E28" s="2427"/>
      <c r="F28" s="2434" t="s">
        <v>1451</v>
      </c>
      <c r="G28" s="2435"/>
      <c r="H28" s="699" t="s">
        <v>1452</v>
      </c>
      <c r="I28" s="700"/>
      <c r="J28" s="700"/>
      <c r="K28" s="701"/>
      <c r="L28" s="699"/>
      <c r="M28" s="701"/>
      <c r="N28" s="701"/>
      <c r="O28" s="701"/>
      <c r="P28" s="701"/>
      <c r="Q28" s="701"/>
      <c r="R28" s="701"/>
      <c r="S28" s="701"/>
      <c r="T28" s="701"/>
      <c r="U28" s="702"/>
      <c r="V28" s="703"/>
      <c r="W28" s="704"/>
      <c r="X28" s="2405"/>
      <c r="Y28" s="2406"/>
      <c r="Z28" s="2407" t="s">
        <v>461</v>
      </c>
      <c r="AA28" s="2408"/>
    </row>
    <row r="29" spans="1:31" ht="18" customHeight="1">
      <c r="A29" s="2465"/>
      <c r="B29" s="2428"/>
      <c r="C29" s="2429"/>
      <c r="D29" s="2429"/>
      <c r="E29" s="2430"/>
      <c r="F29" s="2436"/>
      <c r="G29" s="2437"/>
      <c r="H29" s="2440" t="s">
        <v>1453</v>
      </c>
      <c r="I29" s="2441"/>
      <c r="J29" s="2441"/>
      <c r="K29" s="2441"/>
      <c r="L29" s="699" t="s">
        <v>462</v>
      </c>
      <c r="M29" s="699"/>
      <c r="N29" s="700"/>
      <c r="O29" s="701"/>
      <c r="P29" s="701"/>
      <c r="Q29" s="701"/>
      <c r="R29" s="701"/>
      <c r="S29" s="701"/>
      <c r="T29" s="701"/>
      <c r="U29" s="702"/>
      <c r="V29" s="703"/>
      <c r="W29" s="704"/>
      <c r="X29" s="2405"/>
      <c r="Y29" s="2406"/>
      <c r="Z29" s="2407" t="s">
        <v>463</v>
      </c>
      <c r="AA29" s="2408"/>
    </row>
    <row r="30" spans="1:31" ht="18" customHeight="1" thickBot="1">
      <c r="A30" s="2466"/>
      <c r="B30" s="2431"/>
      <c r="C30" s="2432"/>
      <c r="D30" s="2432"/>
      <c r="E30" s="2433"/>
      <c r="F30" s="2438"/>
      <c r="G30" s="2439"/>
      <c r="H30" s="2442"/>
      <c r="I30" s="2443"/>
      <c r="J30" s="2443"/>
      <c r="K30" s="2443"/>
      <c r="L30" s="705" t="s">
        <v>464</v>
      </c>
      <c r="M30" s="705"/>
      <c r="N30" s="706"/>
      <c r="O30" s="706"/>
      <c r="P30" s="706"/>
      <c r="Q30" s="706"/>
      <c r="R30" s="706"/>
      <c r="S30" s="706"/>
      <c r="T30" s="706"/>
      <c r="U30" s="707"/>
      <c r="V30" s="708"/>
      <c r="W30" s="709"/>
      <c r="X30" s="2409"/>
      <c r="Y30" s="2410"/>
      <c r="Z30" s="2411" t="s">
        <v>463</v>
      </c>
      <c r="AA30" s="2412"/>
      <c r="AE30" s="1206"/>
    </row>
    <row r="31" spans="1:31" s="690" customFormat="1" ht="18" customHeight="1">
      <c r="A31" s="2464" t="s">
        <v>1454</v>
      </c>
      <c r="B31" s="2467" t="s">
        <v>1455</v>
      </c>
      <c r="C31" s="2468"/>
      <c r="D31" s="2468"/>
      <c r="E31" s="2468"/>
      <c r="F31" s="2468"/>
      <c r="G31" s="2468"/>
      <c r="H31" s="2468"/>
      <c r="I31" s="2468"/>
      <c r="J31" s="2468"/>
      <c r="K31" s="2469"/>
      <c r="L31" s="691"/>
      <c r="M31" s="692"/>
      <c r="N31" s="2470" t="s">
        <v>1436</v>
      </c>
      <c r="O31" s="2470"/>
      <c r="P31" s="2470"/>
      <c r="Q31" s="2470"/>
      <c r="R31" s="2470"/>
      <c r="S31" s="2470"/>
      <c r="T31" s="693"/>
      <c r="U31" s="694"/>
      <c r="V31" s="694" t="s">
        <v>1437</v>
      </c>
      <c r="W31" s="694"/>
      <c r="X31" s="694"/>
      <c r="Y31" s="694"/>
      <c r="Z31" s="694"/>
      <c r="AA31" s="695"/>
    </row>
    <row r="32" spans="1:31" ht="18" customHeight="1">
      <c r="A32" s="2465"/>
      <c r="B32" s="2471" t="s">
        <v>1438</v>
      </c>
      <c r="C32" s="2472"/>
      <c r="D32" s="2472"/>
      <c r="E32" s="2472"/>
      <c r="F32" s="2472"/>
      <c r="G32" s="2472"/>
      <c r="H32" s="2472"/>
      <c r="I32" s="2472"/>
      <c r="J32" s="2472"/>
      <c r="K32" s="2472"/>
      <c r="L32" s="2472"/>
      <c r="M32" s="2473"/>
      <c r="N32" s="2473"/>
      <c r="O32" s="2474"/>
      <c r="P32" s="2475"/>
      <c r="Q32" s="2476"/>
      <c r="R32" s="2476"/>
      <c r="S32" s="696" t="s">
        <v>89</v>
      </c>
      <c r="T32" s="697"/>
      <c r="U32" s="697"/>
      <c r="V32" s="697"/>
      <c r="W32" s="697"/>
      <c r="X32" s="697"/>
      <c r="Y32" s="697"/>
      <c r="Z32" s="697"/>
      <c r="AA32" s="698"/>
    </row>
    <row r="33" spans="1:29" ht="18" customHeight="1">
      <c r="A33" s="2465"/>
      <c r="B33" s="2477" t="s">
        <v>1439</v>
      </c>
      <c r="C33" s="2478"/>
      <c r="D33" s="2478"/>
      <c r="E33" s="2478"/>
      <c r="F33" s="2478"/>
      <c r="G33" s="2478"/>
      <c r="H33" s="2478"/>
      <c r="I33" s="2478"/>
      <c r="J33" s="2478"/>
      <c r="K33" s="2478"/>
      <c r="L33" s="2478"/>
      <c r="M33" s="2478"/>
      <c r="N33" s="2478"/>
      <c r="O33" s="2478"/>
      <c r="P33" s="2478"/>
      <c r="Q33" s="2478"/>
      <c r="R33" s="2478"/>
      <c r="S33" s="2478"/>
      <c r="T33" s="2478"/>
      <c r="U33" s="2478"/>
      <c r="V33" s="2478"/>
      <c r="W33" s="2478"/>
      <c r="X33" s="2478"/>
      <c r="Y33" s="2478"/>
      <c r="Z33" s="2478"/>
      <c r="AA33" s="2479"/>
    </row>
    <row r="34" spans="1:29" ht="23.25" customHeight="1">
      <c r="A34" s="2465"/>
      <c r="B34" s="2471" t="s">
        <v>1440</v>
      </c>
      <c r="C34" s="2472"/>
      <c r="D34" s="2472"/>
      <c r="E34" s="2472"/>
      <c r="F34" s="2472"/>
      <c r="G34" s="2480"/>
      <c r="H34" s="2484" t="s">
        <v>1441</v>
      </c>
      <c r="I34" s="2485"/>
      <c r="J34" s="2485"/>
      <c r="K34" s="2486"/>
      <c r="L34" s="2458" t="s">
        <v>1442</v>
      </c>
      <c r="M34" s="2459"/>
      <c r="N34" s="2459"/>
      <c r="O34" s="2459"/>
      <c r="P34" s="2487" t="s">
        <v>1443</v>
      </c>
      <c r="Q34" s="2487"/>
      <c r="R34" s="2487"/>
      <c r="S34" s="2487"/>
      <c r="T34" s="2444" t="s">
        <v>1409</v>
      </c>
      <c r="U34" s="2445"/>
      <c r="V34" s="2445"/>
      <c r="W34" s="2445"/>
      <c r="X34" s="2445"/>
      <c r="Y34" s="2445"/>
      <c r="Z34" s="2445"/>
      <c r="AA34" s="2446"/>
    </row>
    <row r="35" spans="1:29" ht="23.25" customHeight="1">
      <c r="A35" s="2465"/>
      <c r="B35" s="2481"/>
      <c r="C35" s="2482"/>
      <c r="D35" s="2482"/>
      <c r="E35" s="2482"/>
      <c r="F35" s="2482"/>
      <c r="G35" s="2483"/>
      <c r="H35" s="2453" t="s">
        <v>1444</v>
      </c>
      <c r="I35" s="2454"/>
      <c r="J35" s="2453" t="s">
        <v>1445</v>
      </c>
      <c r="K35" s="2455"/>
      <c r="L35" s="2453" t="s">
        <v>1444</v>
      </c>
      <c r="M35" s="2454"/>
      <c r="N35" s="2453" t="s">
        <v>1445</v>
      </c>
      <c r="O35" s="2455"/>
      <c r="P35" s="2456" t="s">
        <v>1444</v>
      </c>
      <c r="Q35" s="2457"/>
      <c r="R35" s="2458" t="s">
        <v>1445</v>
      </c>
      <c r="S35" s="2459"/>
      <c r="T35" s="2447"/>
      <c r="U35" s="2448"/>
      <c r="V35" s="2448"/>
      <c r="W35" s="2448"/>
      <c r="X35" s="2448"/>
      <c r="Y35" s="2448"/>
      <c r="Z35" s="2448"/>
      <c r="AA35" s="2449"/>
    </row>
    <row r="36" spans="1:29" ht="18" customHeight="1">
      <c r="A36" s="2465"/>
      <c r="B36" s="2492" t="s">
        <v>1446</v>
      </c>
      <c r="C36" s="2407"/>
      <c r="D36" s="2407"/>
      <c r="E36" s="2407"/>
      <c r="F36" s="2407"/>
      <c r="G36" s="2493"/>
      <c r="H36" s="2460"/>
      <c r="I36" s="2494"/>
      <c r="J36" s="2460"/>
      <c r="K36" s="2461"/>
      <c r="L36" s="2460"/>
      <c r="M36" s="2494"/>
      <c r="N36" s="2460"/>
      <c r="O36" s="2461"/>
      <c r="P36" s="2495"/>
      <c r="Q36" s="2494"/>
      <c r="R36" s="2460"/>
      <c r="S36" s="2461"/>
      <c r="T36" s="2447"/>
      <c r="U36" s="2448"/>
      <c r="V36" s="2448"/>
      <c r="W36" s="2448"/>
      <c r="X36" s="2448"/>
      <c r="Y36" s="2448"/>
      <c r="Z36" s="2448"/>
      <c r="AA36" s="2449"/>
    </row>
    <row r="37" spans="1:29" ht="18" customHeight="1">
      <c r="A37" s="2465"/>
      <c r="B37" s="2488" t="s">
        <v>1447</v>
      </c>
      <c r="C37" s="2441"/>
      <c r="D37" s="2441"/>
      <c r="E37" s="2441"/>
      <c r="F37" s="2441"/>
      <c r="G37" s="2489"/>
      <c r="H37" s="2462"/>
      <c r="I37" s="2490"/>
      <c r="J37" s="2462"/>
      <c r="K37" s="2463"/>
      <c r="L37" s="2462"/>
      <c r="M37" s="2490"/>
      <c r="N37" s="2462"/>
      <c r="O37" s="2463"/>
      <c r="P37" s="2491"/>
      <c r="Q37" s="2490"/>
      <c r="R37" s="2462"/>
      <c r="S37" s="2463"/>
      <c r="T37" s="2447"/>
      <c r="U37" s="2448"/>
      <c r="V37" s="2448"/>
      <c r="W37" s="2448"/>
      <c r="X37" s="2448"/>
      <c r="Y37" s="2448"/>
      <c r="Z37" s="2448"/>
      <c r="AA37" s="2449"/>
      <c r="AC37" s="681" t="s">
        <v>1409</v>
      </c>
    </row>
    <row r="38" spans="1:29" ht="18" customHeight="1">
      <c r="A38" s="2465"/>
      <c r="B38" s="2418" t="s">
        <v>1448</v>
      </c>
      <c r="C38" s="2419"/>
      <c r="D38" s="2419"/>
      <c r="E38" s="2419"/>
      <c r="F38" s="2419"/>
      <c r="G38" s="2419"/>
      <c r="H38" s="2420"/>
      <c r="I38" s="2420"/>
      <c r="J38" s="2420"/>
      <c r="K38" s="2420"/>
      <c r="L38" s="2421"/>
      <c r="M38" s="2421"/>
      <c r="N38" s="2421"/>
      <c r="O38" s="2421"/>
      <c r="P38" s="2421"/>
      <c r="Q38" s="2421"/>
      <c r="R38" s="2421"/>
      <c r="S38" s="2421"/>
      <c r="T38" s="2450"/>
      <c r="U38" s="2451"/>
      <c r="V38" s="2451"/>
      <c r="W38" s="2451"/>
      <c r="X38" s="2451"/>
      <c r="Y38" s="2451"/>
      <c r="Z38" s="2451"/>
      <c r="AA38" s="2452"/>
    </row>
    <row r="39" spans="1:29" ht="18" customHeight="1">
      <c r="A39" s="2465"/>
      <c r="B39" s="2422" t="s">
        <v>1449</v>
      </c>
      <c r="C39" s="2423"/>
      <c r="D39" s="2423"/>
      <c r="E39" s="2423"/>
      <c r="F39" s="2423"/>
      <c r="G39" s="2423"/>
      <c r="H39" s="2423"/>
      <c r="I39" s="2423"/>
      <c r="J39" s="2423"/>
      <c r="K39" s="2423"/>
      <c r="L39" s="2423"/>
      <c r="M39" s="2423"/>
      <c r="N39" s="2423"/>
      <c r="O39" s="2423"/>
      <c r="P39" s="2423"/>
      <c r="Q39" s="2423"/>
      <c r="R39" s="2423"/>
      <c r="S39" s="2423"/>
      <c r="T39" s="2423"/>
      <c r="U39" s="2423"/>
      <c r="V39" s="2423"/>
      <c r="W39" s="2423"/>
      <c r="X39" s="2423"/>
      <c r="Y39" s="2423"/>
      <c r="Z39" s="2423"/>
      <c r="AA39" s="2424"/>
    </row>
    <row r="40" spans="1:29" ht="18" customHeight="1">
      <c r="A40" s="2465"/>
      <c r="B40" s="2425" t="s">
        <v>1450</v>
      </c>
      <c r="C40" s="2426"/>
      <c r="D40" s="2426"/>
      <c r="E40" s="2427"/>
      <c r="F40" s="2434" t="s">
        <v>1451</v>
      </c>
      <c r="G40" s="2435"/>
      <c r="H40" s="699" t="s">
        <v>1452</v>
      </c>
      <c r="I40" s="700"/>
      <c r="J40" s="700"/>
      <c r="K40" s="701"/>
      <c r="L40" s="699"/>
      <c r="M40" s="701"/>
      <c r="N40" s="701"/>
      <c r="O40" s="701"/>
      <c r="P40" s="701"/>
      <c r="Q40" s="701"/>
      <c r="R40" s="701"/>
      <c r="S40" s="701"/>
      <c r="T40" s="701"/>
      <c r="U40" s="702"/>
      <c r="V40" s="703"/>
      <c r="W40" s="704"/>
      <c r="X40" s="2405"/>
      <c r="Y40" s="2406"/>
      <c r="Z40" s="2407" t="s">
        <v>461</v>
      </c>
      <c r="AA40" s="2408"/>
    </row>
    <row r="41" spans="1:29" ht="18" customHeight="1">
      <c r="A41" s="2465"/>
      <c r="B41" s="2428"/>
      <c r="C41" s="2429"/>
      <c r="D41" s="2429"/>
      <c r="E41" s="2430"/>
      <c r="F41" s="2436"/>
      <c r="G41" s="2437"/>
      <c r="H41" s="2440" t="s">
        <v>1453</v>
      </c>
      <c r="I41" s="2441"/>
      <c r="J41" s="2441"/>
      <c r="K41" s="2441"/>
      <c r="L41" s="699" t="s">
        <v>462</v>
      </c>
      <c r="M41" s="699"/>
      <c r="N41" s="700"/>
      <c r="O41" s="701"/>
      <c r="P41" s="701"/>
      <c r="Q41" s="701"/>
      <c r="R41" s="701"/>
      <c r="S41" s="701"/>
      <c r="T41" s="701"/>
      <c r="U41" s="702"/>
      <c r="V41" s="703"/>
      <c r="W41" s="704"/>
      <c r="X41" s="2405"/>
      <c r="Y41" s="2406"/>
      <c r="Z41" s="2407" t="s">
        <v>463</v>
      </c>
      <c r="AA41" s="2408"/>
    </row>
    <row r="42" spans="1:29" ht="18" customHeight="1" thickBot="1">
      <c r="A42" s="2466"/>
      <c r="B42" s="2431"/>
      <c r="C42" s="2432"/>
      <c r="D42" s="2432"/>
      <c r="E42" s="2433"/>
      <c r="F42" s="2438"/>
      <c r="G42" s="2439"/>
      <c r="H42" s="2442"/>
      <c r="I42" s="2443"/>
      <c r="J42" s="2443"/>
      <c r="K42" s="2443"/>
      <c r="L42" s="705" t="s">
        <v>464</v>
      </c>
      <c r="M42" s="705"/>
      <c r="N42" s="706"/>
      <c r="O42" s="706"/>
      <c r="P42" s="706"/>
      <c r="Q42" s="706"/>
      <c r="R42" s="706"/>
      <c r="S42" s="706"/>
      <c r="T42" s="706"/>
      <c r="U42" s="707"/>
      <c r="V42" s="708"/>
      <c r="W42" s="709"/>
      <c r="X42" s="2409"/>
      <c r="Y42" s="2410"/>
      <c r="Z42" s="2411" t="s">
        <v>463</v>
      </c>
      <c r="AA42" s="2412"/>
    </row>
    <row r="43" spans="1:29" ht="18" customHeight="1" thickBot="1">
      <c r="A43" s="2413" t="s">
        <v>465</v>
      </c>
      <c r="B43" s="2414"/>
      <c r="C43" s="2415"/>
      <c r="D43" s="710" t="s">
        <v>1456</v>
      </c>
      <c r="E43" s="711"/>
      <c r="F43" s="711"/>
      <c r="G43" s="711"/>
      <c r="H43" s="711"/>
      <c r="I43" s="711"/>
      <c r="J43" s="711"/>
      <c r="K43" s="711"/>
      <c r="L43" s="711"/>
      <c r="M43" s="711"/>
      <c r="N43" s="711"/>
      <c r="O43" s="711"/>
      <c r="P43" s="711"/>
      <c r="Q43" s="711"/>
      <c r="R43" s="711"/>
      <c r="S43" s="711"/>
      <c r="T43" s="711"/>
      <c r="U43" s="711"/>
      <c r="V43" s="711"/>
      <c r="W43" s="711"/>
      <c r="X43" s="711"/>
      <c r="Y43" s="711"/>
      <c r="Z43" s="711"/>
      <c r="AA43" s="712"/>
    </row>
    <row r="44" spans="1:29" ht="14.4" customHeight="1"/>
    <row r="45" spans="1:29" ht="14.4" customHeight="1">
      <c r="A45" s="681" t="s">
        <v>545</v>
      </c>
      <c r="B45" s="2416" t="s">
        <v>1457</v>
      </c>
      <c r="C45" s="2417" t="s">
        <v>1458</v>
      </c>
      <c r="D45" s="2417"/>
      <c r="E45" s="2417"/>
      <c r="F45" s="2417"/>
      <c r="G45" s="2417"/>
      <c r="H45" s="2417"/>
      <c r="I45" s="2417"/>
      <c r="J45" s="2417"/>
      <c r="K45" s="2417"/>
      <c r="L45" s="2417"/>
      <c r="M45" s="2417"/>
      <c r="N45" s="2417"/>
      <c r="O45" s="2417"/>
      <c r="P45" s="2417"/>
      <c r="Q45" s="2417"/>
      <c r="R45" s="2417"/>
      <c r="S45" s="2417"/>
      <c r="T45" s="2417"/>
      <c r="U45" s="2417"/>
      <c r="V45" s="2417"/>
      <c r="W45" s="2417"/>
      <c r="X45" s="2417"/>
      <c r="Y45" s="2417"/>
      <c r="Z45" s="2417"/>
      <c r="AA45" s="2417"/>
    </row>
    <row r="46" spans="1:29" ht="14.4" customHeight="1">
      <c r="A46" s="713"/>
      <c r="B46" s="2416"/>
      <c r="C46" s="2417"/>
      <c r="D46" s="2417"/>
      <c r="E46" s="2417"/>
      <c r="F46" s="2417"/>
      <c r="G46" s="2417"/>
      <c r="H46" s="2417"/>
      <c r="I46" s="2417"/>
      <c r="J46" s="2417"/>
      <c r="K46" s="2417"/>
      <c r="L46" s="2417"/>
      <c r="M46" s="2417"/>
      <c r="N46" s="2417"/>
      <c r="O46" s="2417"/>
      <c r="P46" s="2417"/>
      <c r="Q46" s="2417"/>
      <c r="R46" s="2417"/>
      <c r="S46" s="2417"/>
      <c r="T46" s="2417"/>
      <c r="U46" s="2417"/>
      <c r="V46" s="2417"/>
      <c r="W46" s="2417"/>
      <c r="X46" s="2417"/>
      <c r="Y46" s="2417"/>
      <c r="Z46" s="2417"/>
      <c r="AA46" s="2417"/>
    </row>
    <row r="47" spans="1:29" ht="14.4" customHeight="1">
      <c r="A47" s="714"/>
      <c r="B47" s="2416"/>
      <c r="C47" s="2417"/>
      <c r="D47" s="2417"/>
      <c r="E47" s="2417"/>
      <c r="F47" s="2417"/>
      <c r="G47" s="2417"/>
      <c r="H47" s="2417"/>
      <c r="I47" s="2417"/>
      <c r="J47" s="2417"/>
      <c r="K47" s="2417"/>
      <c r="L47" s="2417"/>
      <c r="M47" s="2417"/>
      <c r="N47" s="2417"/>
      <c r="O47" s="2417"/>
      <c r="P47" s="2417"/>
      <c r="Q47" s="2417"/>
      <c r="R47" s="2417"/>
      <c r="S47" s="2417"/>
      <c r="T47" s="2417"/>
      <c r="U47" s="2417"/>
      <c r="V47" s="2417"/>
      <c r="W47" s="2417"/>
      <c r="X47" s="2417"/>
      <c r="Y47" s="2417"/>
      <c r="Z47" s="2417"/>
      <c r="AA47" s="2417"/>
    </row>
    <row r="48" spans="1:29" ht="14.4" customHeight="1">
      <c r="A48" s="713"/>
      <c r="B48" s="2416"/>
      <c r="C48" s="2417"/>
      <c r="D48" s="2417"/>
      <c r="E48" s="2417"/>
      <c r="F48" s="2417"/>
      <c r="G48" s="2417"/>
      <c r="H48" s="2417"/>
      <c r="I48" s="2417"/>
      <c r="J48" s="2417"/>
      <c r="K48" s="2417"/>
      <c r="L48" s="2417"/>
      <c r="M48" s="2417"/>
      <c r="N48" s="2417"/>
      <c r="O48" s="2417"/>
      <c r="P48" s="2417"/>
      <c r="Q48" s="2417"/>
      <c r="R48" s="2417"/>
      <c r="S48" s="2417"/>
      <c r="T48" s="2417"/>
      <c r="U48" s="2417"/>
      <c r="V48" s="2417"/>
      <c r="W48" s="2417"/>
      <c r="X48" s="2417"/>
      <c r="Y48" s="2417"/>
      <c r="Z48" s="2417"/>
      <c r="AA48" s="2417"/>
    </row>
    <row r="49" spans="1:27" ht="14.4" customHeight="1">
      <c r="A49" s="714"/>
      <c r="B49" s="2416"/>
      <c r="C49" s="2417"/>
      <c r="D49" s="2417"/>
      <c r="E49" s="2417"/>
      <c r="F49" s="2417"/>
      <c r="G49" s="2417"/>
      <c r="H49" s="2417"/>
      <c r="I49" s="2417"/>
      <c r="J49" s="2417"/>
      <c r="K49" s="2417"/>
      <c r="L49" s="2417"/>
      <c r="M49" s="2417"/>
      <c r="N49" s="2417"/>
      <c r="O49" s="2417"/>
      <c r="P49" s="2417"/>
      <c r="Q49" s="2417"/>
      <c r="R49" s="2417"/>
      <c r="S49" s="2417"/>
      <c r="T49" s="2417"/>
      <c r="U49" s="2417"/>
      <c r="V49" s="2417"/>
      <c r="W49" s="2417"/>
      <c r="X49" s="2417"/>
      <c r="Y49" s="2417"/>
      <c r="Z49" s="2417"/>
      <c r="AA49" s="2417"/>
    </row>
  </sheetData>
  <mergeCells count="143">
    <mergeCell ref="K5:L5"/>
    <mergeCell ref="P5:AA5"/>
    <mergeCell ref="F6:I7"/>
    <mergeCell ref="L6:Q7"/>
    <mergeCell ref="T6:AA7"/>
    <mergeCell ref="F8:AA8"/>
    <mergeCell ref="A1:AA1"/>
    <mergeCell ref="A2:A10"/>
    <mergeCell ref="B2:E2"/>
    <mergeCell ref="F2:AA2"/>
    <mergeCell ref="B3:E3"/>
    <mergeCell ref="B4:E4"/>
    <mergeCell ref="F4:AA4"/>
    <mergeCell ref="B5:E8"/>
    <mergeCell ref="F5:G5"/>
    <mergeCell ref="H5:I5"/>
    <mergeCell ref="N13:O13"/>
    <mergeCell ref="F14:M14"/>
    <mergeCell ref="N14:O14"/>
    <mergeCell ref="A15:A17"/>
    <mergeCell ref="B15:E15"/>
    <mergeCell ref="F15:M15"/>
    <mergeCell ref="N15:O17"/>
    <mergeCell ref="V9:AA9"/>
    <mergeCell ref="F10:G10"/>
    <mergeCell ref="H10:AA10"/>
    <mergeCell ref="A11:E14"/>
    <mergeCell ref="F11:M11"/>
    <mergeCell ref="N11:O11"/>
    <mergeCell ref="P11:AA14"/>
    <mergeCell ref="F12:M12"/>
    <mergeCell ref="N12:O12"/>
    <mergeCell ref="F13:M13"/>
    <mergeCell ref="B9:E10"/>
    <mergeCell ref="F9:G9"/>
    <mergeCell ref="H9:M9"/>
    <mergeCell ref="N9:O9"/>
    <mergeCell ref="P9:R9"/>
    <mergeCell ref="S9:U9"/>
    <mergeCell ref="P15:Q15"/>
    <mergeCell ref="R15:S15"/>
    <mergeCell ref="U15:V15"/>
    <mergeCell ref="W15:AA15"/>
    <mergeCell ref="B16:E16"/>
    <mergeCell ref="F16:M16"/>
    <mergeCell ref="P16:AA17"/>
    <mergeCell ref="B17:E17"/>
    <mergeCell ref="F17:M17"/>
    <mergeCell ref="B18:K18"/>
    <mergeCell ref="L18:AA18"/>
    <mergeCell ref="A19:A30"/>
    <mergeCell ref="B19:K19"/>
    <mergeCell ref="N19:S19"/>
    <mergeCell ref="B20:O20"/>
    <mergeCell ref="P20:R20"/>
    <mergeCell ref="B21:AA21"/>
    <mergeCell ref="B22:G23"/>
    <mergeCell ref="H22:K22"/>
    <mergeCell ref="B24:G24"/>
    <mergeCell ref="H24:I24"/>
    <mergeCell ref="J24:K24"/>
    <mergeCell ref="L24:M24"/>
    <mergeCell ref="N24:O24"/>
    <mergeCell ref="P24:Q24"/>
    <mergeCell ref="L22:O22"/>
    <mergeCell ref="P22:S22"/>
    <mergeCell ref="T22:AA26"/>
    <mergeCell ref="H23:I23"/>
    <mergeCell ref="J23:K23"/>
    <mergeCell ref="L23:M23"/>
    <mergeCell ref="N23:O23"/>
    <mergeCell ref="P23:Q23"/>
    <mergeCell ref="R23:S23"/>
    <mergeCell ref="R24:S24"/>
    <mergeCell ref="R25:S25"/>
    <mergeCell ref="B26:G26"/>
    <mergeCell ref="H26:K26"/>
    <mergeCell ref="L26:O26"/>
    <mergeCell ref="P26:S26"/>
    <mergeCell ref="B27:AA27"/>
    <mergeCell ref="B25:G25"/>
    <mergeCell ref="H25:I25"/>
    <mergeCell ref="J25:K25"/>
    <mergeCell ref="L25:M25"/>
    <mergeCell ref="N25:O25"/>
    <mergeCell ref="P25:Q25"/>
    <mergeCell ref="B28:E30"/>
    <mergeCell ref="F28:G30"/>
    <mergeCell ref="X28:Y28"/>
    <mergeCell ref="Z28:AA28"/>
    <mergeCell ref="H29:K30"/>
    <mergeCell ref="X29:Y29"/>
    <mergeCell ref="Z29:AA29"/>
    <mergeCell ref="X30:Y30"/>
    <mergeCell ref="Z30:AA30"/>
    <mergeCell ref="R36:S36"/>
    <mergeCell ref="R37:S37"/>
    <mergeCell ref="A31:A42"/>
    <mergeCell ref="B31:K31"/>
    <mergeCell ref="N31:S31"/>
    <mergeCell ref="B32:O32"/>
    <mergeCell ref="P32:R32"/>
    <mergeCell ref="B33:AA33"/>
    <mergeCell ref="B34:G35"/>
    <mergeCell ref="H34:K34"/>
    <mergeCell ref="L34:O34"/>
    <mergeCell ref="P34:S34"/>
    <mergeCell ref="B37:G37"/>
    <mergeCell ref="H37:I37"/>
    <mergeCell ref="J37:K37"/>
    <mergeCell ref="L37:M37"/>
    <mergeCell ref="N37:O37"/>
    <mergeCell ref="P37:Q37"/>
    <mergeCell ref="B36:G36"/>
    <mergeCell ref="H36:I36"/>
    <mergeCell ref="J36:K36"/>
    <mergeCell ref="L36:M36"/>
    <mergeCell ref="N36:O36"/>
    <mergeCell ref="P36:Q36"/>
    <mergeCell ref="X41:Y41"/>
    <mergeCell ref="Z41:AA41"/>
    <mergeCell ref="X42:Y42"/>
    <mergeCell ref="Z42:AA42"/>
    <mergeCell ref="A43:C43"/>
    <mergeCell ref="B45:B49"/>
    <mergeCell ref="C45:AA49"/>
    <mergeCell ref="B38:G38"/>
    <mergeCell ref="H38:K38"/>
    <mergeCell ref="L38:O38"/>
    <mergeCell ref="P38:S38"/>
    <mergeCell ref="B39:AA39"/>
    <mergeCell ref="B40:E42"/>
    <mergeCell ref="F40:G42"/>
    <mergeCell ref="X40:Y40"/>
    <mergeCell ref="Z40:AA40"/>
    <mergeCell ref="H41:K42"/>
    <mergeCell ref="T34:AA38"/>
    <mergeCell ref="H35:I35"/>
    <mergeCell ref="J35:K35"/>
    <mergeCell ref="L35:M35"/>
    <mergeCell ref="N35:O35"/>
    <mergeCell ref="P35:Q35"/>
    <mergeCell ref="R35:S35"/>
  </mergeCells>
  <phoneticPr fontId="3"/>
  <dataValidations count="1">
    <dataValidation type="list" allowBlank="1" showInputMessage="1" showErrorMessage="1" sqref="N11:N14" xr:uid="{CC160E2B-7965-48F5-82E4-BCE8A6FA989E}">
      <formula1>"○"</formula1>
    </dataValidation>
  </dataValidations>
  <pageMargins left="0.7" right="0.7" top="0.75" bottom="0.75" header="0.3" footer="0.3"/>
  <pageSetup paperSize="9" scale="7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9041" r:id="rId4" name="Check Box 1">
              <controlPr defaultSize="0" autoFill="0" autoLine="0" autoPict="0">
                <anchor moveWithCells="1">
                  <from>
                    <xdr:col>12</xdr:col>
                    <xdr:colOff>60960</xdr:colOff>
                    <xdr:row>17</xdr:row>
                    <xdr:rowOff>213360</xdr:rowOff>
                  </from>
                  <to>
                    <xdr:col>13</xdr:col>
                    <xdr:colOff>0</xdr:colOff>
                    <xdr:row>19</xdr:row>
                    <xdr:rowOff>99060</xdr:rowOff>
                  </to>
                </anchor>
              </controlPr>
            </control>
          </mc:Choice>
        </mc:AlternateContent>
        <mc:AlternateContent xmlns:mc="http://schemas.openxmlformats.org/markup-compatibility/2006">
          <mc:Choice Requires="x14">
            <control shapeId="599042" r:id="rId5" name="Check Box 2">
              <controlPr defaultSize="0" autoFill="0" autoLine="0" autoPict="0">
                <anchor moveWithCells="1">
                  <from>
                    <xdr:col>20</xdr:col>
                    <xdr:colOff>76200</xdr:colOff>
                    <xdr:row>17</xdr:row>
                    <xdr:rowOff>213360</xdr:rowOff>
                  </from>
                  <to>
                    <xdr:col>21</xdr:col>
                    <xdr:colOff>22860</xdr:colOff>
                    <xdr:row>19</xdr:row>
                    <xdr:rowOff>99060</xdr:rowOff>
                  </to>
                </anchor>
              </controlPr>
            </control>
          </mc:Choice>
        </mc:AlternateContent>
        <mc:AlternateContent xmlns:mc="http://schemas.openxmlformats.org/markup-compatibility/2006">
          <mc:Choice Requires="x14">
            <control shapeId="599043" r:id="rId6" name="Check Box 3">
              <controlPr defaultSize="0" autoFill="0" autoLine="0" autoPict="0">
                <anchor moveWithCells="1">
                  <from>
                    <xdr:col>12</xdr:col>
                    <xdr:colOff>60960</xdr:colOff>
                    <xdr:row>30</xdr:row>
                    <xdr:rowOff>0</xdr:rowOff>
                  </from>
                  <to>
                    <xdr:col>13</xdr:col>
                    <xdr:colOff>0</xdr:colOff>
                    <xdr:row>31</xdr:row>
                    <xdr:rowOff>60960</xdr:rowOff>
                  </to>
                </anchor>
              </controlPr>
            </control>
          </mc:Choice>
        </mc:AlternateContent>
        <mc:AlternateContent xmlns:mc="http://schemas.openxmlformats.org/markup-compatibility/2006">
          <mc:Choice Requires="x14">
            <control shapeId="599044" r:id="rId7" name="Check Box 4">
              <controlPr defaultSize="0" autoFill="0" autoLine="0" autoPict="0">
                <anchor moveWithCells="1">
                  <from>
                    <xdr:col>20</xdr:col>
                    <xdr:colOff>76200</xdr:colOff>
                    <xdr:row>30</xdr:row>
                    <xdr:rowOff>0</xdr:rowOff>
                  </from>
                  <to>
                    <xdr:col>21</xdr:col>
                    <xdr:colOff>22860</xdr:colOff>
                    <xdr:row>31</xdr:row>
                    <xdr:rowOff>60960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P61"/>
  <sheetViews>
    <sheetView view="pageBreakPreview" zoomScaleNormal="100" zoomScaleSheetLayoutView="100" workbookViewId="0">
      <selection sqref="A1:AA1"/>
    </sheetView>
  </sheetViews>
  <sheetFormatPr defaultColWidth="9" defaultRowHeight="12"/>
  <cols>
    <col min="1" max="1" width="1" style="85" customWidth="1"/>
    <col min="2" max="4" width="5.44140625" style="85" customWidth="1"/>
    <col min="5" max="13" width="5.6640625" style="85" customWidth="1"/>
    <col min="14" max="14" width="4.6640625" style="85" customWidth="1"/>
    <col min="15" max="19" width="5.6640625" style="85" customWidth="1"/>
    <col min="20" max="20" width="1.33203125" style="85" customWidth="1"/>
    <col min="21" max="21" width="1" style="85" customWidth="1"/>
    <col min="22" max="24" width="5.44140625" style="85" customWidth="1"/>
    <col min="25" max="33" width="5.6640625" style="85" customWidth="1"/>
    <col min="34" max="34" width="4.6640625" style="85" customWidth="1"/>
    <col min="35" max="39" width="5.6640625" style="85" customWidth="1"/>
    <col min="40" max="40" width="1.33203125" style="85" customWidth="1"/>
    <col min="41" max="41" width="1.6640625" style="85" customWidth="1"/>
    <col min="42" max="54" width="5.44140625" style="85" customWidth="1"/>
    <col min="55" max="16384" width="9" style="85"/>
  </cols>
  <sheetData>
    <row r="1" spans="2:42">
      <c r="B1" s="85" t="s">
        <v>1037</v>
      </c>
      <c r="V1" s="85" t="s">
        <v>1037</v>
      </c>
    </row>
    <row r="2" spans="2:42" ht="19.2">
      <c r="B2" s="2695" t="s">
        <v>670</v>
      </c>
      <c r="C2" s="2695"/>
      <c r="D2" s="2695"/>
      <c r="E2" s="2695"/>
      <c r="F2" s="2695"/>
      <c r="G2" s="2695"/>
      <c r="H2" s="2695"/>
      <c r="I2" s="2695"/>
      <c r="J2" s="2695"/>
      <c r="K2" s="2695"/>
      <c r="L2" s="2695"/>
      <c r="M2" s="2695"/>
      <c r="N2" s="2695"/>
      <c r="O2" s="2695"/>
      <c r="P2" s="2695"/>
      <c r="Q2" s="2695"/>
      <c r="R2" s="2695"/>
      <c r="S2" s="2695"/>
      <c r="V2" s="2695" t="s">
        <v>671</v>
      </c>
      <c r="W2" s="2695"/>
      <c r="X2" s="2695"/>
      <c r="Y2" s="2695"/>
      <c r="Z2" s="2695"/>
      <c r="AA2" s="2695"/>
      <c r="AB2" s="2695"/>
      <c r="AC2" s="2695"/>
      <c r="AD2" s="2695"/>
      <c r="AE2" s="2695"/>
      <c r="AF2" s="2695"/>
      <c r="AG2" s="2695"/>
      <c r="AH2" s="2695"/>
      <c r="AI2" s="2695"/>
      <c r="AJ2" s="2695"/>
      <c r="AK2" s="2695"/>
      <c r="AL2" s="2695"/>
      <c r="AM2" s="2695"/>
      <c r="AP2" s="107" t="s">
        <v>392</v>
      </c>
    </row>
    <row r="3" spans="2:42">
      <c r="AP3" s="107" t="s">
        <v>403</v>
      </c>
    </row>
    <row r="4" spans="2:42" ht="13.5" customHeight="1">
      <c r="B4" s="2696" t="s">
        <v>360</v>
      </c>
      <c r="C4" s="2697"/>
      <c r="D4" s="2704"/>
      <c r="E4" s="2705"/>
      <c r="F4" s="2705"/>
      <c r="G4" s="2705"/>
      <c r="H4" s="2705"/>
      <c r="I4" s="2705"/>
      <c r="J4" s="2705"/>
      <c r="K4" s="2705"/>
      <c r="L4" s="2705"/>
      <c r="M4" s="2705"/>
      <c r="N4" s="2705"/>
      <c r="O4" s="2706"/>
      <c r="P4" s="2700" t="s">
        <v>114</v>
      </c>
      <c r="Q4" s="2701"/>
      <c r="R4" s="2724"/>
      <c r="S4" s="2725"/>
      <c r="V4" s="2696" t="s">
        <v>360</v>
      </c>
      <c r="W4" s="2697"/>
      <c r="X4" s="2717">
        <f>D4</f>
        <v>0</v>
      </c>
      <c r="Y4" s="2718"/>
      <c r="Z4" s="2718"/>
      <c r="AA4" s="2718"/>
      <c r="AB4" s="2718"/>
      <c r="AC4" s="2718"/>
      <c r="AD4" s="2718"/>
      <c r="AE4" s="2718"/>
      <c r="AF4" s="2718"/>
      <c r="AG4" s="2718"/>
      <c r="AH4" s="2718"/>
      <c r="AI4" s="2719"/>
      <c r="AJ4" s="2700" t="s">
        <v>114</v>
      </c>
      <c r="AK4" s="2701"/>
      <c r="AL4" s="2713">
        <f>R4</f>
        <v>0</v>
      </c>
      <c r="AM4" s="2714"/>
      <c r="AP4" s="107" t="s">
        <v>404</v>
      </c>
    </row>
    <row r="5" spans="2:42" ht="13.5" customHeight="1">
      <c r="B5" s="2698"/>
      <c r="C5" s="2699"/>
      <c r="D5" s="2707"/>
      <c r="E5" s="2708"/>
      <c r="F5" s="2708"/>
      <c r="G5" s="2708"/>
      <c r="H5" s="2708"/>
      <c r="I5" s="2708"/>
      <c r="J5" s="2708"/>
      <c r="K5" s="2708"/>
      <c r="L5" s="2708"/>
      <c r="M5" s="2708"/>
      <c r="N5" s="2708"/>
      <c r="O5" s="2709"/>
      <c r="P5" s="2702"/>
      <c r="Q5" s="2703"/>
      <c r="R5" s="2726"/>
      <c r="S5" s="2727"/>
      <c r="V5" s="2698"/>
      <c r="W5" s="2699"/>
      <c r="X5" s="2720"/>
      <c r="Y5" s="2721"/>
      <c r="Z5" s="2721"/>
      <c r="AA5" s="2721"/>
      <c r="AB5" s="2721"/>
      <c r="AC5" s="2721"/>
      <c r="AD5" s="2721"/>
      <c r="AE5" s="2721"/>
      <c r="AF5" s="2721"/>
      <c r="AG5" s="2721"/>
      <c r="AH5" s="2721"/>
      <c r="AI5" s="2722"/>
      <c r="AJ5" s="2702"/>
      <c r="AK5" s="2703"/>
      <c r="AL5" s="2715"/>
      <c r="AM5" s="2716"/>
      <c r="AP5" s="107" t="s">
        <v>405</v>
      </c>
    </row>
    <row r="6" spans="2:42">
      <c r="AP6" s="107" t="s">
        <v>406</v>
      </c>
    </row>
    <row r="7" spans="2:42" ht="24" customHeight="1">
      <c r="B7" s="1956" t="s">
        <v>368</v>
      </c>
      <c r="C7" s="1956"/>
      <c r="D7" s="156" t="s">
        <v>361</v>
      </c>
      <c r="E7" s="108"/>
      <c r="F7" s="109" t="s">
        <v>89</v>
      </c>
      <c r="G7" s="2711" t="s">
        <v>669</v>
      </c>
      <c r="H7" s="2712"/>
      <c r="I7" s="344"/>
      <c r="J7" s="345" t="s">
        <v>89</v>
      </c>
      <c r="K7" s="345"/>
      <c r="L7" s="346"/>
      <c r="M7" s="345"/>
      <c r="N7" s="345"/>
      <c r="O7" s="346"/>
      <c r="P7" s="345"/>
      <c r="Q7" s="347"/>
      <c r="R7" s="87"/>
      <c r="V7" s="1956" t="s">
        <v>368</v>
      </c>
      <c r="W7" s="1956"/>
      <c r="X7" s="156" t="s">
        <v>361</v>
      </c>
      <c r="Y7" s="115" t="str">
        <f>IF(E7="","",E7)</f>
        <v/>
      </c>
      <c r="Z7" s="109" t="s">
        <v>89</v>
      </c>
      <c r="AA7" s="156"/>
      <c r="AB7" s="110"/>
      <c r="AC7" s="110"/>
      <c r="AD7" s="110"/>
      <c r="AE7" s="110"/>
      <c r="AF7" s="110"/>
      <c r="AG7" s="110"/>
      <c r="AH7" s="110"/>
      <c r="AI7" s="110"/>
      <c r="AJ7" s="110"/>
      <c r="AK7" s="157"/>
      <c r="AL7" s="87"/>
      <c r="AP7" s="107" t="s">
        <v>407</v>
      </c>
    </row>
    <row r="8" spans="2:42" ht="24" customHeight="1">
      <c r="B8" s="2689" t="s">
        <v>369</v>
      </c>
      <c r="C8" s="2690"/>
      <c r="D8" s="156" t="s">
        <v>361</v>
      </c>
      <c r="E8" s="108"/>
      <c r="F8" s="116" t="s">
        <v>89</v>
      </c>
      <c r="G8" s="99" t="s">
        <v>370</v>
      </c>
      <c r="H8" s="637"/>
      <c r="I8" s="158" t="s">
        <v>371</v>
      </c>
      <c r="J8" s="158" t="s">
        <v>409</v>
      </c>
      <c r="K8" s="2688"/>
      <c r="L8" s="2688"/>
      <c r="M8" s="2687" t="s">
        <v>372</v>
      </c>
      <c r="N8" s="2687"/>
      <c r="O8" s="2688"/>
      <c r="P8" s="2688"/>
      <c r="Q8" s="111" t="s">
        <v>373</v>
      </c>
      <c r="R8" s="96"/>
      <c r="V8" s="2689" t="s">
        <v>369</v>
      </c>
      <c r="W8" s="2690"/>
      <c r="X8" s="156" t="s">
        <v>361</v>
      </c>
      <c r="Y8" s="115" t="str">
        <f>IF(E8="","",E8)</f>
        <v/>
      </c>
      <c r="Z8" s="116" t="s">
        <v>89</v>
      </c>
      <c r="AA8" s="99" t="s">
        <v>370</v>
      </c>
      <c r="AB8" s="174" t="str">
        <f>IF(H8="","",H8)</f>
        <v/>
      </c>
      <c r="AC8" s="158" t="s">
        <v>371</v>
      </c>
      <c r="AD8" s="158" t="s">
        <v>409</v>
      </c>
      <c r="AE8" s="2691" t="str">
        <f>IF(K8="","",K8)</f>
        <v/>
      </c>
      <c r="AF8" s="2691"/>
      <c r="AG8" s="2687" t="s">
        <v>372</v>
      </c>
      <c r="AH8" s="2687"/>
      <c r="AI8" s="2691" t="str">
        <f>IF(O8="","",O8)</f>
        <v/>
      </c>
      <c r="AJ8" s="2691"/>
      <c r="AK8" s="111" t="s">
        <v>373</v>
      </c>
      <c r="AL8" s="96"/>
      <c r="AP8" s="107" t="s">
        <v>115</v>
      </c>
    </row>
    <row r="9" spans="2:42">
      <c r="B9" s="2710" t="s">
        <v>668</v>
      </c>
      <c r="C9" s="2710"/>
      <c r="D9" s="2710"/>
      <c r="E9" s="2710"/>
      <c r="F9" s="2710"/>
      <c r="G9" s="2710"/>
      <c r="H9" s="2710"/>
      <c r="I9" s="2710"/>
      <c r="J9" s="2710"/>
      <c r="K9" s="2710"/>
      <c r="L9" s="2710"/>
      <c r="M9" s="2710"/>
      <c r="N9" s="2710"/>
      <c r="O9" s="2710"/>
      <c r="P9" s="2710"/>
      <c r="Q9" s="2710"/>
      <c r="R9" s="2710"/>
      <c r="S9" s="2710"/>
      <c r="AP9" s="107"/>
    </row>
    <row r="10" spans="2:42">
      <c r="B10" s="2710"/>
      <c r="C10" s="2710"/>
      <c r="D10" s="2710"/>
      <c r="E10" s="2710"/>
      <c r="F10" s="2710"/>
      <c r="G10" s="2710"/>
      <c r="H10" s="2710"/>
      <c r="I10" s="2710"/>
      <c r="J10" s="2710"/>
      <c r="K10" s="2710"/>
      <c r="L10" s="2710"/>
      <c r="M10" s="2710"/>
      <c r="N10" s="2710"/>
      <c r="O10" s="2710"/>
      <c r="P10" s="2710"/>
      <c r="Q10" s="2710"/>
      <c r="R10" s="2710"/>
      <c r="S10" s="2710"/>
    </row>
    <row r="11" spans="2:42" ht="24" customHeight="1">
      <c r="B11" s="2694" t="s">
        <v>374</v>
      </c>
      <c r="C11" s="2694"/>
      <c r="D11" s="2694"/>
      <c r="E11" s="2694"/>
      <c r="F11" s="85" t="s">
        <v>408</v>
      </c>
      <c r="V11" s="2694" t="s">
        <v>387</v>
      </c>
      <c r="W11" s="2694"/>
      <c r="X11" s="2694"/>
      <c r="Y11" s="2694"/>
      <c r="Z11" s="85" t="s">
        <v>410</v>
      </c>
    </row>
    <row r="12" spans="2:42">
      <c r="B12" s="85" t="s">
        <v>375</v>
      </c>
      <c r="V12" s="85" t="s">
        <v>411</v>
      </c>
    </row>
    <row r="13" spans="2:42" ht="15" customHeight="1">
      <c r="B13" s="2678" t="s">
        <v>362</v>
      </c>
      <c r="C13" s="2679"/>
      <c r="D13" s="2680"/>
      <c r="E13" s="2678" t="s">
        <v>363</v>
      </c>
      <c r="F13" s="2679"/>
      <c r="G13" s="2679"/>
      <c r="H13" s="2679"/>
      <c r="I13" s="2680"/>
      <c r="J13" s="2678" t="s">
        <v>364</v>
      </c>
      <c r="K13" s="2679"/>
      <c r="L13" s="2679"/>
      <c r="M13" s="1992" t="s">
        <v>365</v>
      </c>
      <c r="N13" s="2680"/>
      <c r="O13" s="2678" t="s">
        <v>366</v>
      </c>
      <c r="P13" s="2679"/>
      <c r="Q13" s="2679"/>
      <c r="R13" s="2679"/>
      <c r="S13" s="2680"/>
      <c r="V13" s="85" t="s">
        <v>388</v>
      </c>
      <c r="Y13" s="130"/>
      <c r="Z13" s="130"/>
      <c r="AA13" s="130"/>
      <c r="AB13" s="130"/>
      <c r="AC13" s="130"/>
      <c r="AD13" s="130"/>
      <c r="AE13" s="130"/>
      <c r="AF13" s="130"/>
      <c r="AG13" s="137"/>
      <c r="AH13" s="130"/>
      <c r="AI13" s="130"/>
      <c r="AJ13" s="130"/>
      <c r="AK13" s="130"/>
      <c r="AL13" s="130"/>
      <c r="AM13" s="130"/>
    </row>
    <row r="14" spans="2:42" ht="15" customHeight="1">
      <c r="B14" s="2681"/>
      <c r="C14" s="1987"/>
      <c r="D14" s="2682"/>
      <c r="E14" s="2681"/>
      <c r="F14" s="1987"/>
      <c r="G14" s="1987"/>
      <c r="H14" s="1987"/>
      <c r="I14" s="2682"/>
      <c r="J14" s="2683"/>
      <c r="K14" s="2684"/>
      <c r="L14" s="2684"/>
      <c r="M14" s="2692" t="s">
        <v>412</v>
      </c>
      <c r="N14" s="2693"/>
      <c r="O14" s="2683"/>
      <c r="P14" s="2684"/>
      <c r="Q14" s="2684"/>
      <c r="R14" s="2684"/>
      <c r="S14" s="2723"/>
      <c r="Y14" s="130"/>
      <c r="Z14" s="130"/>
      <c r="AA14" s="130"/>
      <c r="AB14" s="130"/>
      <c r="AC14" s="130"/>
      <c r="AD14" s="130"/>
      <c r="AE14" s="130"/>
      <c r="AF14" s="130"/>
      <c r="AG14" s="137"/>
      <c r="AH14" s="137"/>
      <c r="AI14" s="130"/>
      <c r="AJ14" s="130"/>
      <c r="AK14" s="130"/>
      <c r="AL14" s="130"/>
      <c r="AM14" s="130"/>
    </row>
    <row r="15" spans="2:42" ht="15" customHeight="1">
      <c r="B15" s="112" t="s">
        <v>376</v>
      </c>
      <c r="C15" s="172"/>
      <c r="D15" s="172"/>
      <c r="E15" s="2615" t="s">
        <v>413</v>
      </c>
      <c r="F15" s="2616"/>
      <c r="G15" s="2616"/>
      <c r="H15" s="2616"/>
      <c r="I15" s="2617"/>
      <c r="J15" s="2649" t="str">
        <f>IF(F17="","",ROUNDDOWN(F17/H17,1))</f>
        <v/>
      </c>
      <c r="K15" s="2649"/>
      <c r="L15" s="2609" t="s">
        <v>378</v>
      </c>
      <c r="M15" s="2603"/>
      <c r="N15" s="2612" t="s">
        <v>89</v>
      </c>
      <c r="O15" s="2615" t="s">
        <v>414</v>
      </c>
      <c r="P15" s="2616"/>
      <c r="Q15" s="2616"/>
      <c r="R15" s="2616"/>
      <c r="S15" s="2617"/>
      <c r="V15" s="85" t="s">
        <v>389</v>
      </c>
      <c r="Y15" s="132"/>
      <c r="Z15" s="132"/>
      <c r="AA15" s="132"/>
      <c r="AB15" s="132"/>
      <c r="AC15" s="132"/>
      <c r="AD15" s="136"/>
      <c r="AE15" s="136"/>
      <c r="AF15" s="131"/>
      <c r="AG15" s="136"/>
      <c r="AH15" s="131"/>
      <c r="AI15" s="132"/>
      <c r="AJ15" s="132"/>
      <c r="AK15" s="132"/>
      <c r="AL15" s="132"/>
      <c r="AM15" s="132"/>
    </row>
    <row r="16" spans="2:42" ht="15" customHeight="1">
      <c r="B16" s="88"/>
      <c r="E16" s="2618"/>
      <c r="F16" s="2619"/>
      <c r="G16" s="2619"/>
      <c r="H16" s="2619"/>
      <c r="I16" s="2620"/>
      <c r="J16" s="2651"/>
      <c r="K16" s="2651"/>
      <c r="L16" s="2610"/>
      <c r="M16" s="2605"/>
      <c r="N16" s="2613"/>
      <c r="O16" s="2618"/>
      <c r="P16" s="2619"/>
      <c r="Q16" s="2619"/>
      <c r="R16" s="2619"/>
      <c r="S16" s="2620"/>
      <c r="V16" s="85" t="s">
        <v>415</v>
      </c>
      <c r="Y16" s="132"/>
      <c r="Z16" s="132"/>
      <c r="AA16" s="132"/>
      <c r="AB16" s="132"/>
      <c r="AC16" s="132"/>
      <c r="AD16" s="136"/>
      <c r="AE16" s="136"/>
      <c r="AF16" s="131"/>
      <c r="AG16" s="136"/>
      <c r="AH16" s="131"/>
      <c r="AI16" s="132"/>
      <c r="AJ16" s="132"/>
      <c r="AK16" s="132"/>
      <c r="AL16" s="132"/>
      <c r="AM16" s="132"/>
    </row>
    <row r="17" spans="2:39" ht="15" customHeight="1">
      <c r="B17" s="114"/>
      <c r="C17" s="173"/>
      <c r="D17" s="173"/>
      <c r="E17" s="120" t="s">
        <v>361</v>
      </c>
      <c r="F17" s="121" t="str">
        <f>IF(E7="","",E7)</f>
        <v/>
      </c>
      <c r="G17" s="119" t="s">
        <v>380</v>
      </c>
      <c r="H17" s="122">
        <v>100</v>
      </c>
      <c r="I17" s="167" t="s">
        <v>416</v>
      </c>
      <c r="J17" s="2653"/>
      <c r="K17" s="2653"/>
      <c r="L17" s="2611"/>
      <c r="M17" s="2607"/>
      <c r="N17" s="2614"/>
      <c r="O17" s="2618"/>
      <c r="P17" s="2619"/>
      <c r="Q17" s="2619"/>
      <c r="R17" s="2619"/>
      <c r="S17" s="2620"/>
      <c r="V17" s="85" t="s">
        <v>417</v>
      </c>
      <c r="Y17" s="134"/>
      <c r="Z17" s="132"/>
      <c r="AA17" s="134"/>
      <c r="AB17" s="134"/>
      <c r="AC17" s="132"/>
      <c r="AD17" s="136"/>
      <c r="AE17" s="136"/>
      <c r="AF17" s="131"/>
      <c r="AG17" s="136"/>
      <c r="AH17" s="131"/>
      <c r="AI17" s="132"/>
      <c r="AJ17" s="132"/>
      <c r="AK17" s="132"/>
      <c r="AL17" s="132"/>
      <c r="AM17" s="132"/>
    </row>
    <row r="18" spans="2:39" ht="15" customHeight="1">
      <c r="B18" s="88" t="s">
        <v>367</v>
      </c>
      <c r="D18" s="170"/>
      <c r="E18" s="2618" t="s">
        <v>418</v>
      </c>
      <c r="F18" s="2619"/>
      <c r="G18" s="2619"/>
      <c r="H18" s="2619"/>
      <c r="I18" s="2620"/>
      <c r="J18" s="2648" t="str">
        <f>IF(F21="","",ROUNDDOWN(F21/H21,1))</f>
        <v/>
      </c>
      <c r="K18" s="2649"/>
      <c r="L18" s="113"/>
      <c r="M18" s="2603"/>
      <c r="N18" s="2612" t="s">
        <v>89</v>
      </c>
      <c r="O18" s="2615" t="s">
        <v>419</v>
      </c>
      <c r="P18" s="2616"/>
      <c r="Q18" s="2616"/>
      <c r="R18" s="2616"/>
      <c r="S18" s="2617"/>
      <c r="Y18" s="132"/>
      <c r="Z18" s="132"/>
      <c r="AA18" s="132"/>
      <c r="AB18" s="132"/>
      <c r="AC18" s="132"/>
      <c r="AD18" s="136"/>
      <c r="AE18" s="136"/>
      <c r="AF18" s="138"/>
      <c r="AG18" s="136"/>
      <c r="AH18" s="131"/>
      <c r="AI18" s="132"/>
      <c r="AJ18" s="132"/>
      <c r="AK18" s="132"/>
      <c r="AL18" s="132"/>
      <c r="AM18" s="132"/>
    </row>
    <row r="19" spans="2:39" ht="15" customHeight="1">
      <c r="B19" s="88"/>
      <c r="D19" s="170"/>
      <c r="E19" s="2618"/>
      <c r="F19" s="2619"/>
      <c r="G19" s="2619"/>
      <c r="H19" s="2619"/>
      <c r="I19" s="2620"/>
      <c r="J19" s="2685" t="s">
        <v>420</v>
      </c>
      <c r="K19" s="2686"/>
      <c r="L19" s="170"/>
      <c r="M19" s="2605"/>
      <c r="N19" s="2613"/>
      <c r="O19" s="2618"/>
      <c r="P19" s="2619"/>
      <c r="Q19" s="2619"/>
      <c r="R19" s="2619"/>
      <c r="S19" s="2620"/>
      <c r="V19" s="85" t="s">
        <v>390</v>
      </c>
      <c r="Y19" s="132"/>
      <c r="Z19" s="132"/>
      <c r="AA19" s="132"/>
      <c r="AB19" s="132"/>
      <c r="AC19" s="132"/>
      <c r="AD19" s="133"/>
      <c r="AE19" s="133"/>
      <c r="AF19" s="131"/>
      <c r="AG19" s="136"/>
      <c r="AH19" s="131"/>
      <c r="AI19" s="132"/>
      <c r="AJ19" s="132"/>
      <c r="AK19" s="132"/>
      <c r="AL19" s="132"/>
      <c r="AM19" s="132"/>
    </row>
    <row r="20" spans="2:39" ht="15" customHeight="1">
      <c r="B20" s="88"/>
      <c r="D20" s="170"/>
      <c r="E20" s="2618"/>
      <c r="F20" s="2619"/>
      <c r="G20" s="2619"/>
      <c r="H20" s="2619"/>
      <c r="I20" s="2620"/>
      <c r="J20" s="2650" t="str">
        <f>IF(F21="","",ROUNDUP(J18,0))</f>
        <v/>
      </c>
      <c r="K20" s="2651"/>
      <c r="L20" s="2610" t="s">
        <v>378</v>
      </c>
      <c r="M20" s="2605"/>
      <c r="N20" s="2613"/>
      <c r="O20" s="2618"/>
      <c r="P20" s="2619"/>
      <c r="Q20" s="2619"/>
      <c r="R20" s="2619"/>
      <c r="S20" s="2620"/>
      <c r="V20" s="85" t="s">
        <v>421</v>
      </c>
      <c r="Y20" s="132"/>
      <c r="Z20" s="132"/>
      <c r="AA20" s="132"/>
      <c r="AB20" s="132"/>
      <c r="AC20" s="132"/>
      <c r="AD20" s="136"/>
      <c r="AE20" s="136"/>
      <c r="AF20" s="131"/>
      <c r="AG20" s="136"/>
      <c r="AH20" s="131"/>
      <c r="AI20" s="132"/>
      <c r="AJ20" s="132"/>
      <c r="AK20" s="132"/>
      <c r="AL20" s="132"/>
      <c r="AM20" s="132"/>
    </row>
    <row r="21" spans="2:39" ht="15" customHeight="1">
      <c r="B21" s="88"/>
      <c r="D21" s="170"/>
      <c r="E21" s="123" t="s">
        <v>361</v>
      </c>
      <c r="F21" s="124" t="str">
        <f>IF(E7="","",E7)</f>
        <v/>
      </c>
      <c r="G21" s="125" t="s">
        <v>380</v>
      </c>
      <c r="H21" s="126">
        <v>3</v>
      </c>
      <c r="I21" s="164" t="s">
        <v>416</v>
      </c>
      <c r="J21" s="2650"/>
      <c r="K21" s="2651"/>
      <c r="L21" s="2610"/>
      <c r="M21" s="2607"/>
      <c r="N21" s="2614"/>
      <c r="O21" s="2621"/>
      <c r="P21" s="2622"/>
      <c r="Q21" s="2622"/>
      <c r="R21" s="2622"/>
      <c r="S21" s="2623"/>
      <c r="W21" s="2655" t="s">
        <v>391</v>
      </c>
      <c r="X21" s="2656"/>
      <c r="Y21" s="2656"/>
      <c r="Z21" s="2656"/>
      <c r="AA21" s="2656"/>
      <c r="AB21" s="2656"/>
      <c r="AC21" s="2656"/>
      <c r="AD21" s="2656"/>
      <c r="AE21" s="2656"/>
      <c r="AF21" s="2656"/>
      <c r="AG21" s="2656"/>
      <c r="AH21" s="2656"/>
      <c r="AI21" s="2656"/>
      <c r="AJ21" s="2656"/>
      <c r="AK21" s="2656"/>
      <c r="AL21" s="2656"/>
      <c r="AM21" s="2657"/>
    </row>
    <row r="22" spans="2:39" ht="15" customHeight="1">
      <c r="B22" s="88"/>
      <c r="C22" s="112" t="s">
        <v>422</v>
      </c>
      <c r="D22" s="172"/>
      <c r="E22" s="118" t="s">
        <v>382</v>
      </c>
      <c r="F22" s="160"/>
      <c r="G22" s="160"/>
      <c r="H22" s="160"/>
      <c r="I22" s="168"/>
      <c r="J22" s="2667" t="str">
        <f>IF(F24="","",ROUNDDOWN(J20*2/7,1))</f>
        <v/>
      </c>
      <c r="K22" s="2668"/>
      <c r="L22" s="2609" t="s">
        <v>383</v>
      </c>
      <c r="M22" s="2673"/>
      <c r="N22" s="2609" t="s">
        <v>89</v>
      </c>
      <c r="O22" s="159"/>
      <c r="P22" s="160"/>
      <c r="Q22" s="160"/>
      <c r="R22" s="160"/>
      <c r="S22" s="161"/>
      <c r="W22" s="2658"/>
      <c r="X22" s="2659"/>
      <c r="Y22" s="2659"/>
      <c r="Z22" s="2659"/>
      <c r="AA22" s="2659"/>
      <c r="AB22" s="2659"/>
      <c r="AC22" s="2659"/>
      <c r="AD22" s="2659"/>
      <c r="AE22" s="2659"/>
      <c r="AF22" s="2659"/>
      <c r="AG22" s="2659"/>
      <c r="AH22" s="2659"/>
      <c r="AI22" s="2659"/>
      <c r="AJ22" s="2659"/>
      <c r="AK22" s="2659"/>
      <c r="AL22" s="2659"/>
      <c r="AM22" s="2660"/>
    </row>
    <row r="23" spans="2:39" ht="15" customHeight="1">
      <c r="B23" s="88"/>
      <c r="C23" s="88"/>
      <c r="E23" s="2675"/>
      <c r="F23" s="2676"/>
      <c r="G23" s="2676"/>
      <c r="H23" s="2676"/>
      <c r="I23" s="2677"/>
      <c r="J23" s="2669"/>
      <c r="K23" s="2670"/>
      <c r="L23" s="2610"/>
      <c r="M23" s="2674"/>
      <c r="N23" s="2610"/>
      <c r="O23" s="162"/>
      <c r="P23" s="163"/>
      <c r="Q23" s="163"/>
      <c r="R23" s="163"/>
      <c r="S23" s="164"/>
      <c r="W23" s="2658"/>
      <c r="X23" s="2659"/>
      <c r="Y23" s="2659"/>
      <c r="Z23" s="2659"/>
      <c r="AA23" s="2659"/>
      <c r="AB23" s="2659"/>
      <c r="AC23" s="2659"/>
      <c r="AD23" s="2659"/>
      <c r="AE23" s="2659"/>
      <c r="AF23" s="2659"/>
      <c r="AG23" s="2659"/>
      <c r="AH23" s="2659"/>
      <c r="AI23" s="2659"/>
      <c r="AJ23" s="2659"/>
      <c r="AK23" s="2659"/>
      <c r="AL23" s="2659"/>
      <c r="AM23" s="2660"/>
    </row>
    <row r="24" spans="2:39" ht="15" customHeight="1">
      <c r="B24" s="88"/>
      <c r="C24" s="88"/>
      <c r="E24" s="175"/>
      <c r="F24" s="127" t="str">
        <f>IF(J20="","",J20)</f>
        <v/>
      </c>
      <c r="G24" s="2598" t="s">
        <v>381</v>
      </c>
      <c r="H24" s="2598"/>
      <c r="I24" s="176" t="s">
        <v>416</v>
      </c>
      <c r="J24" s="2671"/>
      <c r="K24" s="2672"/>
      <c r="L24" s="2611"/>
      <c r="M24" s="2674"/>
      <c r="N24" s="2610"/>
      <c r="O24" s="162"/>
      <c r="P24" s="163"/>
      <c r="Q24" s="163"/>
      <c r="R24" s="163"/>
      <c r="S24" s="164"/>
      <c r="W24" s="2658"/>
      <c r="X24" s="2659"/>
      <c r="Y24" s="2659"/>
      <c r="Z24" s="2659"/>
      <c r="AA24" s="2659"/>
      <c r="AB24" s="2659"/>
      <c r="AC24" s="2659"/>
      <c r="AD24" s="2659"/>
      <c r="AE24" s="2659"/>
      <c r="AF24" s="2659"/>
      <c r="AG24" s="2659"/>
      <c r="AH24" s="2659"/>
      <c r="AI24" s="2659"/>
      <c r="AJ24" s="2659"/>
      <c r="AK24" s="2659"/>
      <c r="AL24" s="2659"/>
      <c r="AM24" s="2660"/>
    </row>
    <row r="25" spans="2:39" ht="15" customHeight="1">
      <c r="B25" s="112" t="s">
        <v>423</v>
      </c>
      <c r="C25" s="172"/>
      <c r="D25" s="172"/>
      <c r="E25" s="2615" t="s">
        <v>424</v>
      </c>
      <c r="F25" s="2616"/>
      <c r="G25" s="2616"/>
      <c r="H25" s="2616"/>
      <c r="I25" s="2617"/>
      <c r="J25" s="2649" t="str">
        <f>IF(F27="","",ROUNDDOWN(F27/H27,1))</f>
        <v/>
      </c>
      <c r="K25" s="2649"/>
      <c r="L25" s="2609" t="s">
        <v>378</v>
      </c>
      <c r="M25" s="2603"/>
      <c r="N25" s="2609" t="s">
        <v>89</v>
      </c>
      <c r="O25" s="2615"/>
      <c r="P25" s="2616"/>
      <c r="Q25" s="2616"/>
      <c r="R25" s="2616"/>
      <c r="S25" s="2617"/>
      <c r="W25" s="2658"/>
      <c r="X25" s="2659"/>
      <c r="Y25" s="2659"/>
      <c r="Z25" s="2659"/>
      <c r="AA25" s="2659"/>
      <c r="AB25" s="2659"/>
      <c r="AC25" s="2659"/>
      <c r="AD25" s="2659"/>
      <c r="AE25" s="2659"/>
      <c r="AF25" s="2659"/>
      <c r="AG25" s="2659"/>
      <c r="AH25" s="2659"/>
      <c r="AI25" s="2659"/>
      <c r="AJ25" s="2659"/>
      <c r="AK25" s="2659"/>
      <c r="AL25" s="2659"/>
      <c r="AM25" s="2660"/>
    </row>
    <row r="26" spans="2:39" ht="15" customHeight="1">
      <c r="B26" s="88"/>
      <c r="E26" s="2618"/>
      <c r="F26" s="2619"/>
      <c r="G26" s="2619"/>
      <c r="H26" s="2619"/>
      <c r="I26" s="2620"/>
      <c r="J26" s="2651"/>
      <c r="K26" s="2651"/>
      <c r="L26" s="2610"/>
      <c r="M26" s="2605"/>
      <c r="N26" s="2610"/>
      <c r="O26" s="2618"/>
      <c r="P26" s="2619"/>
      <c r="Q26" s="2619"/>
      <c r="R26" s="2619"/>
      <c r="S26" s="2620"/>
      <c r="W26" s="2655" t="s">
        <v>425</v>
      </c>
      <c r="X26" s="2656"/>
      <c r="Y26" s="2656"/>
      <c r="Z26" s="2656"/>
      <c r="AA26" s="2656"/>
      <c r="AB26" s="2656"/>
      <c r="AC26" s="2656"/>
      <c r="AD26" s="2656"/>
      <c r="AE26" s="2656"/>
      <c r="AF26" s="2656"/>
      <c r="AG26" s="2656"/>
      <c r="AH26" s="2656"/>
      <c r="AI26" s="2656"/>
      <c r="AJ26" s="2656"/>
      <c r="AK26" s="2656"/>
      <c r="AL26" s="2656"/>
      <c r="AM26" s="2657"/>
    </row>
    <row r="27" spans="2:39" ht="15" customHeight="1">
      <c r="B27" s="114"/>
      <c r="C27" s="173"/>
      <c r="D27" s="173"/>
      <c r="E27" s="120" t="s">
        <v>361</v>
      </c>
      <c r="F27" s="121" t="str">
        <f>IF(E7="","",E7)</f>
        <v/>
      </c>
      <c r="G27" s="119" t="s">
        <v>380</v>
      </c>
      <c r="H27" s="122">
        <v>100</v>
      </c>
      <c r="I27" s="167" t="s">
        <v>416</v>
      </c>
      <c r="J27" s="2653"/>
      <c r="K27" s="2653"/>
      <c r="L27" s="2611"/>
      <c r="M27" s="2607"/>
      <c r="N27" s="2611"/>
      <c r="O27" s="2621"/>
      <c r="P27" s="2622"/>
      <c r="Q27" s="2622"/>
      <c r="R27" s="2622"/>
      <c r="S27" s="2623"/>
      <c r="W27" s="2658"/>
      <c r="X27" s="2659"/>
      <c r="Y27" s="2659"/>
      <c r="Z27" s="2659"/>
      <c r="AA27" s="2659"/>
      <c r="AB27" s="2659"/>
      <c r="AC27" s="2659"/>
      <c r="AD27" s="2659"/>
      <c r="AE27" s="2659"/>
      <c r="AF27" s="2659"/>
      <c r="AG27" s="2659"/>
      <c r="AH27" s="2659"/>
      <c r="AI27" s="2659"/>
      <c r="AJ27" s="2659"/>
      <c r="AK27" s="2659"/>
      <c r="AL27" s="2659"/>
      <c r="AM27" s="2660"/>
    </row>
    <row r="28" spans="2:39" ht="15" customHeight="1">
      <c r="B28" s="112" t="s">
        <v>426</v>
      </c>
      <c r="C28" s="172"/>
      <c r="D28" s="169"/>
      <c r="E28" s="2623" t="s">
        <v>427</v>
      </c>
      <c r="F28" s="2664"/>
      <c r="G28" s="2664"/>
      <c r="H28" s="2664"/>
      <c r="I28" s="2664"/>
      <c r="J28" s="2648">
        <f>IF(E7&gt;=100,1,0)</f>
        <v>0</v>
      </c>
      <c r="K28" s="2649"/>
      <c r="L28" s="2610" t="s">
        <v>378</v>
      </c>
      <c r="M28" s="2603"/>
      <c r="N28" s="2609" t="s">
        <v>89</v>
      </c>
      <c r="O28" s="112"/>
      <c r="P28" s="160"/>
      <c r="Q28" s="160"/>
      <c r="R28" s="160"/>
      <c r="S28" s="161"/>
      <c r="W28" s="2661"/>
      <c r="X28" s="2662"/>
      <c r="Y28" s="2662"/>
      <c r="Z28" s="2662"/>
      <c r="AA28" s="2662"/>
      <c r="AB28" s="2662"/>
      <c r="AC28" s="2662"/>
      <c r="AD28" s="2662"/>
      <c r="AE28" s="2662"/>
      <c r="AF28" s="2662"/>
      <c r="AG28" s="2662"/>
      <c r="AH28" s="2662"/>
      <c r="AI28" s="2662"/>
      <c r="AJ28" s="2662"/>
      <c r="AK28" s="2662"/>
      <c r="AL28" s="2662"/>
      <c r="AM28" s="2663"/>
    </row>
    <row r="29" spans="2:39" ht="15" customHeight="1">
      <c r="B29" s="88"/>
      <c r="D29" s="170"/>
      <c r="E29" s="2665"/>
      <c r="F29" s="2666"/>
      <c r="G29" s="2666"/>
      <c r="H29" s="2666"/>
      <c r="I29" s="2666"/>
      <c r="J29" s="2650"/>
      <c r="K29" s="2651"/>
      <c r="L29" s="2610"/>
      <c r="M29" s="2605"/>
      <c r="N29" s="2610"/>
      <c r="O29" s="162"/>
      <c r="P29" s="163"/>
      <c r="Q29" s="163"/>
      <c r="R29" s="163"/>
      <c r="S29" s="164"/>
      <c r="V29" s="131"/>
      <c r="W29" s="100"/>
      <c r="X29" s="100"/>
      <c r="Y29" s="100"/>
      <c r="Z29" s="100"/>
      <c r="AA29" s="100"/>
      <c r="AB29" s="100"/>
      <c r="AC29" s="100"/>
      <c r="AD29" s="100"/>
      <c r="AE29" s="100"/>
      <c r="AF29" s="100"/>
      <c r="AG29" s="100"/>
      <c r="AH29" s="100"/>
      <c r="AI29" s="100"/>
      <c r="AJ29" s="100"/>
      <c r="AK29" s="100"/>
      <c r="AL29" s="100"/>
      <c r="AM29" s="100"/>
    </row>
    <row r="30" spans="2:39" ht="15" customHeight="1">
      <c r="B30" s="88"/>
      <c r="D30" s="170"/>
      <c r="E30" s="2665"/>
      <c r="F30" s="2666"/>
      <c r="G30" s="2666"/>
      <c r="H30" s="2666"/>
      <c r="I30" s="2666"/>
      <c r="J30" s="2652"/>
      <c r="K30" s="2653"/>
      <c r="L30" s="2611"/>
      <c r="M30" s="2607"/>
      <c r="N30" s="2611"/>
      <c r="O30" s="165"/>
      <c r="P30" s="166"/>
      <c r="Q30" s="166"/>
      <c r="R30" s="166"/>
      <c r="S30" s="167"/>
      <c r="V30" s="85" t="s">
        <v>428</v>
      </c>
      <c r="W30" s="100"/>
      <c r="X30" s="100"/>
      <c r="Y30" s="100"/>
      <c r="Z30" s="100"/>
      <c r="AA30" s="100"/>
      <c r="AB30" s="100"/>
      <c r="AC30" s="100"/>
      <c r="AD30" s="100"/>
      <c r="AE30" s="100"/>
      <c r="AF30" s="100"/>
      <c r="AG30" s="100"/>
      <c r="AH30" s="100"/>
      <c r="AI30" s="100"/>
      <c r="AJ30" s="100"/>
      <c r="AK30" s="100"/>
      <c r="AL30" s="100"/>
      <c r="AM30" s="100"/>
    </row>
    <row r="31" spans="2:39" ht="15" customHeight="1">
      <c r="B31" s="88"/>
      <c r="C31" s="112" t="s">
        <v>429</v>
      </c>
      <c r="D31" s="169"/>
      <c r="E31" s="172"/>
      <c r="F31" s="172"/>
      <c r="G31" s="172"/>
      <c r="H31" s="172"/>
      <c r="I31" s="169"/>
      <c r="J31" s="2603"/>
      <c r="K31" s="2604"/>
      <c r="L31" s="2609" t="s">
        <v>89</v>
      </c>
      <c r="M31" s="2603"/>
      <c r="N31" s="2609" t="s">
        <v>89</v>
      </c>
      <c r="O31" s="2618" t="s">
        <v>1030</v>
      </c>
      <c r="P31" s="2619"/>
      <c r="Q31" s="2619"/>
      <c r="R31" s="2619"/>
      <c r="S31" s="2620"/>
      <c r="V31" s="131"/>
      <c r="W31" s="131"/>
      <c r="X31" s="131"/>
      <c r="Y31" s="131"/>
      <c r="Z31" s="131"/>
      <c r="AA31" s="131"/>
      <c r="AB31" s="131"/>
      <c r="AC31" s="131"/>
      <c r="AD31" s="136"/>
      <c r="AE31" s="136"/>
      <c r="AF31" s="131"/>
      <c r="AG31" s="136"/>
      <c r="AH31" s="131"/>
      <c r="AI31" s="132"/>
      <c r="AJ31" s="132"/>
      <c r="AK31" s="132"/>
      <c r="AL31" s="132"/>
      <c r="AM31" s="132"/>
    </row>
    <row r="32" spans="2:39" ht="15" customHeight="1">
      <c r="B32" s="88"/>
      <c r="C32" s="88"/>
      <c r="D32" s="170"/>
      <c r="I32" s="170"/>
      <c r="J32" s="2605"/>
      <c r="K32" s="2606"/>
      <c r="L32" s="2610"/>
      <c r="M32" s="2605"/>
      <c r="N32" s="2610"/>
      <c r="O32" s="2618"/>
      <c r="P32" s="2619"/>
      <c r="Q32" s="2619"/>
      <c r="R32" s="2619"/>
      <c r="S32" s="2620"/>
      <c r="V32" s="131"/>
      <c r="W32" s="131"/>
      <c r="X32" s="131"/>
      <c r="Y32" s="131"/>
      <c r="Z32" s="131"/>
      <c r="AA32" s="131"/>
      <c r="AB32" s="131"/>
      <c r="AC32" s="131"/>
      <c r="AD32" s="136"/>
      <c r="AE32" s="136"/>
      <c r="AF32" s="131"/>
      <c r="AG32" s="136"/>
      <c r="AH32" s="131"/>
      <c r="AI32" s="132"/>
      <c r="AJ32" s="132"/>
      <c r="AK32" s="132"/>
      <c r="AL32" s="132"/>
      <c r="AM32" s="132"/>
    </row>
    <row r="33" spans="2:39" ht="15" customHeight="1">
      <c r="B33" s="88"/>
      <c r="C33" s="88"/>
      <c r="D33" s="170"/>
      <c r="I33" s="170"/>
      <c r="J33" s="2605"/>
      <c r="K33" s="2606"/>
      <c r="L33" s="2610"/>
      <c r="M33" s="2605"/>
      <c r="N33" s="2610"/>
      <c r="O33" s="2618"/>
      <c r="P33" s="2619"/>
      <c r="Q33" s="2619"/>
      <c r="R33" s="2619"/>
      <c r="S33" s="2620"/>
      <c r="V33" s="2593"/>
      <c r="W33" s="2593"/>
      <c r="X33" s="2593" t="s">
        <v>393</v>
      </c>
      <c r="Y33" s="2593"/>
      <c r="Z33" s="2593" t="s">
        <v>394</v>
      </c>
      <c r="AA33" s="2593"/>
      <c r="AB33" s="2593" t="s">
        <v>395</v>
      </c>
      <c r="AC33" s="2593"/>
      <c r="AD33" s="2593" t="s">
        <v>396</v>
      </c>
      <c r="AE33" s="2593"/>
      <c r="AF33" s="2629" t="s">
        <v>398</v>
      </c>
      <c r="AG33" s="2593"/>
      <c r="AH33" s="2624" t="s">
        <v>397</v>
      </c>
      <c r="AI33" s="2630"/>
      <c r="AJ33" s="2625"/>
      <c r="AK33" s="140"/>
      <c r="AL33" s="140"/>
      <c r="AM33" s="132"/>
    </row>
    <row r="34" spans="2:39" ht="15" customHeight="1">
      <c r="B34" s="114"/>
      <c r="C34" s="114"/>
      <c r="D34" s="171"/>
      <c r="E34" s="173"/>
      <c r="F34" s="173"/>
      <c r="G34" s="173"/>
      <c r="H34" s="173"/>
      <c r="I34" s="171"/>
      <c r="J34" s="2607"/>
      <c r="K34" s="2608"/>
      <c r="L34" s="2611"/>
      <c r="M34" s="2607"/>
      <c r="N34" s="2611"/>
      <c r="O34" s="2621"/>
      <c r="P34" s="2622"/>
      <c r="Q34" s="2622"/>
      <c r="R34" s="2622"/>
      <c r="S34" s="2623"/>
      <c r="V34" s="2593"/>
      <c r="W34" s="2593"/>
      <c r="X34" s="2593"/>
      <c r="Y34" s="2593"/>
      <c r="Z34" s="2628"/>
      <c r="AA34" s="2628"/>
      <c r="AB34" s="2628"/>
      <c r="AC34" s="2628"/>
      <c r="AD34" s="2628"/>
      <c r="AE34" s="2628"/>
      <c r="AF34" s="2628"/>
      <c r="AG34" s="2628"/>
      <c r="AH34" s="2631"/>
      <c r="AI34" s="2632"/>
      <c r="AJ34" s="2633"/>
      <c r="AK34" s="140"/>
      <c r="AL34" s="140"/>
      <c r="AM34" s="132"/>
    </row>
    <row r="35" spans="2:39" ht="15" customHeight="1">
      <c r="B35" s="112" t="s">
        <v>377</v>
      </c>
      <c r="C35" s="172"/>
      <c r="D35" s="169"/>
      <c r="E35" s="2615" t="s">
        <v>430</v>
      </c>
      <c r="F35" s="2616"/>
      <c r="G35" s="2616"/>
      <c r="H35" s="2616"/>
      <c r="I35" s="2617"/>
      <c r="J35" s="2648">
        <f>IF(E7&gt;100,ROUNDUP((E7/100),1),1)</f>
        <v>1</v>
      </c>
      <c r="K35" s="2649"/>
      <c r="L35" s="2609" t="s">
        <v>378</v>
      </c>
      <c r="M35" s="2603"/>
      <c r="N35" s="2609" t="s">
        <v>89</v>
      </c>
      <c r="O35" s="2615"/>
      <c r="P35" s="2616"/>
      <c r="Q35" s="2616"/>
      <c r="R35" s="2616"/>
      <c r="S35" s="2617"/>
      <c r="V35" s="2654" t="s">
        <v>399</v>
      </c>
      <c r="W35" s="2625"/>
      <c r="X35" s="2634"/>
      <c r="Y35" s="2634"/>
      <c r="Z35" s="146" t="s">
        <v>472</v>
      </c>
      <c r="AA35" s="147" t="s">
        <v>431</v>
      </c>
      <c r="AB35" s="147"/>
      <c r="AC35" s="147"/>
      <c r="AD35" s="148"/>
      <c r="AE35" s="148"/>
      <c r="AF35" s="178"/>
      <c r="AG35" s="148"/>
      <c r="AH35" s="178"/>
      <c r="AI35" s="147"/>
      <c r="AJ35" s="149"/>
      <c r="AK35" s="144"/>
      <c r="AL35" s="144"/>
      <c r="AM35" s="139"/>
    </row>
    <row r="36" spans="2:39" ht="15" customHeight="1">
      <c r="B36" s="88"/>
      <c r="D36" s="170"/>
      <c r="E36" s="2618"/>
      <c r="F36" s="2619"/>
      <c r="G36" s="2619"/>
      <c r="H36" s="2619"/>
      <c r="I36" s="2620"/>
      <c r="J36" s="2650"/>
      <c r="K36" s="2651"/>
      <c r="L36" s="2610"/>
      <c r="M36" s="2605"/>
      <c r="N36" s="2610"/>
      <c r="O36" s="2618"/>
      <c r="P36" s="2619"/>
      <c r="Q36" s="2619"/>
      <c r="R36" s="2619"/>
      <c r="S36" s="2620"/>
      <c r="V36" s="2631"/>
      <c r="W36" s="2633"/>
      <c r="X36" s="2634"/>
      <c r="Y36" s="2634"/>
      <c r="Z36" s="150"/>
      <c r="AA36" s="2635" t="s">
        <v>432</v>
      </c>
      <c r="AB36" s="2635"/>
      <c r="AC36" s="2635"/>
      <c r="AD36" s="2635"/>
      <c r="AE36" s="151"/>
      <c r="AF36" s="179" t="s">
        <v>433</v>
      </c>
      <c r="AG36" s="152"/>
      <c r="AH36" s="2636"/>
      <c r="AI36" s="2636"/>
      <c r="AJ36" s="153" t="s">
        <v>434</v>
      </c>
      <c r="AK36" s="144"/>
      <c r="AL36" s="144"/>
      <c r="AM36" s="139"/>
    </row>
    <row r="37" spans="2:39" ht="15" customHeight="1">
      <c r="B37" s="88"/>
      <c r="D37" s="170"/>
      <c r="E37" s="2618"/>
      <c r="F37" s="2619"/>
      <c r="G37" s="2619"/>
      <c r="H37" s="2619"/>
      <c r="I37" s="2620"/>
      <c r="J37" s="2650"/>
      <c r="K37" s="2651"/>
      <c r="L37" s="2610"/>
      <c r="M37" s="2605"/>
      <c r="N37" s="2610"/>
      <c r="O37" s="2618"/>
      <c r="P37" s="2619"/>
      <c r="Q37" s="2619"/>
      <c r="R37" s="2619"/>
      <c r="S37" s="2620"/>
      <c r="V37" s="2631"/>
      <c r="W37" s="2633"/>
      <c r="X37" s="2634"/>
      <c r="Y37" s="2634"/>
      <c r="Z37" s="2643" t="s">
        <v>1029</v>
      </c>
      <c r="AA37" s="2644"/>
      <c r="AB37" s="2644"/>
      <c r="AC37" s="2644"/>
      <c r="AD37" s="2644"/>
      <c r="AE37" s="2645"/>
      <c r="AF37" s="2637"/>
      <c r="AG37" s="2638"/>
      <c r="AH37" s="2638"/>
      <c r="AI37" s="2638"/>
      <c r="AJ37" s="2639"/>
      <c r="AK37" s="144"/>
      <c r="AL37" s="144"/>
      <c r="AM37" s="139"/>
    </row>
    <row r="38" spans="2:39" ht="15" customHeight="1">
      <c r="B38" s="114"/>
      <c r="C38" s="173"/>
      <c r="D38" s="171"/>
      <c r="E38" s="2621"/>
      <c r="F38" s="2622"/>
      <c r="G38" s="2622"/>
      <c r="H38" s="2622"/>
      <c r="I38" s="2623"/>
      <c r="J38" s="2652"/>
      <c r="K38" s="2653"/>
      <c r="L38" s="2611"/>
      <c r="M38" s="2607"/>
      <c r="N38" s="2611"/>
      <c r="O38" s="2621"/>
      <c r="P38" s="2622"/>
      <c r="Q38" s="2622"/>
      <c r="R38" s="2622"/>
      <c r="S38" s="2623"/>
      <c r="V38" s="2631"/>
      <c r="W38" s="2633"/>
      <c r="X38" s="2634"/>
      <c r="Y38" s="2634"/>
      <c r="Z38" s="2646"/>
      <c r="AA38" s="2635"/>
      <c r="AB38" s="2635"/>
      <c r="AC38" s="2635"/>
      <c r="AD38" s="2635"/>
      <c r="AE38" s="2647"/>
      <c r="AF38" s="2640"/>
      <c r="AG38" s="2641"/>
      <c r="AH38" s="2641"/>
      <c r="AI38" s="2641"/>
      <c r="AJ38" s="2642"/>
      <c r="AK38" s="144"/>
      <c r="AL38" s="144"/>
      <c r="AM38" s="139"/>
    </row>
    <row r="39" spans="2:39" ht="15" customHeight="1">
      <c r="B39" s="112" t="s">
        <v>125</v>
      </c>
      <c r="C39" s="172"/>
      <c r="D39" s="169"/>
      <c r="E39" s="2594" t="s">
        <v>435</v>
      </c>
      <c r="F39" s="2595"/>
      <c r="G39" s="2595"/>
      <c r="H39" s="2595"/>
      <c r="I39" s="2596"/>
      <c r="J39" s="2603"/>
      <c r="K39" s="2604"/>
      <c r="L39" s="2609" t="s">
        <v>378</v>
      </c>
      <c r="M39" s="2603"/>
      <c r="N39" s="2612" t="s">
        <v>89</v>
      </c>
      <c r="O39" s="2615"/>
      <c r="P39" s="2616"/>
      <c r="Q39" s="2616"/>
      <c r="R39" s="2616"/>
      <c r="S39" s="2617"/>
      <c r="V39" s="2624" t="s">
        <v>402</v>
      </c>
      <c r="W39" s="2625"/>
      <c r="X39" s="2582"/>
      <c r="Y39" s="2584"/>
      <c r="Z39" s="2582"/>
      <c r="AA39" s="2584"/>
      <c r="AB39" s="2582"/>
      <c r="AC39" s="2584"/>
      <c r="AD39" s="2582"/>
      <c r="AE39" s="2584"/>
      <c r="AF39" s="2582"/>
      <c r="AG39" s="2584"/>
      <c r="AH39" s="2582"/>
      <c r="AI39" s="2583"/>
      <c r="AJ39" s="2584"/>
      <c r="AK39" s="144"/>
      <c r="AL39" s="144"/>
      <c r="AM39" s="139"/>
    </row>
    <row r="40" spans="2:39" ht="15" customHeight="1">
      <c r="B40" s="88"/>
      <c r="D40" s="170"/>
      <c r="E40" s="2597"/>
      <c r="F40" s="2598"/>
      <c r="G40" s="2598"/>
      <c r="H40" s="2598"/>
      <c r="I40" s="2599"/>
      <c r="J40" s="2605"/>
      <c r="K40" s="2606"/>
      <c r="L40" s="2610"/>
      <c r="M40" s="2605"/>
      <c r="N40" s="2613"/>
      <c r="O40" s="2618"/>
      <c r="P40" s="2619"/>
      <c r="Q40" s="2619"/>
      <c r="R40" s="2619"/>
      <c r="S40" s="2620"/>
      <c r="V40" s="2626"/>
      <c r="W40" s="2627"/>
      <c r="X40" s="2585"/>
      <c r="Y40" s="2587"/>
      <c r="Z40" s="2585"/>
      <c r="AA40" s="2587"/>
      <c r="AB40" s="2585"/>
      <c r="AC40" s="2587"/>
      <c r="AD40" s="2585"/>
      <c r="AE40" s="2587"/>
      <c r="AF40" s="2585"/>
      <c r="AG40" s="2587"/>
      <c r="AH40" s="2585"/>
      <c r="AI40" s="2586"/>
      <c r="AJ40" s="2587"/>
      <c r="AK40" s="144"/>
      <c r="AL40" s="144"/>
      <c r="AM40" s="139"/>
    </row>
    <row r="41" spans="2:39" ht="15" customHeight="1">
      <c r="B41" s="88"/>
      <c r="D41" s="170"/>
      <c r="E41" s="2597"/>
      <c r="F41" s="2598"/>
      <c r="G41" s="2598"/>
      <c r="H41" s="2598"/>
      <c r="I41" s="2599"/>
      <c r="J41" s="2605"/>
      <c r="K41" s="2606"/>
      <c r="L41" s="2610"/>
      <c r="M41" s="2605"/>
      <c r="N41" s="2613"/>
      <c r="O41" s="2618"/>
      <c r="P41" s="2619"/>
      <c r="Q41" s="2619"/>
      <c r="R41" s="2619"/>
      <c r="S41" s="2620"/>
      <c r="V41" s="2624" t="s">
        <v>400</v>
      </c>
      <c r="W41" s="2625"/>
      <c r="X41" s="2582"/>
      <c r="Y41" s="2584"/>
      <c r="Z41" s="2582"/>
      <c r="AA41" s="2584"/>
      <c r="AB41" s="2582"/>
      <c r="AC41" s="2584"/>
      <c r="AD41" s="2582"/>
      <c r="AE41" s="2584"/>
      <c r="AF41" s="2582"/>
      <c r="AG41" s="2584"/>
      <c r="AH41" s="2582"/>
      <c r="AI41" s="2583"/>
      <c r="AJ41" s="2584"/>
      <c r="AK41" s="144"/>
      <c r="AL41" s="144"/>
      <c r="AM41" s="139"/>
    </row>
    <row r="42" spans="2:39" ht="15" customHeight="1">
      <c r="B42" s="114"/>
      <c r="C42" s="173"/>
      <c r="D42" s="171"/>
      <c r="E42" s="2600"/>
      <c r="F42" s="2601"/>
      <c r="G42" s="2601"/>
      <c r="H42" s="2601"/>
      <c r="I42" s="2602"/>
      <c r="J42" s="2605"/>
      <c r="K42" s="2606"/>
      <c r="L42" s="2610"/>
      <c r="M42" s="2607"/>
      <c r="N42" s="2614"/>
      <c r="O42" s="2621"/>
      <c r="P42" s="2622"/>
      <c r="Q42" s="2622"/>
      <c r="R42" s="2622"/>
      <c r="S42" s="2623"/>
      <c r="V42" s="2626"/>
      <c r="W42" s="2627"/>
      <c r="X42" s="2585"/>
      <c r="Y42" s="2587"/>
      <c r="Z42" s="2585"/>
      <c r="AA42" s="2587"/>
      <c r="AB42" s="2585"/>
      <c r="AC42" s="2587"/>
      <c r="AD42" s="2585"/>
      <c r="AE42" s="2587"/>
      <c r="AF42" s="2585"/>
      <c r="AG42" s="2587"/>
      <c r="AH42" s="2585"/>
      <c r="AI42" s="2586"/>
      <c r="AJ42" s="2587"/>
      <c r="AK42" s="144"/>
      <c r="AL42" s="144"/>
      <c r="AM42" s="139"/>
    </row>
    <row r="43" spans="2:39" ht="15" customHeight="1">
      <c r="B43" s="112" t="s">
        <v>379</v>
      </c>
      <c r="C43" s="172"/>
      <c r="D43" s="169"/>
      <c r="E43" s="2594" t="s">
        <v>436</v>
      </c>
      <c r="F43" s="2595"/>
      <c r="G43" s="2595"/>
      <c r="H43" s="2595"/>
      <c r="I43" s="2596"/>
      <c r="J43" s="2603"/>
      <c r="K43" s="2604"/>
      <c r="L43" s="2609" t="s">
        <v>89</v>
      </c>
      <c r="M43" s="2603"/>
      <c r="N43" s="2612" t="s">
        <v>89</v>
      </c>
      <c r="O43" s="2615"/>
      <c r="P43" s="2616"/>
      <c r="Q43" s="2616"/>
      <c r="R43" s="2616"/>
      <c r="S43" s="2617"/>
      <c r="V43" s="2591" t="s">
        <v>401</v>
      </c>
      <c r="W43" s="2592"/>
      <c r="X43" s="2582"/>
      <c r="Y43" s="2584"/>
      <c r="Z43" s="2582"/>
      <c r="AA43" s="2584"/>
      <c r="AB43" s="2582"/>
      <c r="AC43" s="2584"/>
      <c r="AD43" s="2582"/>
      <c r="AE43" s="2584"/>
      <c r="AF43" s="2582"/>
      <c r="AG43" s="2584"/>
      <c r="AH43" s="2582"/>
      <c r="AI43" s="2583"/>
      <c r="AJ43" s="2584"/>
      <c r="AK43" s="144"/>
      <c r="AL43" s="144"/>
      <c r="AM43" s="139"/>
    </row>
    <row r="44" spans="2:39" ht="15" customHeight="1">
      <c r="B44" s="88"/>
      <c r="D44" s="170"/>
      <c r="E44" s="2597"/>
      <c r="F44" s="2598"/>
      <c r="G44" s="2598"/>
      <c r="H44" s="2598"/>
      <c r="I44" s="2599"/>
      <c r="J44" s="2605"/>
      <c r="K44" s="2606"/>
      <c r="L44" s="2610"/>
      <c r="M44" s="2605"/>
      <c r="N44" s="2613"/>
      <c r="O44" s="2618"/>
      <c r="P44" s="2619"/>
      <c r="Q44" s="2619"/>
      <c r="R44" s="2619"/>
      <c r="S44" s="2620"/>
      <c r="V44" s="2593"/>
      <c r="W44" s="2593"/>
      <c r="X44" s="2585"/>
      <c r="Y44" s="2587"/>
      <c r="Z44" s="2585"/>
      <c r="AA44" s="2587"/>
      <c r="AB44" s="2585"/>
      <c r="AC44" s="2587"/>
      <c r="AD44" s="2585"/>
      <c r="AE44" s="2587"/>
      <c r="AF44" s="2585"/>
      <c r="AG44" s="2587"/>
      <c r="AH44" s="2585"/>
      <c r="AI44" s="2586"/>
      <c r="AJ44" s="2587"/>
      <c r="AK44" s="144"/>
      <c r="AL44" s="144"/>
      <c r="AM44" s="139"/>
    </row>
    <row r="45" spans="2:39" ht="15" customHeight="1">
      <c r="B45" s="88"/>
      <c r="D45" s="170"/>
      <c r="E45" s="2597"/>
      <c r="F45" s="2598"/>
      <c r="G45" s="2598"/>
      <c r="H45" s="2598"/>
      <c r="I45" s="2599"/>
      <c r="J45" s="2605"/>
      <c r="K45" s="2606"/>
      <c r="L45" s="2610"/>
      <c r="M45" s="2605"/>
      <c r="N45" s="2613"/>
      <c r="O45" s="2618"/>
      <c r="P45" s="2619"/>
      <c r="Q45" s="2619"/>
      <c r="R45" s="2619"/>
      <c r="S45" s="2620"/>
      <c r="V45" s="180"/>
      <c r="W45" s="180"/>
      <c r="X45" s="180"/>
      <c r="Y45" s="143"/>
      <c r="Z45" s="143"/>
      <c r="AA45" s="143"/>
      <c r="AB45" s="143"/>
      <c r="AC45" s="143"/>
      <c r="AD45" s="141"/>
      <c r="AE45" s="141"/>
      <c r="AF45" s="180"/>
      <c r="AG45" s="141"/>
      <c r="AH45" s="180"/>
      <c r="AI45" s="144"/>
      <c r="AJ45" s="144"/>
      <c r="AK45" s="144"/>
      <c r="AL45" s="144"/>
      <c r="AM45" s="139"/>
    </row>
    <row r="46" spans="2:39" ht="15" customHeight="1">
      <c r="B46" s="114"/>
      <c r="C46" s="173"/>
      <c r="D46" s="171"/>
      <c r="E46" s="2600"/>
      <c r="F46" s="2601"/>
      <c r="G46" s="2601"/>
      <c r="H46" s="2601"/>
      <c r="I46" s="2602"/>
      <c r="J46" s="2607"/>
      <c r="K46" s="2608"/>
      <c r="L46" s="2611"/>
      <c r="M46" s="2607"/>
      <c r="N46" s="2614"/>
      <c r="O46" s="2621"/>
      <c r="P46" s="2622"/>
      <c r="Q46" s="2622"/>
      <c r="R46" s="2622"/>
      <c r="S46" s="2623"/>
      <c r="V46" s="180" t="s">
        <v>437</v>
      </c>
      <c r="W46" s="180"/>
      <c r="X46" s="180"/>
      <c r="Y46" s="154"/>
      <c r="Z46" s="154"/>
      <c r="AA46" s="154"/>
      <c r="AB46" s="154"/>
      <c r="AC46" s="154"/>
      <c r="AD46" s="141"/>
      <c r="AE46" s="141"/>
      <c r="AF46" s="180"/>
      <c r="AG46" s="141"/>
      <c r="AH46" s="180"/>
      <c r="AI46" s="180"/>
      <c r="AJ46" s="180"/>
      <c r="AK46" s="180"/>
      <c r="AL46" s="180"/>
      <c r="AM46" s="139"/>
    </row>
    <row r="47" spans="2:39" ht="15" customHeight="1">
      <c r="D47" s="117"/>
      <c r="E47" s="228"/>
      <c r="F47" s="163"/>
      <c r="G47" s="163"/>
      <c r="H47" s="163"/>
      <c r="I47" s="87"/>
      <c r="J47" s="320"/>
      <c r="K47" s="320"/>
      <c r="O47" s="163"/>
      <c r="P47" s="163"/>
      <c r="Q47" s="163"/>
      <c r="R47" s="163"/>
      <c r="S47" s="163"/>
      <c r="V47" s="180"/>
      <c r="W47" s="180"/>
      <c r="X47" s="142"/>
      <c r="Y47" s="154"/>
      <c r="Z47" s="180"/>
      <c r="AA47" s="180"/>
      <c r="AB47" s="180"/>
      <c r="AC47" s="177"/>
      <c r="AD47" s="180"/>
      <c r="AE47" s="180"/>
      <c r="AF47" s="180"/>
      <c r="AG47" s="180"/>
      <c r="AH47" s="180"/>
      <c r="AI47" s="180"/>
      <c r="AJ47" s="180"/>
      <c r="AK47" s="180"/>
      <c r="AL47" s="180"/>
      <c r="AM47" s="139"/>
    </row>
    <row r="48" spans="2:39" ht="15" customHeight="1">
      <c r="D48" s="117"/>
      <c r="E48" s="229"/>
      <c r="F48" s="229"/>
      <c r="G48" s="229"/>
      <c r="H48" s="229"/>
      <c r="I48" s="229"/>
      <c r="J48" s="320"/>
      <c r="K48" s="320"/>
      <c r="O48" s="163"/>
      <c r="P48" s="163"/>
      <c r="Q48" s="163"/>
      <c r="R48" s="163"/>
      <c r="S48" s="163"/>
      <c r="V48" s="2588" t="s">
        <v>438</v>
      </c>
      <c r="W48" s="2588"/>
      <c r="X48" s="2588"/>
      <c r="Y48" s="2588"/>
      <c r="Z48" s="2588"/>
      <c r="AA48" s="2589" t="s">
        <v>439</v>
      </c>
      <c r="AB48" s="2589"/>
      <c r="AC48" s="154" t="s">
        <v>440</v>
      </c>
      <c r="AD48" s="2589" t="s">
        <v>441</v>
      </c>
      <c r="AE48" s="2589"/>
      <c r="AF48" s="180" t="s">
        <v>442</v>
      </c>
      <c r="AG48" s="180"/>
      <c r="AH48" s="180"/>
      <c r="AI48" s="180"/>
      <c r="AJ48" s="180"/>
      <c r="AK48" s="180"/>
      <c r="AL48" s="180"/>
      <c r="AM48" s="139"/>
    </row>
    <row r="49" spans="2:39" ht="15" customHeight="1">
      <c r="D49" s="117"/>
      <c r="E49" s="229"/>
      <c r="F49" s="229"/>
      <c r="G49" s="229"/>
      <c r="H49" s="229"/>
      <c r="I49" s="229"/>
      <c r="J49" s="320"/>
      <c r="K49" s="320"/>
      <c r="O49" s="163"/>
      <c r="P49" s="163"/>
      <c r="Q49" s="163"/>
      <c r="R49" s="163"/>
      <c r="S49" s="163"/>
      <c r="V49" s="180"/>
      <c r="W49" s="180"/>
      <c r="X49" s="180"/>
      <c r="Y49" s="180"/>
      <c r="Z49" s="180"/>
      <c r="AA49" s="177"/>
      <c r="AB49" s="177"/>
      <c r="AC49" s="154"/>
      <c r="AD49" s="177"/>
      <c r="AE49" s="177"/>
      <c r="AF49" s="180"/>
      <c r="AG49" s="180"/>
      <c r="AH49" s="180"/>
      <c r="AI49" s="180"/>
      <c r="AJ49" s="180"/>
      <c r="AK49" s="180"/>
      <c r="AL49" s="180"/>
      <c r="AM49" s="139"/>
    </row>
    <row r="50" spans="2:39" ht="15" customHeight="1">
      <c r="D50" s="117"/>
      <c r="E50" s="229"/>
      <c r="F50" s="229"/>
      <c r="G50" s="229"/>
      <c r="H50" s="229"/>
      <c r="I50" s="229"/>
      <c r="J50" s="320"/>
      <c r="K50" s="320"/>
      <c r="O50" s="163"/>
      <c r="P50" s="163"/>
      <c r="Q50" s="163"/>
      <c r="R50" s="163"/>
      <c r="S50" s="163"/>
      <c r="V50" s="2588" t="s">
        <v>443</v>
      </c>
      <c r="W50" s="2588"/>
      <c r="X50" s="2588"/>
      <c r="Y50" s="2588"/>
      <c r="Z50" s="2588"/>
      <c r="AA50" s="2589" t="s">
        <v>444</v>
      </c>
      <c r="AB50" s="2589"/>
      <c r="AC50" s="180" t="s">
        <v>445</v>
      </c>
      <c r="AD50" s="2590" t="s">
        <v>444</v>
      </c>
      <c r="AE50" s="2590"/>
      <c r="AF50" s="180" t="s">
        <v>446</v>
      </c>
      <c r="AG50" s="141"/>
      <c r="AH50" s="180"/>
      <c r="AI50" s="180"/>
      <c r="AJ50" s="180"/>
      <c r="AK50" s="180"/>
      <c r="AL50" s="180"/>
      <c r="AM50" s="139"/>
    </row>
    <row r="51" spans="2:39" ht="15" customHeight="1">
      <c r="D51" s="117"/>
      <c r="E51" s="229"/>
      <c r="F51" s="229"/>
      <c r="G51" s="229"/>
      <c r="H51" s="229"/>
      <c r="I51" s="229"/>
      <c r="J51" s="320"/>
      <c r="K51" s="320"/>
      <c r="O51" s="125"/>
      <c r="P51" s="163"/>
      <c r="Q51" s="125"/>
      <c r="R51" s="125"/>
      <c r="S51" s="317"/>
      <c r="AI51" s="180"/>
      <c r="AJ51" s="180"/>
      <c r="AK51" s="142"/>
      <c r="AL51" s="180"/>
      <c r="AM51" s="139"/>
    </row>
    <row r="52" spans="2:39" ht="15" customHeight="1">
      <c r="D52" s="117"/>
      <c r="E52" s="229"/>
      <c r="F52" s="229"/>
      <c r="G52" s="229"/>
      <c r="H52" s="229"/>
      <c r="I52" s="229"/>
      <c r="J52" s="320"/>
      <c r="K52" s="320"/>
      <c r="O52" s="163"/>
      <c r="P52" s="163"/>
      <c r="Q52" s="128"/>
      <c r="R52" s="321"/>
      <c r="S52" s="163"/>
      <c r="V52" s="2588" t="s">
        <v>447</v>
      </c>
      <c r="W52" s="2588"/>
      <c r="X52" s="2588"/>
      <c r="Y52" s="2588"/>
      <c r="Z52" s="2588"/>
      <c r="AA52" s="2588"/>
      <c r="AB52" s="2588"/>
      <c r="AC52" s="2589" t="s">
        <v>448</v>
      </c>
      <c r="AD52" s="2589"/>
      <c r="AE52" s="180" t="s">
        <v>449</v>
      </c>
      <c r="AF52" s="2590" t="s">
        <v>448</v>
      </c>
      <c r="AG52" s="2590"/>
      <c r="AH52" s="180" t="s">
        <v>450</v>
      </c>
      <c r="AI52" s="180"/>
      <c r="AJ52" s="180"/>
      <c r="AK52" s="180"/>
      <c r="AL52" s="177"/>
      <c r="AM52" s="139"/>
    </row>
    <row r="53" spans="2:39" ht="15" customHeight="1">
      <c r="D53" s="117"/>
      <c r="E53" s="229"/>
      <c r="F53" s="229"/>
      <c r="G53" s="229"/>
      <c r="H53" s="229"/>
      <c r="I53" s="229"/>
      <c r="J53" s="320"/>
      <c r="K53" s="320"/>
      <c r="O53" s="163"/>
      <c r="P53" s="163"/>
      <c r="Q53" s="163"/>
      <c r="R53" s="125"/>
      <c r="S53" s="163"/>
      <c r="W53" s="180"/>
      <c r="X53" s="180"/>
      <c r="Y53" s="142"/>
      <c r="Z53" s="177"/>
      <c r="AA53" s="180"/>
      <c r="AB53" s="180"/>
      <c r="AC53" s="145"/>
      <c r="AD53" s="141"/>
      <c r="AE53" s="141"/>
      <c r="AF53" s="180"/>
      <c r="AG53" s="141"/>
      <c r="AH53" s="180"/>
      <c r="AI53" s="142"/>
      <c r="AJ53" s="142"/>
      <c r="AK53" s="142"/>
      <c r="AL53" s="180"/>
      <c r="AM53" s="139"/>
    </row>
    <row r="54" spans="2:39" ht="15" customHeight="1">
      <c r="D54" s="117"/>
      <c r="E54" s="229"/>
      <c r="F54" s="229"/>
      <c r="G54" s="229"/>
      <c r="H54" s="229"/>
      <c r="I54" s="229"/>
      <c r="J54" s="320"/>
      <c r="K54" s="320"/>
      <c r="O54" s="230"/>
      <c r="P54" s="230"/>
      <c r="Q54" s="230"/>
      <c r="R54" s="321"/>
      <c r="S54" s="163"/>
      <c r="V54" s="180" t="s">
        <v>451</v>
      </c>
      <c r="W54" s="180"/>
      <c r="X54" s="180"/>
      <c r="Y54" s="180"/>
      <c r="Z54" s="180"/>
      <c r="AA54" s="180"/>
      <c r="AB54" s="180"/>
      <c r="AC54" s="2589" t="s">
        <v>469</v>
      </c>
      <c r="AD54" s="2589"/>
      <c r="AE54" s="180" t="s">
        <v>470</v>
      </c>
      <c r="AF54" s="2590" t="s">
        <v>471</v>
      </c>
      <c r="AG54" s="2590"/>
      <c r="AH54" s="180" t="s">
        <v>450</v>
      </c>
      <c r="AI54" s="155"/>
      <c r="AJ54" s="155"/>
      <c r="AK54" s="155"/>
      <c r="AL54" s="155"/>
      <c r="AM54" s="132"/>
    </row>
    <row r="55" spans="2:39" ht="15" customHeight="1">
      <c r="E55" s="229"/>
      <c r="F55" s="229"/>
      <c r="G55" s="229"/>
      <c r="H55" s="229"/>
      <c r="I55" s="229"/>
      <c r="J55" s="320"/>
      <c r="K55" s="320"/>
      <c r="S55" s="163"/>
      <c r="V55" s="131"/>
      <c r="W55" s="131"/>
      <c r="X55" s="131"/>
      <c r="Y55" s="135"/>
      <c r="Z55" s="130"/>
      <c r="AA55" s="131"/>
      <c r="AB55" s="131"/>
      <c r="AC55" s="131"/>
      <c r="AD55" s="136"/>
      <c r="AE55" s="136"/>
      <c r="AF55" s="131"/>
      <c r="AG55" s="136"/>
      <c r="AH55" s="131"/>
    </row>
    <row r="56" spans="2:39" ht="15" customHeight="1">
      <c r="D56" s="117"/>
      <c r="E56" s="318"/>
      <c r="F56" s="318"/>
      <c r="G56" s="318"/>
      <c r="H56" s="318"/>
      <c r="I56" s="318"/>
      <c r="J56" s="319"/>
      <c r="K56" s="319"/>
      <c r="M56" s="319"/>
      <c r="O56" s="231"/>
      <c r="P56" s="231"/>
      <c r="Q56" s="231"/>
      <c r="R56" s="231"/>
      <c r="S56" s="231"/>
    </row>
    <row r="57" spans="2:39" ht="15" customHeight="1">
      <c r="E57" s="232"/>
      <c r="F57" s="232"/>
      <c r="G57" s="232"/>
      <c r="H57" s="232"/>
      <c r="I57" s="232"/>
      <c r="J57" s="227"/>
      <c r="K57" s="227"/>
      <c r="M57" s="319"/>
      <c r="O57" s="231"/>
      <c r="P57" s="231"/>
      <c r="Q57" s="231"/>
      <c r="R57" s="231"/>
      <c r="S57" s="231"/>
    </row>
    <row r="58" spans="2:39" ht="15" customHeight="1">
      <c r="E58" s="232"/>
      <c r="F58" s="232"/>
      <c r="G58" s="232"/>
      <c r="H58" s="232"/>
      <c r="I58" s="232"/>
      <c r="J58" s="319"/>
      <c r="K58" s="319"/>
      <c r="M58" s="319"/>
      <c r="O58" s="231"/>
      <c r="P58" s="231"/>
      <c r="Q58" s="231"/>
      <c r="R58" s="231"/>
      <c r="S58" s="231"/>
    </row>
    <row r="59" spans="2:39" ht="15" customHeight="1">
      <c r="E59" s="117"/>
      <c r="F59" s="87"/>
      <c r="I59" s="320"/>
      <c r="J59" s="319"/>
      <c r="K59" s="319"/>
      <c r="M59" s="319"/>
      <c r="O59" s="231"/>
      <c r="P59" s="231"/>
      <c r="Q59" s="231"/>
      <c r="R59" s="231"/>
      <c r="S59" s="231"/>
    </row>
    <row r="60" spans="2:39" ht="15" customHeight="1">
      <c r="E60" s="117"/>
      <c r="F60" s="87"/>
      <c r="J60" s="319"/>
      <c r="K60" s="319"/>
      <c r="M60" s="319"/>
      <c r="O60" s="231"/>
      <c r="P60" s="231"/>
      <c r="Q60" s="231"/>
      <c r="R60" s="231"/>
      <c r="S60" s="231"/>
    </row>
    <row r="61" spans="2:39">
      <c r="B61" s="129"/>
    </row>
  </sheetData>
  <mergeCells count="131">
    <mergeCell ref="AC54:AD54"/>
    <mergeCell ref="AF54:AG54"/>
    <mergeCell ref="AG8:AH8"/>
    <mergeCell ref="AI8:AJ8"/>
    <mergeCell ref="V11:Y11"/>
    <mergeCell ref="X33:Y34"/>
    <mergeCell ref="B2:S2"/>
    <mergeCell ref="V2:AM2"/>
    <mergeCell ref="B4:C5"/>
    <mergeCell ref="P4:Q5"/>
    <mergeCell ref="V4:W5"/>
    <mergeCell ref="B7:C7"/>
    <mergeCell ref="V7:W7"/>
    <mergeCell ref="D4:O5"/>
    <mergeCell ref="B9:S10"/>
    <mergeCell ref="G7:H7"/>
    <mergeCell ref="AL4:AM5"/>
    <mergeCell ref="X4:AI5"/>
    <mergeCell ref="O13:S14"/>
    <mergeCell ref="B11:E11"/>
    <mergeCell ref="R4:S5"/>
    <mergeCell ref="AJ4:AK5"/>
    <mergeCell ref="B8:C8"/>
    <mergeCell ref="K8:L8"/>
    <mergeCell ref="M8:N8"/>
    <mergeCell ref="O8:P8"/>
    <mergeCell ref="V8:W8"/>
    <mergeCell ref="AE8:AF8"/>
    <mergeCell ref="M14:N14"/>
    <mergeCell ref="E15:I16"/>
    <mergeCell ref="J15:K17"/>
    <mergeCell ref="L15:L17"/>
    <mergeCell ref="M15:M17"/>
    <mergeCell ref="N15:N17"/>
    <mergeCell ref="B13:D14"/>
    <mergeCell ref="E13:I14"/>
    <mergeCell ref="J13:L14"/>
    <mergeCell ref="M13:N13"/>
    <mergeCell ref="O15:S17"/>
    <mergeCell ref="E18:I20"/>
    <mergeCell ref="J18:K18"/>
    <mergeCell ref="M18:M21"/>
    <mergeCell ref="N18:N21"/>
    <mergeCell ref="O18:S21"/>
    <mergeCell ref="J19:K19"/>
    <mergeCell ref="J20:K21"/>
    <mergeCell ref="L20:L21"/>
    <mergeCell ref="M25:M27"/>
    <mergeCell ref="N25:N27"/>
    <mergeCell ref="O25:S27"/>
    <mergeCell ref="W26:AM28"/>
    <mergeCell ref="E28:I30"/>
    <mergeCell ref="J28:K30"/>
    <mergeCell ref="L28:L30"/>
    <mergeCell ref="M28:M30"/>
    <mergeCell ref="N28:N30"/>
    <mergeCell ref="W21:AM25"/>
    <mergeCell ref="J22:K24"/>
    <mergeCell ref="L22:L24"/>
    <mergeCell ref="M22:M24"/>
    <mergeCell ref="N22:N24"/>
    <mergeCell ref="E23:I23"/>
    <mergeCell ref="G24:H24"/>
    <mergeCell ref="E25:I26"/>
    <mergeCell ref="J25:K27"/>
    <mergeCell ref="L25:L27"/>
    <mergeCell ref="E35:I38"/>
    <mergeCell ref="J35:K38"/>
    <mergeCell ref="L35:L38"/>
    <mergeCell ref="M35:M38"/>
    <mergeCell ref="N35:N38"/>
    <mergeCell ref="O35:S38"/>
    <mergeCell ref="V35:W38"/>
    <mergeCell ref="J31:K34"/>
    <mergeCell ref="L31:L34"/>
    <mergeCell ref="M31:M34"/>
    <mergeCell ref="N31:N34"/>
    <mergeCell ref="O31:S34"/>
    <mergeCell ref="V33:W34"/>
    <mergeCell ref="AD33:AE34"/>
    <mergeCell ref="AF33:AG34"/>
    <mergeCell ref="V39:W40"/>
    <mergeCell ref="X39:Y40"/>
    <mergeCell ref="Z39:AA40"/>
    <mergeCell ref="AB39:AC40"/>
    <mergeCell ref="AD39:AE40"/>
    <mergeCell ref="AF39:AG40"/>
    <mergeCell ref="AH33:AJ34"/>
    <mergeCell ref="Z33:AA34"/>
    <mergeCell ref="AB33:AC34"/>
    <mergeCell ref="X35:Y38"/>
    <mergeCell ref="AA36:AD36"/>
    <mergeCell ref="AH36:AI36"/>
    <mergeCell ref="AF37:AJ38"/>
    <mergeCell ref="Z37:AE38"/>
    <mergeCell ref="AH39:AJ40"/>
    <mergeCell ref="E43:I46"/>
    <mergeCell ref="J43:K46"/>
    <mergeCell ref="L43:L46"/>
    <mergeCell ref="M43:M46"/>
    <mergeCell ref="N43:N46"/>
    <mergeCell ref="O43:S46"/>
    <mergeCell ref="V41:W42"/>
    <mergeCell ref="X41:Y42"/>
    <mergeCell ref="N39:N42"/>
    <mergeCell ref="O39:S42"/>
    <mergeCell ref="E39:I42"/>
    <mergeCell ref="J39:K42"/>
    <mergeCell ref="L39:L42"/>
    <mergeCell ref="M39:M42"/>
    <mergeCell ref="AH41:AJ42"/>
    <mergeCell ref="V52:AB52"/>
    <mergeCell ref="AC52:AD52"/>
    <mergeCell ref="AH43:AJ44"/>
    <mergeCell ref="AF52:AG52"/>
    <mergeCell ref="V43:W44"/>
    <mergeCell ref="X43:Y44"/>
    <mergeCell ref="V48:Z48"/>
    <mergeCell ref="AA48:AB48"/>
    <mergeCell ref="AD48:AE48"/>
    <mergeCell ref="V50:Z50"/>
    <mergeCell ref="AA50:AB50"/>
    <mergeCell ref="AD50:AE50"/>
    <mergeCell ref="Z43:AA44"/>
    <mergeCell ref="AB43:AC44"/>
    <mergeCell ref="AD43:AE44"/>
    <mergeCell ref="AF43:AG44"/>
    <mergeCell ref="Z41:AA42"/>
    <mergeCell ref="AB41:AC42"/>
    <mergeCell ref="AD41:AE42"/>
    <mergeCell ref="AF41:AG42"/>
  </mergeCells>
  <phoneticPr fontId="3"/>
  <dataValidations count="2">
    <dataValidation type="list" allowBlank="1" showInputMessage="1" showErrorMessage="1" sqref="K8:L8 O8:P8" xr:uid="{00000000-0002-0000-0700-000000000000}">
      <formula1>$AP$2:$AP$9</formula1>
    </dataValidation>
    <dataValidation type="list" allowBlank="1" showInputMessage="1" showErrorMessage="1" sqref="L7 O7" xr:uid="{00000000-0002-0000-0700-000001000000}">
      <formula1>$V$7:$V$9</formula1>
    </dataValidation>
  </dataValidations>
  <printOptions horizontalCentered="1"/>
  <pageMargins left="0.19685039370078741" right="0.19685039370078741" top="0.19685039370078741" bottom="0.19685039370078741" header="0.31496062992125984" footer="0.31496062992125984"/>
  <pageSetup paperSize="9" scale="98" fitToWidth="2" orientation="portrait" r:id="rId1"/>
  <colBreaks count="1" manualBreakCount="1">
    <brk id="20" max="54"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I137"/>
  <sheetViews>
    <sheetView view="pageBreakPreview" zoomScaleNormal="100" zoomScaleSheetLayoutView="100" workbookViewId="0">
      <selection sqref="A1:AE1"/>
    </sheetView>
  </sheetViews>
  <sheetFormatPr defaultColWidth="9" defaultRowHeight="12"/>
  <cols>
    <col min="1" max="1" width="1.6640625" style="233" customWidth="1"/>
    <col min="2" max="31" width="3.109375" style="233" customWidth="1"/>
    <col min="32" max="32" width="1.77734375" style="233" customWidth="1"/>
    <col min="33" max="33" width="4" style="233" customWidth="1"/>
    <col min="34" max="34" width="3.33203125" style="233" bestFit="1" customWidth="1"/>
    <col min="35" max="35" width="3.44140625" style="233" bestFit="1" customWidth="1"/>
    <col min="36" max="16384" width="9" style="233"/>
  </cols>
  <sheetData>
    <row r="1" spans="2:35">
      <c r="B1" s="2751" t="s">
        <v>1036</v>
      </c>
      <c r="C1" s="2751"/>
      <c r="D1" s="2751"/>
      <c r="E1" s="2751"/>
      <c r="F1" s="2752" t="s">
        <v>572</v>
      </c>
      <c r="G1" s="2752"/>
      <c r="H1" s="2752"/>
      <c r="I1" s="2752"/>
      <c r="J1" s="2752"/>
      <c r="K1" s="2752"/>
      <c r="L1" s="2752"/>
      <c r="M1" s="2752"/>
      <c r="N1" s="2752"/>
      <c r="O1" s="2752"/>
      <c r="P1" s="2752"/>
      <c r="Q1" s="2752"/>
      <c r="R1" s="2752"/>
      <c r="S1" s="2752"/>
      <c r="T1" s="2752"/>
      <c r="U1" s="2752"/>
      <c r="V1" s="2752"/>
      <c r="W1" s="2752"/>
      <c r="X1" s="2752"/>
      <c r="Y1" s="2752"/>
      <c r="Z1" s="2752"/>
      <c r="AA1" s="2752"/>
      <c r="AB1" s="2752"/>
      <c r="AC1" s="2752"/>
      <c r="AD1" s="2752"/>
      <c r="AE1" s="2752"/>
    </row>
    <row r="2" spans="2:35" ht="13.5" customHeight="1">
      <c r="B2" s="2753" t="s">
        <v>613</v>
      </c>
      <c r="C2" s="2753"/>
      <c r="D2" s="2753"/>
      <c r="E2" s="2753"/>
      <c r="F2" s="2753"/>
      <c r="G2" s="2753"/>
      <c r="H2" s="2753"/>
      <c r="I2" s="2753"/>
      <c r="J2" s="2753"/>
      <c r="K2" s="2753"/>
      <c r="L2" s="2753"/>
      <c r="M2" s="2753"/>
      <c r="N2" s="2753"/>
      <c r="O2" s="2753"/>
      <c r="P2" s="2753"/>
      <c r="Q2" s="2753"/>
      <c r="R2" s="2753"/>
      <c r="S2" s="2753"/>
      <c r="T2" s="2753"/>
      <c r="U2" s="2753"/>
      <c r="V2" s="2753"/>
      <c r="W2" s="2753"/>
      <c r="X2" s="2753"/>
      <c r="Y2" s="2753"/>
      <c r="Z2" s="2753"/>
      <c r="AA2" s="2753"/>
      <c r="AB2" s="2753"/>
      <c r="AC2" s="2753"/>
      <c r="AD2" s="2753"/>
      <c r="AE2" s="2753"/>
    </row>
    <row r="3" spans="2:35" ht="13.5" customHeight="1">
      <c r="B3" s="2754" t="s">
        <v>661</v>
      </c>
      <c r="C3" s="2754"/>
      <c r="D3" s="2754"/>
      <c r="E3" s="2754"/>
      <c r="F3" s="2754"/>
      <c r="G3" s="2754"/>
      <c r="H3" s="2754"/>
      <c r="I3" s="2754"/>
      <c r="J3" s="2754"/>
      <c r="K3" s="2754"/>
      <c r="L3" s="2754"/>
      <c r="M3" s="2754"/>
      <c r="N3" s="2754"/>
      <c r="O3" s="2754"/>
      <c r="P3" s="2754"/>
      <c r="Q3" s="2754"/>
      <c r="R3" s="2754"/>
      <c r="S3" s="2754"/>
      <c r="T3" s="2754"/>
      <c r="U3" s="2754"/>
      <c r="V3" s="2754"/>
      <c r="W3" s="2754"/>
      <c r="X3" s="2754"/>
      <c r="Y3" s="2754"/>
      <c r="Z3" s="2754"/>
      <c r="AA3" s="2754"/>
      <c r="AB3" s="2754"/>
      <c r="AC3" s="2754"/>
      <c r="AD3" s="2754"/>
      <c r="AE3" s="2754"/>
    </row>
    <row r="4" spans="2:35" ht="6.75" customHeight="1">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row>
    <row r="5" spans="2:35" ht="20.25" customHeight="1">
      <c r="B5" s="2801" t="s">
        <v>546</v>
      </c>
      <c r="C5" s="2802"/>
      <c r="D5" s="2802"/>
      <c r="E5" s="2802"/>
      <c r="F5" s="2803"/>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5"/>
      <c r="AH5" s="226" t="s">
        <v>573</v>
      </c>
      <c r="AI5" s="287">
        <v>28</v>
      </c>
    </row>
    <row r="6" spans="2:35" ht="20.25" customHeight="1">
      <c r="B6" s="2761" t="s">
        <v>547</v>
      </c>
      <c r="C6" s="2762"/>
      <c r="D6" s="2762"/>
      <c r="E6" s="2762"/>
      <c r="F6" s="235"/>
      <c r="G6" s="236" t="s">
        <v>574</v>
      </c>
      <c r="H6" s="182" t="s">
        <v>582</v>
      </c>
      <c r="I6" s="182"/>
      <c r="J6" s="182"/>
      <c r="K6" s="182"/>
      <c r="P6" s="236" t="s">
        <v>573</v>
      </c>
      <c r="Q6" s="182" t="s">
        <v>583</v>
      </c>
      <c r="R6" s="182"/>
      <c r="S6" s="182"/>
      <c r="T6" s="182"/>
      <c r="U6" s="182"/>
      <c r="W6" s="236" t="s">
        <v>573</v>
      </c>
      <c r="X6" s="182" t="s">
        <v>584</v>
      </c>
      <c r="Y6" s="182"/>
      <c r="Z6" s="182"/>
      <c r="AA6" s="182"/>
      <c r="AB6" s="182"/>
      <c r="AC6" s="182"/>
      <c r="AD6" s="182"/>
      <c r="AE6" s="237"/>
      <c r="AH6" s="226" t="s">
        <v>575</v>
      </c>
      <c r="AI6" s="287">
        <v>29</v>
      </c>
    </row>
    <row r="7" spans="2:35" ht="27.75" customHeight="1">
      <c r="B7" s="2761" t="s">
        <v>548</v>
      </c>
      <c r="C7" s="2762"/>
      <c r="D7" s="2762"/>
      <c r="E7" s="2762"/>
      <c r="F7" s="2728"/>
      <c r="G7" s="2729"/>
      <c r="H7" s="238" t="s">
        <v>576</v>
      </c>
      <c r="I7" s="2729"/>
      <c r="J7" s="2729"/>
      <c r="K7" s="238" t="s">
        <v>577</v>
      </c>
      <c r="L7" s="238" t="s">
        <v>578</v>
      </c>
      <c r="M7" s="2776" t="s">
        <v>579</v>
      </c>
      <c r="N7" s="2776"/>
      <c r="O7" s="2729" t="s">
        <v>580</v>
      </c>
      <c r="P7" s="2729"/>
      <c r="Q7" s="238" t="s">
        <v>576</v>
      </c>
      <c r="R7" s="2729"/>
      <c r="S7" s="2729"/>
      <c r="T7" s="238" t="s">
        <v>577</v>
      </c>
      <c r="U7" s="2759" t="s">
        <v>581</v>
      </c>
      <c r="V7" s="2759"/>
      <c r="W7" s="2759"/>
      <c r="X7" s="2759"/>
      <c r="Y7" s="2759"/>
      <c r="Z7" s="2759"/>
      <c r="AA7" s="2759"/>
      <c r="AB7" s="2759"/>
      <c r="AC7" s="2759"/>
      <c r="AD7" s="2759"/>
      <c r="AE7" s="2760"/>
      <c r="AH7" s="226"/>
      <c r="AI7" s="287">
        <v>30</v>
      </c>
    </row>
    <row r="8" spans="2:35" ht="20.25" customHeight="1">
      <c r="B8" s="2761" t="s">
        <v>549</v>
      </c>
      <c r="C8" s="2762"/>
      <c r="D8" s="2762"/>
      <c r="E8" s="2762"/>
      <c r="F8" s="2728" t="s">
        <v>544</v>
      </c>
      <c r="G8" s="2729"/>
      <c r="H8" s="2729"/>
      <c r="I8" s="2729"/>
      <c r="J8" s="239" t="s">
        <v>34</v>
      </c>
      <c r="K8" s="2729"/>
      <c r="L8" s="2729"/>
      <c r="M8" s="239" t="s">
        <v>30</v>
      </c>
      <c r="N8" s="240"/>
      <c r="O8" s="240"/>
      <c r="P8" s="240"/>
      <c r="Q8" s="240"/>
      <c r="R8" s="240"/>
      <c r="S8" s="240"/>
      <c r="T8" s="240"/>
      <c r="U8" s="240"/>
      <c r="V8" s="240"/>
      <c r="W8" s="240"/>
      <c r="X8" s="240"/>
      <c r="Y8" s="240"/>
      <c r="Z8" s="240"/>
      <c r="AA8" s="240"/>
      <c r="AB8" s="240"/>
      <c r="AC8" s="240"/>
      <c r="AD8" s="240"/>
      <c r="AE8" s="241"/>
      <c r="AI8" s="287">
        <v>31</v>
      </c>
    </row>
    <row r="9" spans="2:35" ht="6.75" customHeight="1">
      <c r="B9" s="250"/>
      <c r="C9" s="250"/>
      <c r="D9" s="250"/>
      <c r="E9" s="250"/>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I9" s="287"/>
    </row>
    <row r="10" spans="2:35" ht="14.4">
      <c r="B10" s="294" t="s">
        <v>612</v>
      </c>
      <c r="C10" s="258"/>
      <c r="D10" s="258"/>
      <c r="E10" s="258"/>
      <c r="F10" s="258"/>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9"/>
    </row>
    <row r="11" spans="2:35">
      <c r="B11" s="252"/>
      <c r="C11" s="2730" t="s">
        <v>658</v>
      </c>
      <c r="D11" s="2730"/>
      <c r="E11" s="2730"/>
      <c r="F11" s="2730"/>
      <c r="G11" s="2730"/>
      <c r="H11" s="2730"/>
      <c r="I11" s="2730"/>
      <c r="J11" s="2730"/>
      <c r="K11" s="2730"/>
      <c r="L11" s="2808"/>
      <c r="M11" s="2808"/>
      <c r="N11" s="2808"/>
      <c r="O11" s="233" t="s">
        <v>89</v>
      </c>
      <c r="P11" s="2730" t="s">
        <v>659</v>
      </c>
      <c r="Q11" s="2730"/>
      <c r="R11" s="2730"/>
      <c r="S11" s="2730"/>
      <c r="T11" s="2730"/>
      <c r="U11" s="2730"/>
      <c r="V11" s="2730"/>
      <c r="W11" s="2730"/>
      <c r="X11" s="2730"/>
      <c r="Y11" s="2808"/>
      <c r="Z11" s="2808"/>
      <c r="AA11" s="2808"/>
      <c r="AB11" s="233" t="s">
        <v>89</v>
      </c>
      <c r="AE11" s="253"/>
    </row>
    <row r="12" spans="2:35">
      <c r="B12" s="254"/>
      <c r="C12" s="2826" t="s">
        <v>660</v>
      </c>
      <c r="D12" s="2826"/>
      <c r="E12" s="2826"/>
      <c r="F12" s="2826"/>
      <c r="G12" s="2826"/>
      <c r="H12" s="2826"/>
      <c r="I12" s="2826"/>
      <c r="J12" s="2826"/>
      <c r="K12" s="2826"/>
      <c r="L12" s="2813" t="str">
        <f>IF(L11="","",L11+Y11)</f>
        <v/>
      </c>
      <c r="M12" s="2813"/>
      <c r="N12" s="2813"/>
      <c r="O12" s="247" t="s">
        <v>89</v>
      </c>
      <c r="P12" s="247"/>
      <c r="Q12" s="247"/>
      <c r="R12" s="247"/>
      <c r="S12" s="247"/>
      <c r="T12" s="247"/>
      <c r="U12" s="247"/>
      <c r="V12" s="247"/>
      <c r="W12" s="247"/>
      <c r="X12" s="247"/>
      <c r="Y12" s="247"/>
      <c r="Z12" s="247"/>
      <c r="AA12" s="247"/>
      <c r="AB12" s="247"/>
      <c r="AC12" s="247"/>
      <c r="AD12" s="247"/>
      <c r="AE12" s="255"/>
    </row>
    <row r="13" spans="2:35" ht="6.75" customHeight="1"/>
    <row r="14" spans="2:35" ht="14.4">
      <c r="B14" s="294" t="s">
        <v>614</v>
      </c>
      <c r="C14" s="258"/>
      <c r="D14" s="258"/>
      <c r="E14" s="258"/>
      <c r="F14" s="258"/>
      <c r="G14" s="258"/>
      <c r="H14" s="258"/>
      <c r="I14" s="258"/>
      <c r="J14" s="258"/>
      <c r="K14" s="258"/>
      <c r="L14" s="258"/>
      <c r="M14" s="258"/>
      <c r="N14" s="258"/>
      <c r="O14" s="258"/>
      <c r="P14" s="258"/>
      <c r="Q14" s="258"/>
      <c r="R14" s="258"/>
      <c r="S14" s="258"/>
      <c r="T14" s="258"/>
      <c r="U14" s="258"/>
      <c r="V14" s="258"/>
      <c r="W14" s="258"/>
      <c r="X14" s="258"/>
      <c r="Y14" s="258"/>
      <c r="Z14" s="258"/>
      <c r="AA14" s="258"/>
      <c r="AB14" s="258"/>
      <c r="AC14" s="258"/>
      <c r="AD14" s="258"/>
      <c r="AE14" s="259"/>
    </row>
    <row r="15" spans="2:35">
      <c r="B15" s="2814" t="s">
        <v>654</v>
      </c>
      <c r="C15" s="2731"/>
      <c r="D15" s="2731"/>
      <c r="E15" s="2731"/>
      <c r="F15" s="2731"/>
      <c r="G15" s="2731"/>
      <c r="H15" s="2731"/>
      <c r="I15" s="2731"/>
      <c r="J15" s="2731"/>
      <c r="K15" s="2731"/>
      <c r="L15" s="2731"/>
      <c r="M15" s="2731"/>
      <c r="N15" s="2731"/>
      <c r="O15" s="2731"/>
      <c r="P15" s="2731"/>
      <c r="Q15" s="2731"/>
      <c r="R15" s="2731"/>
      <c r="S15" s="2731"/>
      <c r="T15" s="2731"/>
      <c r="U15" s="2731"/>
      <c r="V15" s="2731"/>
      <c r="W15" s="2731"/>
      <c r="X15" s="2731"/>
      <c r="Y15" s="2731"/>
      <c r="Z15" s="2731"/>
      <c r="AA15" s="2731"/>
      <c r="AB15" s="2731"/>
      <c r="AC15" s="2731"/>
      <c r="AD15" s="2731"/>
      <c r="AE15" s="2815"/>
    </row>
    <row r="16" spans="2:35">
      <c r="B16" s="290" t="s">
        <v>608</v>
      </c>
      <c r="C16" s="256"/>
      <c r="D16" s="256"/>
      <c r="E16" s="256"/>
      <c r="F16" s="256"/>
      <c r="G16" s="256"/>
      <c r="H16" s="256"/>
      <c r="I16" s="256"/>
      <c r="J16" s="256"/>
      <c r="K16" s="256"/>
      <c r="L16" s="256"/>
      <c r="M16" s="256"/>
      <c r="N16" s="256"/>
      <c r="O16" s="256"/>
      <c r="P16" s="256"/>
      <c r="Q16" s="299" t="s">
        <v>601</v>
      </c>
      <c r="R16" s="256"/>
      <c r="S16" s="256"/>
      <c r="T16" s="256"/>
      <c r="U16" s="256"/>
      <c r="V16" s="256"/>
      <c r="W16" s="256"/>
      <c r="X16" s="256"/>
      <c r="Y16" s="256"/>
      <c r="Z16" s="256"/>
      <c r="AA16" s="256"/>
      <c r="AB16" s="256"/>
      <c r="AC16" s="256"/>
      <c r="AD16" s="256"/>
      <c r="AE16" s="257"/>
    </row>
    <row r="17" spans="2:31">
      <c r="B17" s="252"/>
      <c r="C17" s="233" t="s">
        <v>596</v>
      </c>
      <c r="Q17" s="300"/>
      <c r="R17" s="233" t="s">
        <v>606</v>
      </c>
      <c r="AE17" s="253"/>
    </row>
    <row r="18" spans="2:31" ht="6.75" customHeight="1">
      <c r="B18" s="252"/>
      <c r="Q18" s="300"/>
      <c r="AE18" s="253"/>
    </row>
    <row r="19" spans="2:31">
      <c r="B19" s="252"/>
      <c r="C19" s="236" t="s">
        <v>121</v>
      </c>
      <c r="D19" s="280" t="s">
        <v>611</v>
      </c>
      <c r="E19" s="260"/>
      <c r="F19" s="260"/>
      <c r="G19" s="260"/>
      <c r="H19" s="260"/>
      <c r="I19" s="260"/>
      <c r="J19" s="260"/>
      <c r="K19" s="260"/>
      <c r="L19" s="260"/>
      <c r="M19" s="260"/>
      <c r="N19" s="260"/>
      <c r="O19" s="261"/>
      <c r="Q19" s="300"/>
      <c r="R19" s="236" t="s">
        <v>122</v>
      </c>
      <c r="S19" s="2816" t="s">
        <v>640</v>
      </c>
      <c r="T19" s="2817"/>
      <c r="U19" s="2817"/>
      <c r="V19" s="2817"/>
      <c r="W19" s="2817"/>
      <c r="X19" s="2817"/>
      <c r="Y19" s="2817"/>
      <c r="Z19" s="2817"/>
      <c r="AA19" s="2817"/>
      <c r="AB19" s="2817"/>
      <c r="AC19" s="2817"/>
      <c r="AD19" s="2818"/>
      <c r="AE19" s="253"/>
    </row>
    <row r="20" spans="2:31">
      <c r="B20" s="252"/>
      <c r="D20" s="279" t="s">
        <v>623</v>
      </c>
      <c r="E20" s="2811"/>
      <c r="F20" s="2811"/>
      <c r="G20" s="266" t="s">
        <v>615</v>
      </c>
      <c r="H20" s="266"/>
      <c r="I20" s="266"/>
      <c r="J20" s="266"/>
      <c r="K20" s="266"/>
      <c r="L20" s="266"/>
      <c r="M20" s="266"/>
      <c r="N20" s="266"/>
      <c r="O20" s="267"/>
      <c r="Q20" s="300"/>
      <c r="S20" s="2819"/>
      <c r="T20" s="2820"/>
      <c r="U20" s="2820"/>
      <c r="V20" s="2820"/>
      <c r="W20" s="2820"/>
      <c r="X20" s="2820"/>
      <c r="Y20" s="2820"/>
      <c r="Z20" s="2820"/>
      <c r="AA20" s="2820"/>
      <c r="AB20" s="2820"/>
      <c r="AC20" s="2820"/>
      <c r="AD20" s="2821"/>
      <c r="AE20" s="253"/>
    </row>
    <row r="21" spans="2:31" ht="6.75" customHeight="1">
      <c r="B21" s="252"/>
      <c r="Q21" s="300"/>
      <c r="AE21" s="253"/>
    </row>
    <row r="22" spans="2:31">
      <c r="B22" s="252"/>
      <c r="C22" s="236" t="s">
        <v>121</v>
      </c>
      <c r="D22" s="280" t="s">
        <v>609</v>
      </c>
      <c r="E22" s="260"/>
      <c r="F22" s="260"/>
      <c r="G22" s="260"/>
      <c r="H22" s="260"/>
      <c r="I22" s="260"/>
      <c r="J22" s="260"/>
      <c r="K22" s="260"/>
      <c r="L22" s="260"/>
      <c r="M22" s="260"/>
      <c r="N22" s="260"/>
      <c r="O22" s="261"/>
      <c r="Q22" s="300"/>
      <c r="S22" s="2747" t="s">
        <v>641</v>
      </c>
      <c r="T22" s="2747"/>
      <c r="U22" s="2747"/>
      <c r="V22" s="2747"/>
      <c r="W22" s="2746" t="str">
        <f>IF(U23="","",U23+Y23)</f>
        <v/>
      </c>
      <c r="X22" s="2746"/>
      <c r="Y22" s="2747" t="s">
        <v>646</v>
      </c>
      <c r="Z22" s="2747"/>
      <c r="AA22" s="2747"/>
      <c r="AB22" s="306">
        <v>2</v>
      </c>
      <c r="AC22" s="249" t="s">
        <v>303</v>
      </c>
      <c r="AD22" s="2748" t="str">
        <f>IF(W22="","",W22/AB22)</f>
        <v/>
      </c>
      <c r="AE22" s="2749"/>
    </row>
    <row r="23" spans="2:31">
      <c r="B23" s="252"/>
      <c r="D23" s="263" t="s">
        <v>625</v>
      </c>
      <c r="E23" s="233" t="s">
        <v>610</v>
      </c>
      <c r="O23" s="269"/>
      <c r="Q23" s="300"/>
      <c r="S23" s="2747" t="s">
        <v>642</v>
      </c>
      <c r="T23" s="2747"/>
      <c r="U23" s="306"/>
      <c r="V23" s="249" t="s">
        <v>643</v>
      </c>
      <c r="W23" s="2747" t="s">
        <v>644</v>
      </c>
      <c r="X23" s="2747"/>
      <c r="Y23" s="306"/>
      <c r="Z23" s="249" t="s">
        <v>645</v>
      </c>
      <c r="AA23" s="249"/>
      <c r="AB23" s="249"/>
      <c r="AC23" s="249"/>
      <c r="AD23" s="2809" t="s">
        <v>647</v>
      </c>
      <c r="AE23" s="2810"/>
    </row>
    <row r="24" spans="2:31">
      <c r="B24" s="252"/>
      <c r="D24" s="279" t="s">
        <v>624</v>
      </c>
      <c r="E24" s="2811"/>
      <c r="F24" s="2811"/>
      <c r="G24" s="266" t="s">
        <v>616</v>
      </c>
      <c r="H24" s="266"/>
      <c r="I24" s="266"/>
      <c r="J24" s="266"/>
      <c r="K24" s="266"/>
      <c r="L24" s="266"/>
      <c r="M24" s="266"/>
      <c r="N24" s="266"/>
      <c r="O24" s="267"/>
      <c r="Q24" s="300"/>
      <c r="AD24" s="2748" t="str">
        <f>IF(W22="","",ROUNDUP(AD22,0))</f>
        <v/>
      </c>
      <c r="AE24" s="2749"/>
    </row>
    <row r="25" spans="2:31" ht="6.75" customHeight="1">
      <c r="B25" s="252"/>
      <c r="Q25" s="300"/>
      <c r="AE25" s="253"/>
    </row>
    <row r="26" spans="2:31">
      <c r="B26" s="290" t="s">
        <v>597</v>
      </c>
      <c r="C26" s="256"/>
      <c r="D26" s="256"/>
      <c r="E26" s="256"/>
      <c r="F26" s="256"/>
      <c r="G26" s="256"/>
      <c r="H26" s="256"/>
      <c r="I26" s="256"/>
      <c r="J26" s="256"/>
      <c r="K26" s="256"/>
      <c r="L26" s="256"/>
      <c r="M26" s="256"/>
      <c r="N26" s="256"/>
      <c r="O26" s="256"/>
      <c r="P26" s="256"/>
      <c r="Q26" s="299" t="s">
        <v>602</v>
      </c>
      <c r="R26" s="256"/>
      <c r="S26" s="256"/>
      <c r="T26" s="256"/>
      <c r="U26" s="256"/>
      <c r="V26" s="256"/>
      <c r="W26" s="256"/>
      <c r="X26" s="256"/>
      <c r="Y26" s="256"/>
      <c r="Z26" s="256"/>
      <c r="AA26" s="256"/>
      <c r="AB26" s="256"/>
      <c r="AC26" s="256"/>
      <c r="AD26" s="256"/>
      <c r="AE26" s="257"/>
    </row>
    <row r="27" spans="2:31">
      <c r="B27" s="252"/>
      <c r="C27" s="233" t="s">
        <v>598</v>
      </c>
      <c r="Q27" s="300"/>
      <c r="R27" s="233" t="s">
        <v>605</v>
      </c>
      <c r="AE27" s="253"/>
    </row>
    <row r="28" spans="2:31" ht="6.75" customHeight="1">
      <c r="B28" s="252"/>
      <c r="Q28" s="300"/>
      <c r="AE28" s="253"/>
    </row>
    <row r="29" spans="2:31">
      <c r="B29" s="252"/>
      <c r="C29" s="236" t="s">
        <v>122</v>
      </c>
      <c r="D29" s="280" t="s">
        <v>607</v>
      </c>
      <c r="E29" s="260"/>
      <c r="F29" s="260"/>
      <c r="G29" s="260"/>
      <c r="H29" s="260"/>
      <c r="I29" s="260"/>
      <c r="J29" s="260"/>
      <c r="K29" s="260"/>
      <c r="L29" s="260"/>
      <c r="M29" s="260"/>
      <c r="N29" s="260"/>
      <c r="O29" s="261"/>
      <c r="Q29" s="300"/>
      <c r="R29" s="236" t="s">
        <v>122</v>
      </c>
      <c r="S29" s="2816" t="s">
        <v>640</v>
      </c>
      <c r="T29" s="2817"/>
      <c r="U29" s="2817"/>
      <c r="V29" s="2817"/>
      <c r="W29" s="2817"/>
      <c r="X29" s="2817"/>
      <c r="Y29" s="2817"/>
      <c r="Z29" s="2817"/>
      <c r="AA29" s="2817"/>
      <c r="AB29" s="2817"/>
      <c r="AC29" s="2817"/>
      <c r="AD29" s="2818"/>
      <c r="AE29" s="253"/>
    </row>
    <row r="30" spans="2:31">
      <c r="B30" s="252"/>
      <c r="D30" s="279" t="s">
        <v>622</v>
      </c>
      <c r="E30" s="2811"/>
      <c r="F30" s="2811"/>
      <c r="G30" s="266" t="s">
        <v>615</v>
      </c>
      <c r="H30" s="266"/>
      <c r="I30" s="266"/>
      <c r="J30" s="266"/>
      <c r="K30" s="266"/>
      <c r="L30" s="266"/>
      <c r="M30" s="266"/>
      <c r="N30" s="266"/>
      <c r="O30" s="267"/>
      <c r="Q30" s="300"/>
      <c r="S30" s="2819"/>
      <c r="T30" s="2820"/>
      <c r="U30" s="2820"/>
      <c r="V30" s="2820"/>
      <c r="W30" s="2820"/>
      <c r="X30" s="2820"/>
      <c r="Y30" s="2820"/>
      <c r="Z30" s="2820"/>
      <c r="AA30" s="2820"/>
      <c r="AB30" s="2820"/>
      <c r="AC30" s="2820"/>
      <c r="AD30" s="2821"/>
      <c r="AE30" s="253"/>
    </row>
    <row r="31" spans="2:31" ht="6.75" customHeight="1">
      <c r="B31" s="252"/>
      <c r="Q31" s="300"/>
      <c r="AE31" s="253"/>
    </row>
    <row r="32" spans="2:31">
      <c r="B32" s="252"/>
      <c r="C32" s="236" t="s">
        <v>121</v>
      </c>
      <c r="D32" s="280" t="s">
        <v>609</v>
      </c>
      <c r="E32" s="260"/>
      <c r="F32" s="260"/>
      <c r="G32" s="260"/>
      <c r="H32" s="260"/>
      <c r="I32" s="260"/>
      <c r="J32" s="260"/>
      <c r="K32" s="260"/>
      <c r="L32" s="260"/>
      <c r="M32" s="260"/>
      <c r="N32" s="260"/>
      <c r="O32" s="261"/>
      <c r="Q32" s="300"/>
      <c r="S32" s="2747" t="s">
        <v>641</v>
      </c>
      <c r="T32" s="2747"/>
      <c r="U32" s="2747"/>
      <c r="V32" s="2747"/>
      <c r="W32" s="2746" t="str">
        <f>IF(U33="","",U33+Y33)</f>
        <v/>
      </c>
      <c r="X32" s="2746"/>
      <c r="Y32" s="2747" t="s">
        <v>646</v>
      </c>
      <c r="Z32" s="2747"/>
      <c r="AA32" s="2747"/>
      <c r="AB32" s="306">
        <v>2</v>
      </c>
      <c r="AC32" s="249" t="s">
        <v>303</v>
      </c>
      <c r="AD32" s="2748" t="str">
        <f>IF(W32="","",W32/AB32)</f>
        <v/>
      </c>
      <c r="AE32" s="2749"/>
    </row>
    <row r="33" spans="2:31">
      <c r="B33" s="252"/>
      <c r="D33" s="279" t="s">
        <v>621</v>
      </c>
      <c r="E33" s="266" t="s">
        <v>610</v>
      </c>
      <c r="F33" s="266"/>
      <c r="G33" s="266"/>
      <c r="H33" s="266"/>
      <c r="I33" s="266"/>
      <c r="J33" s="266"/>
      <c r="K33" s="266"/>
      <c r="L33" s="266"/>
      <c r="M33" s="266"/>
      <c r="N33" s="266"/>
      <c r="O33" s="267"/>
      <c r="Q33" s="300"/>
      <c r="S33" s="2747" t="s">
        <v>642</v>
      </c>
      <c r="T33" s="2747"/>
      <c r="U33" s="306"/>
      <c r="V33" s="249" t="s">
        <v>643</v>
      </c>
      <c r="W33" s="2747" t="s">
        <v>644</v>
      </c>
      <c r="X33" s="2747"/>
      <c r="Y33" s="306"/>
      <c r="Z33" s="249" t="s">
        <v>645</v>
      </c>
      <c r="AA33" s="249"/>
      <c r="AB33" s="249"/>
      <c r="AC33" s="249"/>
      <c r="AD33" s="2809" t="s">
        <v>647</v>
      </c>
      <c r="AE33" s="2810"/>
    </row>
    <row r="34" spans="2:31">
      <c r="B34" s="252"/>
      <c r="D34" s="268" t="s">
        <v>621</v>
      </c>
      <c r="E34" s="2812"/>
      <c r="F34" s="2812"/>
      <c r="G34" s="260" t="s">
        <v>616</v>
      </c>
      <c r="H34" s="260"/>
      <c r="I34" s="260"/>
      <c r="J34" s="260"/>
      <c r="K34" s="260"/>
      <c r="L34" s="260"/>
      <c r="M34" s="260"/>
      <c r="N34" s="260"/>
      <c r="O34" s="261"/>
      <c r="P34" s="264"/>
      <c r="Q34" s="300"/>
      <c r="AD34" s="2748" t="str">
        <f>IF(W32="","",ROUNDUP(AD32,0))</f>
        <v/>
      </c>
      <c r="AE34" s="2749"/>
    </row>
    <row r="35" spans="2:31" ht="12" customHeight="1">
      <c r="B35" s="252"/>
      <c r="D35" s="262" t="s">
        <v>618</v>
      </c>
      <c r="E35" s="2783" t="s">
        <v>617</v>
      </c>
      <c r="F35" s="2783"/>
      <c r="G35" s="2783"/>
      <c r="H35" s="2783"/>
      <c r="I35" s="2783"/>
      <c r="J35" s="2783"/>
      <c r="K35" s="2783"/>
      <c r="L35" s="2783"/>
      <c r="M35" s="2783"/>
      <c r="N35" s="2783"/>
      <c r="O35" s="2784"/>
      <c r="P35" s="295"/>
      <c r="Q35" s="315"/>
      <c r="R35" s="295"/>
      <c r="S35" s="295"/>
      <c r="T35" s="295"/>
      <c r="U35" s="295"/>
      <c r="V35" s="295"/>
      <c r="W35" s="295"/>
      <c r="X35" s="295"/>
      <c r="AE35" s="253"/>
    </row>
    <row r="36" spans="2:31" ht="12" customHeight="1">
      <c r="B36" s="252"/>
      <c r="D36" s="262"/>
      <c r="E36" s="2783"/>
      <c r="F36" s="2783"/>
      <c r="G36" s="2783"/>
      <c r="H36" s="2783"/>
      <c r="I36" s="2783"/>
      <c r="J36" s="2783"/>
      <c r="K36" s="2783"/>
      <c r="L36" s="2783"/>
      <c r="M36" s="2783"/>
      <c r="N36" s="2783"/>
      <c r="O36" s="2784"/>
      <c r="P36" s="295"/>
      <c r="Q36" s="315"/>
      <c r="R36" s="295"/>
      <c r="S36" s="295"/>
      <c r="T36" s="295"/>
      <c r="U36" s="295"/>
      <c r="V36" s="295"/>
      <c r="W36" s="295"/>
      <c r="X36" s="295"/>
      <c r="AE36" s="253"/>
    </row>
    <row r="37" spans="2:31" ht="12" customHeight="1">
      <c r="B37" s="252"/>
      <c r="D37" s="262"/>
      <c r="E37" s="2783"/>
      <c r="F37" s="2783"/>
      <c r="G37" s="2783"/>
      <c r="H37" s="2783"/>
      <c r="I37" s="2783"/>
      <c r="J37" s="2783"/>
      <c r="K37" s="2783"/>
      <c r="L37" s="2783"/>
      <c r="M37" s="2783"/>
      <c r="N37" s="2783"/>
      <c r="O37" s="2784"/>
      <c r="P37" s="295"/>
      <c r="Q37" s="315"/>
      <c r="R37" s="295"/>
      <c r="S37" s="295"/>
      <c r="T37" s="295"/>
      <c r="U37" s="295"/>
      <c r="V37" s="295"/>
      <c r="W37" s="295"/>
      <c r="X37" s="295"/>
      <c r="AE37" s="253"/>
    </row>
    <row r="38" spans="2:31">
      <c r="B38" s="252"/>
      <c r="D38" s="262"/>
      <c r="E38" s="2783"/>
      <c r="F38" s="2783"/>
      <c r="G38" s="2783"/>
      <c r="H38" s="2783"/>
      <c r="I38" s="2783"/>
      <c r="J38" s="2783"/>
      <c r="K38" s="2783"/>
      <c r="L38" s="2783"/>
      <c r="M38" s="2783"/>
      <c r="N38" s="2783"/>
      <c r="O38" s="2784"/>
      <c r="P38" s="295"/>
      <c r="Q38" s="315"/>
      <c r="R38" s="295"/>
      <c r="S38" s="295"/>
      <c r="T38" s="295"/>
      <c r="U38" s="295"/>
      <c r="V38" s="295"/>
      <c r="W38" s="295"/>
      <c r="X38" s="295"/>
      <c r="AE38" s="253"/>
    </row>
    <row r="39" spans="2:31">
      <c r="B39" s="252"/>
      <c r="D39" s="262"/>
      <c r="E39" s="2783"/>
      <c r="F39" s="2783"/>
      <c r="G39" s="2783"/>
      <c r="H39" s="2783"/>
      <c r="I39" s="2783"/>
      <c r="J39" s="2783"/>
      <c r="K39" s="2783"/>
      <c r="L39" s="2783"/>
      <c r="M39" s="2783"/>
      <c r="N39" s="2783"/>
      <c r="O39" s="2784"/>
      <c r="P39" s="295"/>
      <c r="Q39" s="315"/>
      <c r="R39" s="295"/>
      <c r="S39" s="295"/>
      <c r="T39" s="295"/>
      <c r="U39" s="295"/>
      <c r="V39" s="295"/>
      <c r="W39" s="295"/>
      <c r="X39" s="295"/>
      <c r="AE39" s="253"/>
    </row>
    <row r="40" spans="2:31" ht="12" customHeight="1">
      <c r="B40" s="252"/>
      <c r="D40" s="262" t="s">
        <v>619</v>
      </c>
      <c r="E40" s="2783" t="s">
        <v>627</v>
      </c>
      <c r="F40" s="2783"/>
      <c r="G40" s="2783"/>
      <c r="H40" s="2783"/>
      <c r="I40" s="2783"/>
      <c r="J40" s="2783"/>
      <c r="K40" s="2783"/>
      <c r="L40" s="2783"/>
      <c r="M40" s="2783"/>
      <c r="N40" s="2783"/>
      <c r="O40" s="2784"/>
      <c r="P40" s="295"/>
      <c r="Q40" s="315"/>
      <c r="R40" s="295"/>
      <c r="S40" s="295"/>
      <c r="T40" s="295"/>
      <c r="U40" s="295"/>
      <c r="V40" s="295"/>
      <c r="W40" s="295"/>
      <c r="X40" s="295"/>
      <c r="AE40" s="253"/>
    </row>
    <row r="41" spans="2:31" ht="12" customHeight="1">
      <c r="B41" s="252"/>
      <c r="D41" s="262"/>
      <c r="E41" s="2783"/>
      <c r="F41" s="2783"/>
      <c r="G41" s="2783"/>
      <c r="H41" s="2783"/>
      <c r="I41" s="2783"/>
      <c r="J41" s="2783"/>
      <c r="K41" s="2783"/>
      <c r="L41" s="2783"/>
      <c r="M41" s="2783"/>
      <c r="N41" s="2783"/>
      <c r="O41" s="2784"/>
      <c r="P41" s="295"/>
      <c r="Q41" s="315"/>
      <c r="R41" s="295"/>
      <c r="S41" s="295"/>
      <c r="T41" s="295"/>
      <c r="U41" s="295"/>
      <c r="V41" s="295"/>
      <c r="W41" s="295"/>
      <c r="X41" s="295"/>
      <c r="AE41" s="253"/>
    </row>
    <row r="42" spans="2:31" ht="12" customHeight="1">
      <c r="B42" s="252"/>
      <c r="D42" s="262"/>
      <c r="E42" s="2783"/>
      <c r="F42" s="2783"/>
      <c r="G42" s="2783"/>
      <c r="H42" s="2783"/>
      <c r="I42" s="2783"/>
      <c r="J42" s="2783"/>
      <c r="K42" s="2783"/>
      <c r="L42" s="2783"/>
      <c r="M42" s="2783"/>
      <c r="N42" s="2783"/>
      <c r="O42" s="2784"/>
      <c r="P42" s="295"/>
      <c r="Q42" s="315"/>
      <c r="R42" s="295"/>
      <c r="S42" s="295"/>
      <c r="T42" s="295"/>
      <c r="U42" s="295"/>
      <c r="V42" s="295"/>
      <c r="W42" s="295"/>
      <c r="X42" s="295"/>
      <c r="AE42" s="253"/>
    </row>
    <row r="43" spans="2:31" ht="12" customHeight="1">
      <c r="B43" s="252"/>
      <c r="D43" s="262"/>
      <c r="E43" s="2783"/>
      <c r="F43" s="2783"/>
      <c r="G43" s="2783"/>
      <c r="H43" s="2783"/>
      <c r="I43" s="2783"/>
      <c r="J43" s="2783"/>
      <c r="K43" s="2783"/>
      <c r="L43" s="2783"/>
      <c r="M43" s="2783"/>
      <c r="N43" s="2783"/>
      <c r="O43" s="2784"/>
      <c r="P43" s="295"/>
      <c r="Q43" s="315"/>
      <c r="R43" s="295"/>
      <c r="S43" s="295"/>
      <c r="T43" s="295"/>
      <c r="U43" s="295"/>
      <c r="V43" s="295"/>
      <c r="W43" s="295"/>
      <c r="X43" s="295"/>
      <c r="AE43" s="253"/>
    </row>
    <row r="44" spans="2:31" ht="12" customHeight="1">
      <c r="B44" s="252"/>
      <c r="D44" s="262" t="s">
        <v>620</v>
      </c>
      <c r="E44" s="2783" t="s">
        <v>628</v>
      </c>
      <c r="F44" s="2783"/>
      <c r="G44" s="2783"/>
      <c r="H44" s="2783"/>
      <c r="I44" s="2783"/>
      <c r="J44" s="2783"/>
      <c r="K44" s="2783"/>
      <c r="L44" s="2783"/>
      <c r="M44" s="2783"/>
      <c r="N44" s="2783"/>
      <c r="O44" s="2784"/>
      <c r="P44" s="295"/>
      <c r="Q44" s="315"/>
      <c r="R44" s="295"/>
      <c r="S44" s="295"/>
      <c r="T44" s="295"/>
      <c r="U44" s="295"/>
      <c r="V44" s="295"/>
      <c r="W44" s="295"/>
      <c r="X44" s="295"/>
      <c r="AE44" s="253"/>
    </row>
    <row r="45" spans="2:31" ht="12" customHeight="1">
      <c r="B45" s="252"/>
      <c r="D45" s="262"/>
      <c r="E45" s="2783"/>
      <c r="F45" s="2783"/>
      <c r="G45" s="2783"/>
      <c r="H45" s="2783"/>
      <c r="I45" s="2783"/>
      <c r="J45" s="2783"/>
      <c r="K45" s="2783"/>
      <c r="L45" s="2783"/>
      <c r="M45" s="2783"/>
      <c r="N45" s="2783"/>
      <c r="O45" s="2784"/>
      <c r="P45" s="295"/>
      <c r="Q45" s="315"/>
      <c r="R45" s="295"/>
      <c r="S45" s="295"/>
      <c r="T45" s="295"/>
      <c r="U45" s="295"/>
      <c r="V45" s="295"/>
      <c r="W45" s="295"/>
      <c r="X45" s="295"/>
      <c r="AE45" s="253"/>
    </row>
    <row r="46" spans="2:31" ht="12" customHeight="1">
      <c r="B46" s="252"/>
      <c r="D46" s="262"/>
      <c r="E46" s="2783"/>
      <c r="F46" s="2783"/>
      <c r="G46" s="2783"/>
      <c r="H46" s="2783"/>
      <c r="I46" s="2783"/>
      <c r="J46" s="2783"/>
      <c r="K46" s="2783"/>
      <c r="L46" s="2783"/>
      <c r="M46" s="2783"/>
      <c r="N46" s="2783"/>
      <c r="O46" s="2784"/>
      <c r="P46" s="295"/>
      <c r="Q46" s="315"/>
      <c r="R46" s="295"/>
      <c r="S46" s="295"/>
      <c r="T46" s="295"/>
      <c r="U46" s="295"/>
      <c r="V46" s="295"/>
      <c r="W46" s="295"/>
      <c r="X46" s="295"/>
      <c r="AE46" s="253"/>
    </row>
    <row r="47" spans="2:31">
      <c r="B47" s="252"/>
      <c r="D47" s="270"/>
      <c r="E47" s="2834"/>
      <c r="F47" s="2834"/>
      <c r="G47" s="2834"/>
      <c r="H47" s="2834"/>
      <c r="I47" s="2834"/>
      <c r="J47" s="2834"/>
      <c r="K47" s="2834"/>
      <c r="L47" s="2834"/>
      <c r="M47" s="2834"/>
      <c r="N47" s="2834"/>
      <c r="O47" s="2835"/>
      <c r="P47" s="295"/>
      <c r="Q47" s="315"/>
      <c r="R47" s="295"/>
      <c r="S47" s="295"/>
      <c r="T47" s="295"/>
      <c r="U47" s="295"/>
      <c r="V47" s="295"/>
      <c r="W47" s="295"/>
      <c r="X47" s="295"/>
      <c r="AE47" s="253"/>
    </row>
    <row r="48" spans="2:31" ht="12" customHeight="1">
      <c r="B48" s="252"/>
      <c r="D48" s="263" t="s">
        <v>626</v>
      </c>
      <c r="E48" s="2779" t="s">
        <v>629</v>
      </c>
      <c r="F48" s="2779"/>
      <c r="G48" s="2779"/>
      <c r="H48" s="2779"/>
      <c r="I48" s="2779"/>
      <c r="J48" s="2779"/>
      <c r="K48" s="2779"/>
      <c r="L48" s="2779"/>
      <c r="M48" s="2779"/>
      <c r="N48" s="2779"/>
      <c r="O48" s="2780"/>
      <c r="P48" s="264"/>
      <c r="Q48" s="300"/>
      <c r="R48" s="269"/>
      <c r="S48" s="268" t="s">
        <v>626</v>
      </c>
      <c r="T48" s="2777" t="s">
        <v>629</v>
      </c>
      <c r="U48" s="2777"/>
      <c r="V48" s="2777"/>
      <c r="W48" s="2777"/>
      <c r="X48" s="2777"/>
      <c r="Y48" s="2777"/>
      <c r="Z48" s="2777"/>
      <c r="AA48" s="2777"/>
      <c r="AB48" s="2777"/>
      <c r="AC48" s="2777"/>
      <c r="AD48" s="2778"/>
      <c r="AE48" s="253"/>
    </row>
    <row r="49" spans="2:32">
      <c r="B49" s="252"/>
      <c r="D49" s="264"/>
      <c r="E49" s="2779"/>
      <c r="F49" s="2779"/>
      <c r="G49" s="2779"/>
      <c r="H49" s="2779"/>
      <c r="I49" s="2779"/>
      <c r="J49" s="2779"/>
      <c r="K49" s="2779"/>
      <c r="L49" s="2779"/>
      <c r="M49" s="2779"/>
      <c r="N49" s="2779"/>
      <c r="O49" s="2780"/>
      <c r="Q49" s="300"/>
      <c r="S49" s="264"/>
      <c r="T49" s="2779"/>
      <c r="U49" s="2779"/>
      <c r="V49" s="2779"/>
      <c r="W49" s="2779"/>
      <c r="X49" s="2779"/>
      <c r="Y49" s="2779"/>
      <c r="Z49" s="2779"/>
      <c r="AA49" s="2779"/>
      <c r="AB49" s="2779"/>
      <c r="AC49" s="2779"/>
      <c r="AD49" s="2780"/>
      <c r="AE49" s="253"/>
    </row>
    <row r="50" spans="2:32">
      <c r="B50" s="252"/>
      <c r="D50" s="264"/>
      <c r="E50" s="272" t="s">
        <v>648</v>
      </c>
      <c r="F50" s="272"/>
      <c r="G50" s="272"/>
      <c r="H50" s="272"/>
      <c r="I50" s="272"/>
      <c r="J50" s="272"/>
      <c r="K50" s="272"/>
      <c r="L50" s="272"/>
      <c r="M50" s="272"/>
      <c r="N50" s="272"/>
      <c r="O50" s="275"/>
      <c r="Q50" s="300"/>
      <c r="S50" s="264"/>
      <c r="T50" s="272" t="s">
        <v>648</v>
      </c>
      <c r="U50" s="272"/>
      <c r="V50" s="272"/>
      <c r="W50" s="272"/>
      <c r="X50" s="272"/>
      <c r="Y50" s="272"/>
      <c r="Z50" s="272"/>
      <c r="AA50" s="272"/>
      <c r="AB50" s="272"/>
      <c r="AC50" s="272"/>
      <c r="AD50" s="275"/>
      <c r="AE50" s="253"/>
    </row>
    <row r="51" spans="2:32">
      <c r="B51" s="252"/>
      <c r="D51" s="264"/>
      <c r="E51" s="2829" t="s">
        <v>649</v>
      </c>
      <c r="F51" s="2829"/>
      <c r="G51" s="2829"/>
      <c r="H51" s="2823" t="str">
        <f>L12</f>
        <v/>
      </c>
      <c r="I51" s="2824"/>
      <c r="J51" s="273" t="s">
        <v>650</v>
      </c>
      <c r="K51" s="274">
        <v>41</v>
      </c>
      <c r="L51" s="273" t="s">
        <v>651</v>
      </c>
      <c r="M51" s="2825" t="str">
        <f>IF(H51="","",ROUND(H51/K51,2))</f>
        <v/>
      </c>
      <c r="N51" s="2825"/>
      <c r="O51" s="275"/>
      <c r="Q51" s="300"/>
      <c r="S51" s="264"/>
      <c r="T51" s="2829" t="s">
        <v>649</v>
      </c>
      <c r="U51" s="2829"/>
      <c r="V51" s="2829"/>
      <c r="W51" s="2830" t="str">
        <f>L12</f>
        <v/>
      </c>
      <c r="X51" s="2831"/>
      <c r="Y51" s="273" t="s">
        <v>650</v>
      </c>
      <c r="Z51" s="307">
        <v>41</v>
      </c>
      <c r="AA51" s="273" t="s">
        <v>651</v>
      </c>
      <c r="AB51" s="2750" t="str">
        <f>IF(W51="","",ROUND(W51/Z51,2))</f>
        <v/>
      </c>
      <c r="AC51" s="2750"/>
      <c r="AD51" s="275"/>
      <c r="AE51" s="253"/>
    </row>
    <row r="52" spans="2:32" ht="6.75" customHeight="1">
      <c r="B52" s="252"/>
      <c r="D52" s="265"/>
      <c r="E52" s="276"/>
      <c r="F52" s="276"/>
      <c r="G52" s="276"/>
      <c r="H52" s="276"/>
      <c r="I52" s="276"/>
      <c r="J52" s="276"/>
      <c r="K52" s="276"/>
      <c r="L52" s="276"/>
      <c r="M52" s="276"/>
      <c r="N52" s="276"/>
      <c r="O52" s="277"/>
      <c r="Q52" s="300"/>
      <c r="S52" s="265"/>
      <c r="T52" s="276"/>
      <c r="U52" s="276"/>
      <c r="V52" s="276"/>
      <c r="W52" s="276"/>
      <c r="X52" s="276"/>
      <c r="Y52" s="276"/>
      <c r="Z52" s="276"/>
      <c r="AA52" s="276"/>
      <c r="AB52" s="276"/>
      <c r="AC52" s="276"/>
      <c r="AD52" s="277"/>
      <c r="AE52" s="253"/>
    </row>
    <row r="53" spans="2:32" ht="6.75" customHeight="1">
      <c r="B53" s="252"/>
      <c r="Q53" s="300"/>
      <c r="AE53" s="253"/>
    </row>
    <row r="54" spans="2:32">
      <c r="B54" s="290" t="s">
        <v>599</v>
      </c>
      <c r="C54" s="256"/>
      <c r="D54" s="256"/>
      <c r="E54" s="256"/>
      <c r="F54" s="256"/>
      <c r="G54" s="256"/>
      <c r="H54" s="256"/>
      <c r="I54" s="256"/>
      <c r="J54" s="256"/>
      <c r="K54" s="256"/>
      <c r="L54" s="256"/>
      <c r="M54" s="256"/>
      <c r="N54" s="256"/>
      <c r="O54" s="256"/>
      <c r="P54" s="256"/>
      <c r="Q54" s="299" t="s">
        <v>603</v>
      </c>
      <c r="R54" s="256"/>
      <c r="S54" s="256"/>
      <c r="T54" s="256"/>
      <c r="U54" s="256"/>
      <c r="V54" s="256"/>
      <c r="W54" s="256"/>
      <c r="X54" s="256"/>
      <c r="Y54" s="256"/>
      <c r="Z54" s="256"/>
      <c r="AA54" s="256"/>
      <c r="AB54" s="256"/>
      <c r="AC54" s="256"/>
      <c r="AD54" s="256"/>
      <c r="AE54" s="257"/>
    </row>
    <row r="55" spans="2:32">
      <c r="B55" s="252"/>
      <c r="C55" s="233" t="s">
        <v>600</v>
      </c>
      <c r="Q55" s="300"/>
      <c r="R55" s="233" t="s">
        <v>604</v>
      </c>
      <c r="AE55" s="253"/>
    </row>
    <row r="56" spans="2:32" ht="6.75" customHeight="1">
      <c r="B56" s="252"/>
      <c r="Q56" s="300"/>
      <c r="AE56" s="253"/>
    </row>
    <row r="57" spans="2:32">
      <c r="B57" s="252"/>
      <c r="C57" s="236" t="s">
        <v>122</v>
      </c>
      <c r="D57" s="268" t="s">
        <v>622</v>
      </c>
      <c r="E57" s="2812"/>
      <c r="F57" s="2812"/>
      <c r="G57" s="260" t="s">
        <v>615</v>
      </c>
      <c r="H57" s="260"/>
      <c r="I57" s="260"/>
      <c r="J57" s="260"/>
      <c r="K57" s="260"/>
      <c r="L57" s="260"/>
      <c r="M57" s="260"/>
      <c r="N57" s="260"/>
      <c r="O57" s="261"/>
      <c r="Q57" s="300"/>
      <c r="R57" s="236" t="s">
        <v>122</v>
      </c>
      <c r="S57" s="2816" t="s">
        <v>640</v>
      </c>
      <c r="T57" s="2817"/>
      <c r="U57" s="2817"/>
      <c r="V57" s="2817"/>
      <c r="W57" s="2817"/>
      <c r="X57" s="2817"/>
      <c r="Y57" s="2817"/>
      <c r="Z57" s="2817"/>
      <c r="AA57" s="2817"/>
      <c r="AB57" s="2817"/>
      <c r="AC57" s="2817"/>
      <c r="AD57" s="2818"/>
      <c r="AE57" s="253"/>
    </row>
    <row r="58" spans="2:32">
      <c r="B58" s="252"/>
      <c r="D58" s="265"/>
      <c r="E58" s="266"/>
      <c r="F58" s="266"/>
      <c r="G58" s="266"/>
      <c r="H58" s="266"/>
      <c r="I58" s="266"/>
      <c r="J58" s="266"/>
      <c r="K58" s="266"/>
      <c r="L58" s="266"/>
      <c r="M58" s="266"/>
      <c r="N58" s="266"/>
      <c r="O58" s="267"/>
      <c r="Q58" s="300"/>
      <c r="S58" s="2819"/>
      <c r="T58" s="2820"/>
      <c r="U58" s="2820"/>
      <c r="V58" s="2820"/>
      <c r="W58" s="2820"/>
      <c r="X58" s="2820"/>
      <c r="Y58" s="2820"/>
      <c r="Z58" s="2820"/>
      <c r="AA58" s="2820"/>
      <c r="AB58" s="2820"/>
      <c r="AC58" s="2820"/>
      <c r="AD58" s="2821"/>
      <c r="AE58" s="253"/>
    </row>
    <row r="59" spans="2:32">
      <c r="B59" s="252"/>
      <c r="C59" s="236" t="s">
        <v>121</v>
      </c>
      <c r="D59" s="268" t="s">
        <v>621</v>
      </c>
      <c r="E59" s="260" t="s">
        <v>610</v>
      </c>
      <c r="F59" s="260"/>
      <c r="G59" s="260"/>
      <c r="H59" s="260"/>
      <c r="I59" s="260"/>
      <c r="J59" s="260"/>
      <c r="K59" s="260"/>
      <c r="L59" s="260"/>
      <c r="M59" s="260"/>
      <c r="N59" s="260"/>
      <c r="O59" s="261"/>
      <c r="Q59" s="300"/>
      <c r="S59" s="2747" t="s">
        <v>641</v>
      </c>
      <c r="T59" s="2747"/>
      <c r="U59" s="2747"/>
      <c r="V59" s="2747"/>
      <c r="W59" s="2746" t="str">
        <f>IF(U60="","",U60+Y60)</f>
        <v/>
      </c>
      <c r="X59" s="2746"/>
      <c r="Y59" s="2747" t="s">
        <v>646</v>
      </c>
      <c r="Z59" s="2747"/>
      <c r="AA59" s="2747"/>
      <c r="AB59" s="306">
        <v>2</v>
      </c>
      <c r="AC59" s="249" t="s">
        <v>303</v>
      </c>
      <c r="AD59" s="2748" t="str">
        <f>IF(W59="","",W59/AB59)</f>
        <v/>
      </c>
      <c r="AE59" s="2749"/>
    </row>
    <row r="60" spans="2:32">
      <c r="B60" s="252"/>
      <c r="D60" s="263" t="s">
        <v>621</v>
      </c>
      <c r="E60" s="2822"/>
      <c r="F60" s="2822"/>
      <c r="G60" s="233" t="s">
        <v>616</v>
      </c>
      <c r="O60" s="269"/>
      <c r="Q60" s="300"/>
      <c r="S60" s="2747" t="s">
        <v>642</v>
      </c>
      <c r="T60" s="2747"/>
      <c r="U60" s="306"/>
      <c r="V60" s="249" t="s">
        <v>643</v>
      </c>
      <c r="W60" s="2747" t="s">
        <v>644</v>
      </c>
      <c r="X60" s="2747"/>
      <c r="Y60" s="306"/>
      <c r="Z60" s="249" t="s">
        <v>645</v>
      </c>
      <c r="AA60" s="249"/>
      <c r="AB60" s="249"/>
      <c r="AC60" s="249"/>
      <c r="AD60" s="2809" t="s">
        <v>647</v>
      </c>
      <c r="AE60" s="2810"/>
    </row>
    <row r="61" spans="2:32">
      <c r="B61" s="252"/>
      <c r="D61" s="298"/>
      <c r="E61" s="298"/>
      <c r="F61" s="298"/>
      <c r="G61" s="260"/>
      <c r="H61" s="260"/>
      <c r="I61" s="260"/>
      <c r="J61" s="260"/>
      <c r="K61" s="260"/>
      <c r="L61" s="260"/>
      <c r="M61" s="260"/>
      <c r="N61" s="260"/>
      <c r="O61" s="260"/>
      <c r="Q61" s="300"/>
      <c r="AD61" s="2748" t="str">
        <f>IF(W59="","",ROUNDUP(AD59,0))</f>
        <v/>
      </c>
      <c r="AE61" s="2749"/>
    </row>
    <row r="62" spans="2:32" ht="12" customHeight="1">
      <c r="B62" s="252"/>
      <c r="D62" s="268" t="s">
        <v>626</v>
      </c>
      <c r="E62" s="2777" t="s">
        <v>630</v>
      </c>
      <c r="F62" s="2777"/>
      <c r="G62" s="2777"/>
      <c r="H62" s="2777"/>
      <c r="I62" s="2777"/>
      <c r="J62" s="2777"/>
      <c r="K62" s="2777"/>
      <c r="L62" s="2777"/>
      <c r="M62" s="2777"/>
      <c r="N62" s="2777"/>
      <c r="O62" s="2778"/>
      <c r="Q62" s="300"/>
      <c r="S62" s="268" t="s">
        <v>626</v>
      </c>
      <c r="T62" s="2777" t="s">
        <v>630</v>
      </c>
      <c r="U62" s="2777"/>
      <c r="V62" s="2777"/>
      <c r="W62" s="2777"/>
      <c r="X62" s="2777"/>
      <c r="Y62" s="2777"/>
      <c r="Z62" s="2777"/>
      <c r="AA62" s="2777"/>
      <c r="AB62" s="2777"/>
      <c r="AC62" s="2777"/>
      <c r="AD62" s="2778"/>
      <c r="AF62" s="252"/>
    </row>
    <row r="63" spans="2:32">
      <c r="B63" s="252"/>
      <c r="D63" s="288"/>
      <c r="E63" s="2779"/>
      <c r="F63" s="2779"/>
      <c r="G63" s="2779"/>
      <c r="H63" s="2779"/>
      <c r="I63" s="2779"/>
      <c r="J63" s="2779"/>
      <c r="K63" s="2779"/>
      <c r="L63" s="2779"/>
      <c r="M63" s="2779"/>
      <c r="N63" s="2779"/>
      <c r="O63" s="2780"/>
      <c r="Q63" s="300"/>
      <c r="S63" s="288"/>
      <c r="T63" s="2779"/>
      <c r="U63" s="2779"/>
      <c r="V63" s="2779"/>
      <c r="W63" s="2779"/>
      <c r="X63" s="2779"/>
      <c r="Y63" s="2779"/>
      <c r="Z63" s="2779"/>
      <c r="AA63" s="2779"/>
      <c r="AB63" s="2779"/>
      <c r="AC63" s="2779"/>
      <c r="AD63" s="2780"/>
      <c r="AF63" s="252"/>
    </row>
    <row r="64" spans="2:32">
      <c r="B64" s="252"/>
      <c r="D64" s="288"/>
      <c r="E64" s="2779"/>
      <c r="F64" s="2779"/>
      <c r="G64" s="2779"/>
      <c r="H64" s="2779"/>
      <c r="I64" s="2779"/>
      <c r="J64" s="2779"/>
      <c r="K64" s="2779"/>
      <c r="L64" s="2779"/>
      <c r="M64" s="2779"/>
      <c r="N64" s="2779"/>
      <c r="O64" s="2780"/>
      <c r="Q64" s="300"/>
      <c r="S64" s="288"/>
      <c r="T64" s="2779"/>
      <c r="U64" s="2779"/>
      <c r="V64" s="2779"/>
      <c r="W64" s="2779"/>
      <c r="X64" s="2779"/>
      <c r="Y64" s="2779"/>
      <c r="Z64" s="2779"/>
      <c r="AA64" s="2779"/>
      <c r="AB64" s="2779"/>
      <c r="AC64" s="2779"/>
      <c r="AD64" s="2780"/>
      <c r="AF64" s="252"/>
    </row>
    <row r="65" spans="2:32">
      <c r="B65" s="252"/>
      <c r="D65" s="288"/>
      <c r="E65" s="2779"/>
      <c r="F65" s="2779"/>
      <c r="G65" s="2779"/>
      <c r="H65" s="2779"/>
      <c r="I65" s="2779"/>
      <c r="J65" s="2779"/>
      <c r="K65" s="2779"/>
      <c r="L65" s="2779"/>
      <c r="M65" s="2779"/>
      <c r="N65" s="2779"/>
      <c r="O65" s="2780"/>
      <c r="Q65" s="300"/>
      <c r="S65" s="288"/>
      <c r="T65" s="2779"/>
      <c r="U65" s="2779"/>
      <c r="V65" s="2779"/>
      <c r="W65" s="2779"/>
      <c r="X65" s="2779"/>
      <c r="Y65" s="2779"/>
      <c r="Z65" s="2779"/>
      <c r="AA65" s="2779"/>
      <c r="AB65" s="2779"/>
      <c r="AC65" s="2779"/>
      <c r="AD65" s="2780"/>
      <c r="AF65" s="252"/>
    </row>
    <row r="66" spans="2:32" ht="12" customHeight="1">
      <c r="B66" s="252"/>
      <c r="D66" s="289"/>
      <c r="E66" s="2781"/>
      <c r="F66" s="2781"/>
      <c r="G66" s="2781"/>
      <c r="H66" s="2781"/>
      <c r="I66" s="2781"/>
      <c r="J66" s="2781"/>
      <c r="K66" s="2781"/>
      <c r="L66" s="2781"/>
      <c r="M66" s="2781"/>
      <c r="N66" s="2781"/>
      <c r="O66" s="2782"/>
      <c r="P66" s="264"/>
      <c r="Q66" s="300"/>
      <c r="S66" s="289"/>
      <c r="T66" s="2781"/>
      <c r="U66" s="2781"/>
      <c r="V66" s="2781"/>
      <c r="W66" s="2781"/>
      <c r="X66" s="2781"/>
      <c r="Y66" s="2781"/>
      <c r="Z66" s="2781"/>
      <c r="AA66" s="2781"/>
      <c r="AB66" s="2781"/>
      <c r="AC66" s="2781"/>
      <c r="AD66" s="2782"/>
      <c r="AE66" s="253"/>
    </row>
    <row r="67" spans="2:32" ht="12.75" customHeight="1">
      <c r="B67" s="252"/>
      <c r="D67" s="268" t="s">
        <v>631</v>
      </c>
      <c r="E67" s="2777" t="s">
        <v>632</v>
      </c>
      <c r="F67" s="2777"/>
      <c r="G67" s="2777"/>
      <c r="H67" s="2777"/>
      <c r="I67" s="2777"/>
      <c r="J67" s="2777"/>
      <c r="K67" s="2777"/>
      <c r="L67" s="2777"/>
      <c r="M67" s="2777"/>
      <c r="N67" s="2777"/>
      <c r="O67" s="2778"/>
      <c r="P67" s="271"/>
      <c r="Q67" s="316"/>
      <c r="R67" s="271"/>
      <c r="S67" s="271"/>
      <c r="T67" s="271"/>
      <c r="U67" s="271"/>
      <c r="V67" s="271"/>
      <c r="W67" s="271"/>
      <c r="X67" s="271"/>
      <c r="Y67" s="278"/>
      <c r="Z67" s="278"/>
      <c r="AA67" s="278"/>
      <c r="AB67" s="278"/>
      <c r="AC67" s="278"/>
      <c r="AD67" s="278"/>
      <c r="AE67" s="253"/>
    </row>
    <row r="68" spans="2:32" ht="12.75" customHeight="1">
      <c r="B68" s="252"/>
      <c r="D68" s="263"/>
      <c r="E68" s="2779"/>
      <c r="F68" s="2779"/>
      <c r="G68" s="2779"/>
      <c r="H68" s="2779"/>
      <c r="I68" s="2779"/>
      <c r="J68" s="2779"/>
      <c r="K68" s="2779"/>
      <c r="L68" s="2779"/>
      <c r="M68" s="2779"/>
      <c r="N68" s="2779"/>
      <c r="O68" s="2780"/>
      <c r="P68" s="271"/>
      <c r="Q68" s="316"/>
      <c r="R68" s="271"/>
      <c r="S68" s="271"/>
      <c r="T68" s="271"/>
      <c r="U68" s="271"/>
      <c r="V68" s="271"/>
      <c r="W68" s="271"/>
      <c r="X68" s="271"/>
      <c r="Y68" s="278"/>
      <c r="Z68" s="278"/>
      <c r="AA68" s="278"/>
      <c r="AB68" s="278"/>
      <c r="AC68" s="278"/>
      <c r="AD68" s="278"/>
      <c r="AE68" s="253"/>
    </row>
    <row r="69" spans="2:32">
      <c r="B69" s="252"/>
      <c r="D69" s="263"/>
      <c r="E69" s="2779"/>
      <c r="F69" s="2779"/>
      <c r="G69" s="2779"/>
      <c r="H69" s="2779"/>
      <c r="I69" s="2779"/>
      <c r="J69" s="2779"/>
      <c r="K69" s="2779"/>
      <c r="L69" s="2779"/>
      <c r="M69" s="2779"/>
      <c r="N69" s="2779"/>
      <c r="O69" s="2780"/>
      <c r="P69" s="271"/>
      <c r="Q69" s="316"/>
      <c r="R69" s="271"/>
      <c r="S69" s="271"/>
      <c r="T69" s="271"/>
      <c r="U69" s="271"/>
      <c r="V69" s="271"/>
      <c r="W69" s="271"/>
      <c r="X69" s="271"/>
      <c r="Y69" s="278"/>
      <c r="Z69" s="278"/>
      <c r="AA69" s="278"/>
      <c r="AB69" s="278"/>
      <c r="AC69" s="278"/>
      <c r="AD69" s="278"/>
      <c r="AE69" s="253"/>
    </row>
    <row r="70" spans="2:32">
      <c r="B70" s="252"/>
      <c r="D70" s="263"/>
      <c r="E70" s="2779"/>
      <c r="F70" s="2779"/>
      <c r="G70" s="2779"/>
      <c r="H70" s="2779"/>
      <c r="I70" s="2779"/>
      <c r="J70" s="2779"/>
      <c r="K70" s="2779"/>
      <c r="L70" s="2779"/>
      <c r="M70" s="2779"/>
      <c r="N70" s="2779"/>
      <c r="O70" s="2780"/>
      <c r="P70" s="271"/>
      <c r="Q70" s="316"/>
      <c r="R70" s="271"/>
      <c r="S70" s="271"/>
      <c r="T70" s="271"/>
      <c r="U70" s="271"/>
      <c r="V70" s="271"/>
      <c r="W70" s="271"/>
      <c r="X70" s="271"/>
      <c r="AE70" s="253"/>
    </row>
    <row r="71" spans="2:32" ht="12" customHeight="1">
      <c r="B71" s="252"/>
      <c r="D71" s="262" t="s">
        <v>618</v>
      </c>
      <c r="E71" s="2827" t="s">
        <v>633</v>
      </c>
      <c r="F71" s="2827"/>
      <c r="G71" s="2827"/>
      <c r="H71" s="2827"/>
      <c r="I71" s="2827"/>
      <c r="J71" s="2827"/>
      <c r="K71" s="2827"/>
      <c r="L71" s="2827"/>
      <c r="M71" s="2827"/>
      <c r="N71" s="2827"/>
      <c r="O71" s="2828"/>
      <c r="P71" s="295"/>
      <c r="Q71" s="315"/>
      <c r="R71" s="295"/>
      <c r="S71" s="295"/>
      <c r="T71" s="295"/>
      <c r="U71" s="295"/>
      <c r="V71" s="295"/>
      <c r="W71" s="295"/>
      <c r="X71" s="295"/>
      <c r="AE71" s="253"/>
    </row>
    <row r="72" spans="2:32" ht="12" customHeight="1">
      <c r="B72" s="252"/>
      <c r="D72" s="262"/>
      <c r="E72" s="2827"/>
      <c r="F72" s="2827"/>
      <c r="G72" s="2827"/>
      <c r="H72" s="2827"/>
      <c r="I72" s="2827"/>
      <c r="J72" s="2827"/>
      <c r="K72" s="2827"/>
      <c r="L72" s="2827"/>
      <c r="M72" s="2827"/>
      <c r="N72" s="2827"/>
      <c r="O72" s="2828"/>
      <c r="P72" s="295"/>
      <c r="Q72" s="315"/>
      <c r="R72" s="295"/>
      <c r="S72" s="295"/>
      <c r="T72" s="295"/>
      <c r="U72" s="295"/>
      <c r="V72" s="295"/>
      <c r="W72" s="295"/>
      <c r="X72" s="295"/>
      <c r="AE72" s="253"/>
    </row>
    <row r="73" spans="2:32" ht="12" customHeight="1">
      <c r="B73" s="252"/>
      <c r="D73" s="262"/>
      <c r="E73" s="2827"/>
      <c r="F73" s="2827"/>
      <c r="G73" s="2827"/>
      <c r="H73" s="2827"/>
      <c r="I73" s="2827"/>
      <c r="J73" s="2827"/>
      <c r="K73" s="2827"/>
      <c r="L73" s="2827"/>
      <c r="M73" s="2827"/>
      <c r="N73" s="2827"/>
      <c r="O73" s="2828"/>
      <c r="P73" s="295"/>
      <c r="Q73" s="315"/>
      <c r="R73" s="295"/>
      <c r="S73" s="295"/>
      <c r="T73" s="295"/>
      <c r="U73" s="295"/>
      <c r="V73" s="295"/>
      <c r="W73" s="295"/>
      <c r="X73" s="295"/>
      <c r="AE73" s="253"/>
    </row>
    <row r="74" spans="2:32">
      <c r="B74" s="252"/>
      <c r="D74" s="262"/>
      <c r="E74" s="2827"/>
      <c r="F74" s="2827"/>
      <c r="G74" s="2827"/>
      <c r="H74" s="2827"/>
      <c r="I74" s="2827"/>
      <c r="J74" s="2827"/>
      <c r="K74" s="2827"/>
      <c r="L74" s="2827"/>
      <c r="M74" s="2827"/>
      <c r="N74" s="2827"/>
      <c r="O74" s="2828"/>
      <c r="P74" s="295"/>
      <c r="Q74" s="315"/>
      <c r="R74" s="295"/>
      <c r="S74" s="295"/>
      <c r="T74" s="295"/>
      <c r="U74" s="295"/>
      <c r="V74" s="295"/>
      <c r="W74" s="295"/>
      <c r="X74" s="295"/>
      <c r="AE74" s="253"/>
    </row>
    <row r="75" spans="2:32">
      <c r="B75" s="252"/>
      <c r="D75" s="262"/>
      <c r="E75" s="295"/>
      <c r="F75" s="295"/>
      <c r="G75" s="295"/>
      <c r="H75" s="295"/>
      <c r="I75" s="295"/>
      <c r="J75" s="295"/>
      <c r="K75" s="295"/>
      <c r="L75" s="295"/>
      <c r="M75" s="295"/>
      <c r="N75" s="295"/>
      <c r="O75" s="296"/>
      <c r="P75" s="295"/>
      <c r="Q75" s="315"/>
      <c r="R75" s="295"/>
      <c r="S75" s="295"/>
      <c r="T75" s="295"/>
      <c r="U75" s="295"/>
      <c r="V75" s="295"/>
      <c r="W75" s="295"/>
      <c r="X75" s="295"/>
      <c r="AE75" s="253"/>
    </row>
    <row r="76" spans="2:32">
      <c r="B76" s="252"/>
      <c r="D76" s="262"/>
      <c r="E76" s="295"/>
      <c r="F76" s="295"/>
      <c r="G76" s="295"/>
      <c r="H76" s="295"/>
      <c r="I76" s="295"/>
      <c r="J76" s="295"/>
      <c r="K76" s="295"/>
      <c r="L76" s="295"/>
      <c r="M76" s="295"/>
      <c r="N76" s="295"/>
      <c r="O76" s="296"/>
      <c r="P76" s="295"/>
      <c r="Q76" s="315"/>
      <c r="R76" s="295"/>
      <c r="S76" s="295"/>
      <c r="T76" s="295"/>
      <c r="U76" s="295"/>
      <c r="V76" s="295"/>
      <c r="W76" s="295"/>
      <c r="X76" s="295"/>
      <c r="AE76" s="253"/>
    </row>
    <row r="77" spans="2:32" ht="12" customHeight="1">
      <c r="B77" s="252"/>
      <c r="D77" s="262" t="s">
        <v>619</v>
      </c>
      <c r="E77" s="2827" t="s">
        <v>634</v>
      </c>
      <c r="F77" s="2827"/>
      <c r="G77" s="2827"/>
      <c r="H77" s="2827"/>
      <c r="I77" s="2827"/>
      <c r="J77" s="2827"/>
      <c r="K77" s="2827"/>
      <c r="L77" s="2827"/>
      <c r="M77" s="2827"/>
      <c r="N77" s="2827"/>
      <c r="O77" s="2828"/>
      <c r="P77" s="295"/>
      <c r="Q77" s="315"/>
      <c r="R77" s="295"/>
      <c r="S77" s="295"/>
      <c r="T77" s="295"/>
      <c r="U77" s="295"/>
      <c r="V77" s="295"/>
      <c r="W77" s="295"/>
      <c r="X77" s="295"/>
      <c r="AE77" s="253"/>
    </row>
    <row r="78" spans="2:32" ht="12" customHeight="1">
      <c r="B78" s="252"/>
      <c r="D78" s="262" t="s">
        <v>620</v>
      </c>
      <c r="E78" s="2827" t="s">
        <v>635</v>
      </c>
      <c r="F78" s="2827"/>
      <c r="G78" s="2827"/>
      <c r="H78" s="2827"/>
      <c r="I78" s="2827"/>
      <c r="J78" s="2827"/>
      <c r="K78" s="2827"/>
      <c r="L78" s="2827"/>
      <c r="M78" s="2827"/>
      <c r="N78" s="2827"/>
      <c r="O78" s="2828"/>
      <c r="P78" s="295"/>
      <c r="Q78" s="315"/>
      <c r="R78" s="295"/>
      <c r="S78" s="295"/>
      <c r="T78" s="295"/>
      <c r="U78" s="295"/>
      <c r="V78" s="295"/>
      <c r="W78" s="295"/>
      <c r="X78" s="295"/>
      <c r="AE78" s="253"/>
    </row>
    <row r="79" spans="2:32" ht="12" customHeight="1">
      <c r="B79" s="252"/>
      <c r="D79" s="262"/>
      <c r="E79" s="2827"/>
      <c r="F79" s="2827"/>
      <c r="G79" s="2827"/>
      <c r="H79" s="2827"/>
      <c r="I79" s="2827"/>
      <c r="J79" s="2827"/>
      <c r="K79" s="2827"/>
      <c r="L79" s="2827"/>
      <c r="M79" s="2827"/>
      <c r="N79" s="2827"/>
      <c r="O79" s="2828"/>
      <c r="P79" s="295"/>
      <c r="Q79" s="315"/>
      <c r="R79" s="295"/>
      <c r="S79" s="295"/>
      <c r="T79" s="295"/>
      <c r="U79" s="295"/>
      <c r="V79" s="295"/>
      <c r="W79" s="295"/>
      <c r="X79" s="295"/>
      <c r="AE79" s="253"/>
    </row>
    <row r="80" spans="2:32">
      <c r="B80" s="252"/>
      <c r="D80" s="270"/>
      <c r="E80" s="2832"/>
      <c r="F80" s="2832"/>
      <c r="G80" s="2832"/>
      <c r="H80" s="2832"/>
      <c r="I80" s="2832"/>
      <c r="J80" s="2832"/>
      <c r="K80" s="2832"/>
      <c r="L80" s="2832"/>
      <c r="M80" s="2832"/>
      <c r="N80" s="2832"/>
      <c r="O80" s="2833"/>
      <c r="P80" s="295"/>
      <c r="Q80" s="315"/>
      <c r="R80" s="295"/>
      <c r="S80" s="295"/>
      <c r="T80" s="295"/>
      <c r="U80" s="295"/>
      <c r="V80" s="295"/>
      <c r="W80" s="295"/>
      <c r="X80" s="295"/>
      <c r="AE80" s="253"/>
    </row>
    <row r="81" spans="2:31" ht="12" customHeight="1">
      <c r="B81" s="252"/>
      <c r="D81" s="268" t="s">
        <v>636</v>
      </c>
      <c r="E81" s="2777" t="s">
        <v>637</v>
      </c>
      <c r="F81" s="2777"/>
      <c r="G81" s="2777"/>
      <c r="H81" s="2777"/>
      <c r="I81" s="2777"/>
      <c r="J81" s="2777"/>
      <c r="K81" s="2777"/>
      <c r="L81" s="2777"/>
      <c r="M81" s="2777"/>
      <c r="N81" s="2777"/>
      <c r="O81" s="2778"/>
      <c r="P81" s="271"/>
      <c r="Q81" s="316"/>
      <c r="R81" s="271"/>
      <c r="S81" s="271"/>
      <c r="T81" s="271"/>
      <c r="U81" s="271"/>
      <c r="V81" s="271"/>
      <c r="W81" s="271"/>
      <c r="X81" s="271"/>
      <c r="AE81" s="253"/>
    </row>
    <row r="82" spans="2:31">
      <c r="B82" s="252"/>
      <c r="D82" s="264"/>
      <c r="E82" s="2779"/>
      <c r="F82" s="2779"/>
      <c r="G82" s="2779"/>
      <c r="H82" s="2779"/>
      <c r="I82" s="2779"/>
      <c r="J82" s="2779"/>
      <c r="K82" s="2779"/>
      <c r="L82" s="2779"/>
      <c r="M82" s="2779"/>
      <c r="N82" s="2779"/>
      <c r="O82" s="2780"/>
      <c r="P82" s="271"/>
      <c r="Q82" s="316"/>
      <c r="R82" s="271"/>
      <c r="S82" s="271"/>
      <c r="T82" s="271"/>
      <c r="U82" s="271"/>
      <c r="V82" s="271"/>
      <c r="W82" s="271"/>
      <c r="X82" s="271"/>
      <c r="AE82" s="253"/>
    </row>
    <row r="83" spans="2:31">
      <c r="B83" s="252"/>
      <c r="D83" s="264"/>
      <c r="E83" s="2779"/>
      <c r="F83" s="2779"/>
      <c r="G83" s="2779"/>
      <c r="H83" s="2779"/>
      <c r="I83" s="2779"/>
      <c r="J83" s="2779"/>
      <c r="K83" s="2779"/>
      <c r="L83" s="2779"/>
      <c r="M83" s="2779"/>
      <c r="N83" s="2779"/>
      <c r="O83" s="2780"/>
      <c r="P83" s="271"/>
      <c r="Q83" s="316"/>
      <c r="R83" s="271"/>
      <c r="S83" s="271"/>
      <c r="T83" s="271"/>
      <c r="U83" s="271"/>
      <c r="V83" s="271"/>
      <c r="W83" s="271"/>
      <c r="X83" s="271"/>
      <c r="AE83" s="253"/>
    </row>
    <row r="84" spans="2:31">
      <c r="B84" s="252"/>
      <c r="D84" s="264"/>
      <c r="E84" s="2779"/>
      <c r="F84" s="2779"/>
      <c r="G84" s="2779"/>
      <c r="H84" s="2779"/>
      <c r="I84" s="2779"/>
      <c r="J84" s="2779"/>
      <c r="K84" s="2779"/>
      <c r="L84" s="2779"/>
      <c r="M84" s="2779"/>
      <c r="N84" s="2779"/>
      <c r="O84" s="2780"/>
      <c r="P84" s="271"/>
      <c r="Q84" s="316"/>
      <c r="R84" s="271"/>
      <c r="S84" s="271"/>
      <c r="T84" s="271"/>
      <c r="U84" s="271"/>
      <c r="V84" s="271"/>
      <c r="W84" s="271"/>
      <c r="X84" s="271"/>
      <c r="AE84" s="253"/>
    </row>
    <row r="85" spans="2:31">
      <c r="B85" s="252"/>
      <c r="D85" s="264"/>
      <c r="E85" s="2779"/>
      <c r="F85" s="2779"/>
      <c r="G85" s="2779"/>
      <c r="H85" s="2779"/>
      <c r="I85" s="2779"/>
      <c r="J85" s="2779"/>
      <c r="K85" s="2779"/>
      <c r="L85" s="2779"/>
      <c r="M85" s="2779"/>
      <c r="N85" s="2779"/>
      <c r="O85" s="2780"/>
      <c r="P85" s="271"/>
      <c r="Q85" s="316"/>
      <c r="R85" s="271"/>
      <c r="S85" s="271"/>
      <c r="T85" s="271"/>
      <c r="U85" s="271"/>
      <c r="V85" s="271"/>
      <c r="W85" s="271"/>
      <c r="X85" s="271"/>
      <c r="AE85" s="253"/>
    </row>
    <row r="86" spans="2:31">
      <c r="B86" s="252"/>
      <c r="D86" s="264"/>
      <c r="E86" s="2779"/>
      <c r="F86" s="2779"/>
      <c r="G86" s="2779"/>
      <c r="H86" s="2779"/>
      <c r="I86" s="2779"/>
      <c r="J86" s="2779"/>
      <c r="K86" s="2779"/>
      <c r="L86" s="2779"/>
      <c r="M86" s="2779"/>
      <c r="N86" s="2779"/>
      <c r="O86" s="2780"/>
      <c r="P86" s="271"/>
      <c r="Q86" s="316"/>
      <c r="R86" s="271"/>
      <c r="S86" s="271"/>
      <c r="T86" s="271"/>
      <c r="U86" s="271"/>
      <c r="V86" s="271"/>
      <c r="W86" s="271"/>
      <c r="X86" s="271"/>
      <c r="AE86" s="253"/>
    </row>
    <row r="87" spans="2:31" ht="12" customHeight="1">
      <c r="B87" s="252"/>
      <c r="D87" s="262" t="s">
        <v>618</v>
      </c>
      <c r="E87" s="2827" t="s">
        <v>639</v>
      </c>
      <c r="F87" s="2827"/>
      <c r="G87" s="2827"/>
      <c r="H87" s="2827"/>
      <c r="I87" s="2827"/>
      <c r="J87" s="2827"/>
      <c r="K87" s="2827"/>
      <c r="L87" s="2827"/>
      <c r="M87" s="2827"/>
      <c r="N87" s="2827"/>
      <c r="O87" s="2828"/>
      <c r="P87" s="295"/>
      <c r="Q87" s="315"/>
      <c r="R87" s="295"/>
      <c r="S87" s="295"/>
      <c r="T87" s="295"/>
      <c r="U87" s="295"/>
      <c r="V87" s="295"/>
      <c r="W87" s="295"/>
      <c r="X87" s="295"/>
      <c r="AE87" s="253"/>
    </row>
    <row r="88" spans="2:31" ht="12" customHeight="1">
      <c r="B88" s="252"/>
      <c r="D88" s="262"/>
      <c r="E88" s="2827"/>
      <c r="F88" s="2827"/>
      <c r="G88" s="2827"/>
      <c r="H88" s="2827"/>
      <c r="I88" s="2827"/>
      <c r="J88" s="2827"/>
      <c r="K88" s="2827"/>
      <c r="L88" s="2827"/>
      <c r="M88" s="2827"/>
      <c r="N88" s="2827"/>
      <c r="O88" s="2828"/>
      <c r="P88" s="295"/>
      <c r="Q88" s="315"/>
      <c r="R88" s="295"/>
      <c r="S88" s="295"/>
      <c r="T88" s="295"/>
      <c r="U88" s="295"/>
      <c r="V88" s="295"/>
      <c r="W88" s="295"/>
      <c r="X88" s="295"/>
      <c r="AE88" s="253"/>
    </row>
    <row r="89" spans="2:31" ht="12" customHeight="1">
      <c r="B89" s="252"/>
      <c r="D89" s="262"/>
      <c r="E89" s="2827"/>
      <c r="F89" s="2827"/>
      <c r="G89" s="2827"/>
      <c r="H89" s="2827"/>
      <c r="I89" s="2827"/>
      <c r="J89" s="2827"/>
      <c r="K89" s="2827"/>
      <c r="L89" s="2827"/>
      <c r="M89" s="2827"/>
      <c r="N89" s="2827"/>
      <c r="O89" s="2828"/>
      <c r="P89" s="295"/>
      <c r="Q89" s="315"/>
      <c r="R89" s="295"/>
      <c r="S89" s="295"/>
      <c r="T89" s="295"/>
      <c r="U89" s="295"/>
      <c r="V89" s="295"/>
      <c r="W89" s="295"/>
      <c r="X89" s="295"/>
      <c r="AE89" s="253"/>
    </row>
    <row r="90" spans="2:31">
      <c r="B90" s="252"/>
      <c r="D90" s="262"/>
      <c r="E90" s="2827"/>
      <c r="F90" s="2827"/>
      <c r="G90" s="2827"/>
      <c r="H90" s="2827"/>
      <c r="I90" s="2827"/>
      <c r="J90" s="2827"/>
      <c r="K90" s="2827"/>
      <c r="L90" s="2827"/>
      <c r="M90" s="2827"/>
      <c r="N90" s="2827"/>
      <c r="O90" s="2828"/>
      <c r="P90" s="295"/>
      <c r="Q90" s="315"/>
      <c r="R90" s="295"/>
      <c r="S90" s="295"/>
      <c r="T90" s="295"/>
      <c r="U90" s="295"/>
      <c r="V90" s="295"/>
      <c r="W90" s="295"/>
      <c r="X90" s="295"/>
      <c r="AE90" s="253"/>
    </row>
    <row r="91" spans="2:31" ht="12" customHeight="1">
      <c r="B91" s="252"/>
      <c r="D91" s="262" t="s">
        <v>619</v>
      </c>
      <c r="E91" s="2827" t="s">
        <v>638</v>
      </c>
      <c r="F91" s="2827"/>
      <c r="G91" s="2827"/>
      <c r="H91" s="2827"/>
      <c r="I91" s="2827"/>
      <c r="J91" s="2827"/>
      <c r="K91" s="2827"/>
      <c r="L91" s="2827"/>
      <c r="M91" s="2827"/>
      <c r="N91" s="2827"/>
      <c r="O91" s="2828"/>
      <c r="P91" s="295"/>
      <c r="Q91" s="315"/>
      <c r="R91" s="295"/>
      <c r="S91" s="295"/>
      <c r="T91" s="295"/>
      <c r="U91" s="295"/>
      <c r="V91" s="295"/>
      <c r="W91" s="295"/>
      <c r="X91" s="295"/>
      <c r="AE91" s="253"/>
    </row>
    <row r="92" spans="2:31" ht="12" customHeight="1">
      <c r="B92" s="252"/>
      <c r="D92" s="262"/>
      <c r="E92" s="2827"/>
      <c r="F92" s="2827"/>
      <c r="G92" s="2827"/>
      <c r="H92" s="2827"/>
      <c r="I92" s="2827"/>
      <c r="J92" s="2827"/>
      <c r="K92" s="2827"/>
      <c r="L92" s="2827"/>
      <c r="M92" s="2827"/>
      <c r="N92" s="2827"/>
      <c r="O92" s="2828"/>
      <c r="P92" s="295"/>
      <c r="Q92" s="315"/>
      <c r="R92" s="295"/>
      <c r="S92" s="295"/>
      <c r="T92" s="295"/>
      <c r="U92" s="295"/>
      <c r="V92" s="295"/>
      <c r="W92" s="295"/>
      <c r="X92" s="295"/>
      <c r="AE92" s="253"/>
    </row>
    <row r="93" spans="2:31">
      <c r="B93" s="252"/>
      <c r="D93" s="270"/>
      <c r="E93" s="2832"/>
      <c r="F93" s="2832"/>
      <c r="G93" s="2832"/>
      <c r="H93" s="2832"/>
      <c r="I93" s="2832"/>
      <c r="J93" s="2832"/>
      <c r="K93" s="2832"/>
      <c r="L93" s="2832"/>
      <c r="M93" s="2832"/>
      <c r="N93" s="2832"/>
      <c r="O93" s="2833"/>
      <c r="P93" s="295"/>
      <c r="Q93" s="315"/>
      <c r="R93" s="295"/>
      <c r="S93" s="295"/>
      <c r="T93" s="295"/>
      <c r="U93" s="295"/>
      <c r="V93" s="295"/>
      <c r="W93" s="295"/>
      <c r="X93" s="295"/>
      <c r="AE93" s="253"/>
    </row>
    <row r="94" spans="2:31">
      <c r="B94" s="254"/>
      <c r="C94" s="247"/>
      <c r="D94" s="247"/>
      <c r="E94" s="247"/>
      <c r="F94" s="247"/>
      <c r="G94" s="247"/>
      <c r="H94" s="247"/>
      <c r="I94" s="247"/>
      <c r="J94" s="247"/>
      <c r="K94" s="247"/>
      <c r="L94" s="247"/>
      <c r="M94" s="247"/>
      <c r="N94" s="247"/>
      <c r="O94" s="247"/>
      <c r="P94" s="247"/>
      <c r="Q94" s="301"/>
      <c r="R94" s="247"/>
      <c r="S94" s="247"/>
      <c r="T94" s="247"/>
      <c r="U94" s="247"/>
      <c r="V94" s="247"/>
      <c r="W94" s="247"/>
      <c r="X94" s="247"/>
      <c r="Y94" s="247"/>
      <c r="Z94" s="247"/>
      <c r="AA94" s="247"/>
      <c r="AB94" s="247"/>
      <c r="AC94" s="247"/>
      <c r="AD94" s="247"/>
      <c r="AE94" s="255"/>
    </row>
    <row r="96" spans="2:31" ht="14.4">
      <c r="B96" s="294" t="s">
        <v>652</v>
      </c>
      <c r="C96" s="258"/>
      <c r="D96" s="258"/>
      <c r="E96" s="258"/>
      <c r="F96" s="258"/>
      <c r="G96" s="258"/>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9"/>
    </row>
    <row r="97" spans="2:31">
      <c r="B97" s="2814" t="s">
        <v>653</v>
      </c>
      <c r="C97" s="2731"/>
      <c r="D97" s="2731"/>
      <c r="E97" s="2731"/>
      <c r="F97" s="2731"/>
      <c r="G97" s="2731"/>
      <c r="H97" s="2731"/>
      <c r="I97" s="2731"/>
      <c r="J97" s="2731"/>
      <c r="K97" s="2731"/>
      <c r="L97" s="2731"/>
      <c r="M97" s="2731"/>
      <c r="N97" s="2731"/>
      <c r="O97" s="2731"/>
      <c r="P97" s="2731"/>
      <c r="Q97" s="2731"/>
      <c r="R97" s="2731"/>
      <c r="S97" s="2731"/>
      <c r="T97" s="2731"/>
      <c r="U97" s="2731"/>
      <c r="V97" s="2731"/>
      <c r="W97" s="2731"/>
      <c r="X97" s="2731"/>
      <c r="Y97" s="2731"/>
      <c r="Z97" s="2731"/>
      <c r="AA97" s="2731"/>
      <c r="AB97" s="2731"/>
      <c r="AC97" s="2731"/>
      <c r="AD97" s="2731"/>
      <c r="AE97" s="2815"/>
    </row>
    <row r="98" spans="2:31" ht="6.75" customHeight="1">
      <c r="B98" s="252"/>
      <c r="AE98" s="253"/>
    </row>
    <row r="99" spans="2:31" ht="14.4">
      <c r="B99" s="302" t="s">
        <v>550</v>
      </c>
      <c r="C99" s="303"/>
      <c r="D99" s="303"/>
      <c r="E99" s="303"/>
      <c r="F99" s="304"/>
      <c r="G99" s="304"/>
      <c r="H99" s="304"/>
      <c r="I99" s="304"/>
      <c r="J99" s="304"/>
      <c r="K99" s="304"/>
      <c r="L99" s="304"/>
      <c r="M99" s="304"/>
      <c r="N99" s="304"/>
      <c r="O99" s="304"/>
      <c r="P99" s="304"/>
      <c r="Q99" s="304"/>
      <c r="R99" s="304"/>
      <c r="S99" s="304"/>
      <c r="T99" s="304"/>
      <c r="U99" s="304"/>
      <c r="V99" s="304"/>
      <c r="W99" s="304"/>
      <c r="X99" s="304"/>
      <c r="Y99" s="304"/>
      <c r="Z99" s="304"/>
      <c r="AA99" s="304"/>
      <c r="AB99" s="304"/>
      <c r="AC99" s="304"/>
      <c r="AD99" s="304"/>
      <c r="AE99" s="305"/>
    </row>
    <row r="100" spans="2:31">
      <c r="B100" s="291"/>
      <c r="C100" s="250"/>
      <c r="D100" s="250"/>
      <c r="E100" s="250"/>
      <c r="F100" s="251"/>
      <c r="G100" s="251"/>
      <c r="H100" s="251"/>
      <c r="I100" s="251"/>
      <c r="J100" s="251"/>
      <c r="K100" s="240"/>
      <c r="L100" s="240"/>
      <c r="M100" s="240"/>
      <c r="N100" s="251"/>
      <c r="O100" s="251"/>
      <c r="P100" s="251"/>
      <c r="Q100" s="251"/>
      <c r="R100" s="251"/>
      <c r="S100" s="251"/>
      <c r="T100" s="251"/>
      <c r="U100" s="251"/>
      <c r="V100" s="251"/>
      <c r="W100" s="251"/>
      <c r="X100" s="251"/>
      <c r="Y100" s="251"/>
      <c r="Z100" s="251"/>
      <c r="AA100" s="251"/>
      <c r="AB100" s="251"/>
      <c r="AC100" s="251"/>
      <c r="AD100" s="251"/>
      <c r="AE100" s="292"/>
    </row>
    <row r="101" spans="2:31" ht="18" customHeight="1">
      <c r="B101" s="2763" t="s">
        <v>587</v>
      </c>
      <c r="C101" s="2738"/>
      <c r="D101" s="2738"/>
      <c r="E101" s="2738"/>
      <c r="F101" s="2738"/>
      <c r="G101" s="2738"/>
      <c r="H101" s="2738"/>
      <c r="I101" s="2771"/>
      <c r="J101" s="2772"/>
      <c r="K101" s="2773"/>
      <c r="L101" s="2774"/>
      <c r="M101" s="2775"/>
      <c r="N101" s="242" t="s">
        <v>235</v>
      </c>
      <c r="O101" s="234"/>
      <c r="P101" s="246" t="s">
        <v>551</v>
      </c>
      <c r="Q101" s="2806" t="s">
        <v>552</v>
      </c>
      <c r="R101" s="2806"/>
      <c r="S101" s="2806"/>
      <c r="T101" s="2806"/>
      <c r="U101" s="2806"/>
      <c r="V101" s="2806"/>
      <c r="W101" s="2806"/>
      <c r="X101" s="2806"/>
      <c r="Y101" s="2806"/>
      <c r="Z101" s="2806"/>
      <c r="AA101" s="2806"/>
      <c r="AB101" s="2806"/>
      <c r="AC101" s="2806"/>
      <c r="AD101" s="2806"/>
      <c r="AE101" s="2807"/>
    </row>
    <row r="102" spans="2:31">
      <c r="B102" s="293"/>
      <c r="C102" s="250"/>
      <c r="D102" s="250"/>
      <c r="E102" s="250"/>
      <c r="F102" s="251"/>
      <c r="G102" s="251"/>
      <c r="H102" s="251"/>
      <c r="I102" s="251"/>
      <c r="J102" s="251"/>
      <c r="K102" s="251"/>
      <c r="L102" s="251"/>
      <c r="M102" s="251"/>
      <c r="N102" s="251"/>
      <c r="O102" s="251"/>
      <c r="P102" s="251"/>
      <c r="Q102" s="2755" t="s">
        <v>586</v>
      </c>
      <c r="R102" s="2755"/>
      <c r="S102" s="2755"/>
      <c r="T102" s="2755"/>
      <c r="U102" s="2755"/>
      <c r="V102" s="2755"/>
      <c r="W102" s="2755"/>
      <c r="X102" s="2755"/>
      <c r="Y102" s="2755"/>
      <c r="Z102" s="2755"/>
      <c r="AA102" s="2755"/>
      <c r="AB102" s="2755"/>
      <c r="AC102" s="2755"/>
      <c r="AD102" s="2755"/>
      <c r="AE102" s="2756"/>
    </row>
    <row r="103" spans="2:31" ht="18" customHeight="1">
      <c r="B103" s="2763" t="s">
        <v>553</v>
      </c>
      <c r="C103" s="2738"/>
      <c r="D103" s="2738"/>
      <c r="E103" s="2738"/>
      <c r="F103" s="2738"/>
      <c r="G103" s="2738"/>
      <c r="H103" s="2738"/>
      <c r="I103" s="2738"/>
      <c r="J103" s="2764"/>
      <c r="K103" s="2765">
        <v>30</v>
      </c>
      <c r="L103" s="2766"/>
      <c r="M103" s="2767"/>
      <c r="N103" s="246" t="s">
        <v>241</v>
      </c>
      <c r="O103" s="246"/>
      <c r="P103" s="246" t="s">
        <v>554</v>
      </c>
      <c r="Q103" s="2757" t="s">
        <v>555</v>
      </c>
      <c r="R103" s="2757"/>
      <c r="S103" s="2757"/>
      <c r="T103" s="2757"/>
      <c r="U103" s="2757"/>
      <c r="V103" s="2757"/>
      <c r="W103" s="2757"/>
      <c r="X103" s="2757"/>
      <c r="Y103" s="2757"/>
      <c r="Z103" s="2757"/>
      <c r="AA103" s="2757"/>
      <c r="AB103" s="2757"/>
      <c r="AC103" s="2757"/>
      <c r="AD103" s="2757"/>
      <c r="AE103" s="2758"/>
    </row>
    <row r="104" spans="2:31" ht="6.75" customHeight="1" thickBot="1">
      <c r="B104" s="252"/>
      <c r="D104" s="246"/>
      <c r="E104" s="246"/>
      <c r="F104" s="246"/>
      <c r="G104" s="246"/>
      <c r="H104" s="246"/>
      <c r="I104" s="246"/>
      <c r="J104" s="246"/>
      <c r="K104" s="246"/>
      <c r="L104" s="246"/>
      <c r="M104" s="246"/>
      <c r="N104" s="246"/>
      <c r="O104" s="246"/>
      <c r="P104" s="246"/>
      <c r="Q104" s="246"/>
      <c r="AE104" s="253"/>
    </row>
    <row r="105" spans="2:31" ht="18" customHeight="1" thickTop="1" thickBot="1">
      <c r="B105" s="2763" t="s">
        <v>556</v>
      </c>
      <c r="C105" s="2738"/>
      <c r="D105" s="2738"/>
      <c r="E105" s="2738"/>
      <c r="F105" s="2738"/>
      <c r="G105" s="2738"/>
      <c r="H105" s="2738"/>
      <c r="I105" s="2738"/>
      <c r="J105" s="2738"/>
      <c r="K105" s="2768" t="str">
        <f>IF(K101="","",ROUNDDOWN(K101/(K103*16),2))</f>
        <v/>
      </c>
      <c r="L105" s="2769"/>
      <c r="M105" s="2770"/>
      <c r="N105" s="246"/>
      <c r="O105" s="246"/>
      <c r="P105" s="246" t="s">
        <v>585</v>
      </c>
      <c r="Q105" s="2757" t="s">
        <v>657</v>
      </c>
      <c r="R105" s="2757"/>
      <c r="S105" s="2757"/>
      <c r="T105" s="2757"/>
      <c r="U105" s="2757"/>
      <c r="V105" s="2757"/>
      <c r="W105" s="2757"/>
      <c r="X105" s="2757"/>
      <c r="Y105" s="2757"/>
      <c r="Z105" s="2757"/>
      <c r="AA105" s="2757"/>
      <c r="AB105" s="2757"/>
      <c r="AC105" s="2757"/>
      <c r="AD105" s="2757"/>
      <c r="AE105" s="2758"/>
    </row>
    <row r="106" spans="2:31" ht="12.6" thickTop="1">
      <c r="B106" s="281"/>
      <c r="C106" s="244"/>
      <c r="D106" s="244"/>
      <c r="E106" s="244"/>
      <c r="F106" s="244"/>
      <c r="G106" s="244"/>
      <c r="H106" s="244"/>
      <c r="I106" s="244"/>
      <c r="J106" s="244"/>
      <c r="K106" s="182"/>
      <c r="L106" s="182"/>
      <c r="M106" s="182"/>
      <c r="N106" s="246"/>
      <c r="O106" s="246"/>
      <c r="P106" s="246"/>
      <c r="Q106" s="246"/>
      <c r="R106" s="246"/>
      <c r="S106" s="246"/>
      <c r="T106" s="246"/>
      <c r="AE106" s="253"/>
    </row>
    <row r="107" spans="2:31" ht="14.4">
      <c r="B107" s="302" t="s">
        <v>557</v>
      </c>
      <c r="C107" s="303"/>
      <c r="D107" s="303"/>
      <c r="E107" s="303"/>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304"/>
      <c r="AB107" s="304"/>
      <c r="AC107" s="304"/>
      <c r="AD107" s="304"/>
      <c r="AE107" s="305"/>
    </row>
    <row r="108" spans="2:31" ht="18" customHeight="1">
      <c r="B108" s="282" t="s">
        <v>591</v>
      </c>
      <c r="D108" s="246"/>
      <c r="E108" s="246"/>
      <c r="F108" s="246"/>
      <c r="G108" s="245"/>
      <c r="H108" s="245"/>
      <c r="I108" s="245"/>
      <c r="J108" s="245"/>
      <c r="K108" s="246"/>
      <c r="L108" s="246"/>
      <c r="M108" s="246"/>
      <c r="N108" s="246"/>
      <c r="O108" s="246"/>
      <c r="P108" s="246"/>
      <c r="Q108" s="246"/>
      <c r="AE108" s="253"/>
    </row>
    <row r="109" spans="2:31">
      <c r="B109" s="252"/>
      <c r="D109" s="246" t="s">
        <v>655</v>
      </c>
      <c r="E109" s="246"/>
      <c r="F109" s="246"/>
      <c r="G109" s="245"/>
      <c r="H109" s="245"/>
      <c r="I109" s="245"/>
      <c r="J109" s="245"/>
      <c r="K109" s="246"/>
      <c r="L109" s="246"/>
      <c r="M109" s="246"/>
      <c r="N109" s="246"/>
      <c r="O109" s="246"/>
      <c r="P109" s="246"/>
      <c r="Q109" s="246"/>
      <c r="AE109" s="253"/>
    </row>
    <row r="110" spans="2:31" ht="6.75" customHeight="1">
      <c r="B110" s="252"/>
      <c r="D110" s="246"/>
      <c r="E110" s="246"/>
      <c r="F110" s="246"/>
      <c r="G110" s="245"/>
      <c r="H110" s="245"/>
      <c r="I110" s="245"/>
      <c r="J110" s="245"/>
      <c r="K110" s="246"/>
      <c r="L110" s="246"/>
      <c r="M110" s="246"/>
      <c r="N110" s="246"/>
      <c r="O110" s="246"/>
      <c r="P110" s="246"/>
      <c r="Q110" s="246"/>
      <c r="AE110" s="253"/>
    </row>
    <row r="111" spans="2:31" ht="18" customHeight="1" thickBot="1">
      <c r="B111" s="252"/>
      <c r="C111" s="233" t="s">
        <v>589</v>
      </c>
      <c r="D111" s="246"/>
      <c r="E111" s="246"/>
      <c r="F111" s="246"/>
      <c r="G111" s="2742"/>
      <c r="H111" s="2743"/>
      <c r="I111" s="2744"/>
      <c r="J111" s="182" t="s">
        <v>89</v>
      </c>
      <c r="K111" s="245" t="s">
        <v>324</v>
      </c>
      <c r="L111" s="2745">
        <v>20</v>
      </c>
      <c r="M111" s="2745"/>
      <c r="N111" s="246" t="s">
        <v>558</v>
      </c>
      <c r="O111" s="2738" t="s">
        <v>559</v>
      </c>
      <c r="P111" s="2738"/>
      <c r="Q111" s="2739" t="str">
        <f>IF(G111="","",ROUND(G111/20,4))</f>
        <v/>
      </c>
      <c r="R111" s="2740"/>
      <c r="S111" s="2741"/>
      <c r="U111" s="233" t="s">
        <v>560</v>
      </c>
      <c r="V111" s="2730" t="s">
        <v>561</v>
      </c>
      <c r="W111" s="2731"/>
      <c r="X111" s="2731"/>
      <c r="Y111" s="2731"/>
      <c r="Z111" s="2731"/>
      <c r="AA111" s="2731"/>
      <c r="AB111" s="2731"/>
      <c r="AC111" s="2731"/>
      <c r="AD111" s="2731"/>
      <c r="AE111" s="253"/>
    </row>
    <row r="112" spans="2:31" ht="18" customHeight="1" thickTop="1" thickBot="1">
      <c r="B112" s="252"/>
      <c r="D112" s="246"/>
      <c r="E112" s="246"/>
      <c r="F112" s="246"/>
      <c r="G112" s="245"/>
      <c r="H112" s="245"/>
      <c r="I112" s="245"/>
      <c r="J112" s="245"/>
      <c r="K112" s="246"/>
      <c r="L112" s="246"/>
      <c r="M112" s="246"/>
      <c r="N112" s="246"/>
      <c r="Q112" s="2733" t="e">
        <f>IF(Q111&lt;2,2,ROUNDUP(Q111,0))</f>
        <v>#VALUE!</v>
      </c>
      <c r="R112" s="2734"/>
      <c r="S112" s="2735"/>
      <c r="V112" s="2730" t="s">
        <v>562</v>
      </c>
      <c r="W112" s="2731"/>
      <c r="X112" s="2731"/>
      <c r="Y112" s="2731"/>
      <c r="Z112" s="2731"/>
      <c r="AA112" s="2731"/>
      <c r="AB112" s="2731"/>
      <c r="AC112" s="2731"/>
      <c r="AD112" s="2731"/>
      <c r="AE112" s="253"/>
    </row>
    <row r="113" spans="2:32" ht="6.75" customHeight="1" thickTop="1">
      <c r="B113" s="252"/>
      <c r="D113" s="246"/>
      <c r="E113" s="246"/>
      <c r="F113" s="246"/>
      <c r="G113" s="245"/>
      <c r="H113" s="245"/>
      <c r="I113" s="245"/>
      <c r="J113" s="245"/>
      <c r="K113" s="246"/>
      <c r="L113" s="246"/>
      <c r="M113" s="246"/>
      <c r="N113" s="246"/>
      <c r="Q113" s="246"/>
      <c r="R113" s="246"/>
      <c r="S113" s="246"/>
      <c r="AE113" s="253"/>
    </row>
    <row r="114" spans="2:32" ht="18" customHeight="1">
      <c r="B114" s="282" t="s">
        <v>590</v>
      </c>
      <c r="D114" s="246"/>
      <c r="E114" s="246"/>
      <c r="F114" s="246"/>
      <c r="G114" s="245"/>
      <c r="H114" s="245"/>
      <c r="I114" s="245"/>
      <c r="J114" s="245"/>
      <c r="K114" s="246"/>
      <c r="L114" s="246"/>
      <c r="M114" s="246"/>
      <c r="N114" s="246"/>
      <c r="Q114" s="246"/>
      <c r="R114" s="246"/>
      <c r="S114" s="246"/>
      <c r="AE114" s="253"/>
    </row>
    <row r="115" spans="2:32">
      <c r="B115" s="252"/>
      <c r="D115" s="246" t="s">
        <v>656</v>
      </c>
      <c r="E115" s="246"/>
      <c r="F115" s="246"/>
      <c r="G115" s="245"/>
      <c r="H115" s="245"/>
      <c r="I115" s="245"/>
      <c r="J115" s="245"/>
      <c r="K115" s="246"/>
      <c r="L115" s="246"/>
      <c r="M115" s="246"/>
      <c r="N115" s="246"/>
      <c r="Q115" s="246"/>
      <c r="R115" s="246"/>
      <c r="S115" s="246"/>
      <c r="AE115" s="253"/>
    </row>
    <row r="116" spans="2:32" ht="6.75" customHeight="1">
      <c r="B116" s="252"/>
      <c r="D116" s="246"/>
      <c r="E116" s="246"/>
      <c r="F116" s="246"/>
      <c r="G116" s="245"/>
      <c r="H116" s="245"/>
      <c r="I116" s="245"/>
      <c r="J116" s="245"/>
      <c r="K116" s="246"/>
      <c r="L116" s="246"/>
      <c r="M116" s="246"/>
      <c r="N116" s="246"/>
      <c r="Q116" s="246"/>
      <c r="R116" s="246"/>
      <c r="S116" s="246"/>
      <c r="AE116" s="253"/>
    </row>
    <row r="117" spans="2:32" ht="18" customHeight="1" thickBot="1">
      <c r="B117" s="252"/>
      <c r="C117" s="233" t="s">
        <v>589</v>
      </c>
      <c r="D117" s="246"/>
      <c r="E117" s="246"/>
      <c r="F117" s="246"/>
      <c r="G117" s="2742"/>
      <c r="H117" s="2743"/>
      <c r="I117" s="2744"/>
      <c r="J117" s="182" t="s">
        <v>89</v>
      </c>
      <c r="K117" s="245" t="s">
        <v>563</v>
      </c>
      <c r="L117" s="2745">
        <v>20</v>
      </c>
      <c r="M117" s="2745"/>
      <c r="N117" s="246" t="s">
        <v>564</v>
      </c>
      <c r="O117" s="2738" t="s">
        <v>565</v>
      </c>
      <c r="P117" s="2738"/>
      <c r="Q117" s="2739" t="str">
        <f>IF(G117="","",ROUND(G117/20,4))</f>
        <v/>
      </c>
      <c r="R117" s="2740"/>
      <c r="S117" s="2741"/>
      <c r="U117" s="233" t="s">
        <v>566</v>
      </c>
      <c r="V117" s="2730" t="s">
        <v>561</v>
      </c>
      <c r="W117" s="2731"/>
      <c r="X117" s="2731"/>
      <c r="Y117" s="2731"/>
      <c r="Z117" s="2731"/>
      <c r="AA117" s="2731"/>
      <c r="AB117" s="2731"/>
      <c r="AC117" s="2731"/>
      <c r="AD117" s="2731"/>
      <c r="AE117" s="253"/>
    </row>
    <row r="118" spans="2:32" ht="18" customHeight="1" thickTop="1" thickBot="1">
      <c r="B118" s="252"/>
      <c r="D118" s="246"/>
      <c r="E118" s="246"/>
      <c r="F118" s="246"/>
      <c r="G118" s="245"/>
      <c r="H118" s="245"/>
      <c r="I118" s="245"/>
      <c r="J118" s="245"/>
      <c r="K118" s="246"/>
      <c r="L118" s="246"/>
      <c r="M118" s="246"/>
      <c r="N118" s="246"/>
      <c r="O118" s="246"/>
      <c r="Q118" s="2733" t="e">
        <f>IF(Q117&lt;1,1,ROUNDUP(Q117,0))</f>
        <v>#VALUE!</v>
      </c>
      <c r="R118" s="2734"/>
      <c r="S118" s="2735"/>
      <c r="V118" s="2730" t="s">
        <v>567</v>
      </c>
      <c r="W118" s="2731"/>
      <c r="X118" s="2731"/>
      <c r="Y118" s="2731"/>
      <c r="Z118" s="2731"/>
      <c r="AA118" s="2731"/>
      <c r="AB118" s="2731"/>
      <c r="AC118" s="2731"/>
      <c r="AD118" s="2731"/>
      <c r="AE118" s="253"/>
    </row>
    <row r="119" spans="2:32" ht="6.75" customHeight="1" thickTop="1">
      <c r="B119" s="252"/>
      <c r="D119" s="246"/>
      <c r="E119" s="246"/>
      <c r="F119" s="246"/>
      <c r="G119" s="245"/>
      <c r="H119" s="245"/>
      <c r="I119" s="245"/>
      <c r="J119" s="245"/>
      <c r="K119" s="246"/>
      <c r="L119" s="246"/>
      <c r="M119" s="246"/>
      <c r="N119" s="246"/>
      <c r="O119" s="246"/>
      <c r="Q119" s="246"/>
      <c r="R119" s="246"/>
      <c r="AE119" s="253"/>
    </row>
    <row r="120" spans="2:32">
      <c r="B120" s="252"/>
      <c r="C120" s="2732" t="s">
        <v>588</v>
      </c>
      <c r="D120" s="2732"/>
      <c r="E120" s="2732"/>
      <c r="F120" s="2732"/>
      <c r="G120" s="2732" t="s">
        <v>568</v>
      </c>
      <c r="H120" s="2736"/>
      <c r="I120" s="2736"/>
      <c r="J120" s="2736"/>
      <c r="K120" s="2736"/>
      <c r="L120" s="2736"/>
      <c r="M120" s="2736"/>
      <c r="N120" s="2736"/>
      <c r="O120" s="2736"/>
      <c r="P120" s="2736"/>
      <c r="Q120" s="2736"/>
      <c r="R120" s="2736"/>
      <c r="S120" s="2736"/>
      <c r="T120" s="2736"/>
      <c r="U120" s="2736"/>
      <c r="V120" s="2736"/>
      <c r="W120" s="2736"/>
      <c r="X120" s="2736"/>
      <c r="Y120" s="2736"/>
      <c r="Z120" s="2736"/>
      <c r="AA120" s="2736"/>
      <c r="AB120" s="2736"/>
      <c r="AC120" s="2736"/>
      <c r="AD120" s="2736"/>
      <c r="AE120" s="2737"/>
    </row>
    <row r="121" spans="2:32">
      <c r="B121" s="252"/>
      <c r="C121" s="2732"/>
      <c r="D121" s="2732"/>
      <c r="E121" s="2732"/>
      <c r="F121" s="2732"/>
      <c r="G121" s="2736"/>
      <c r="H121" s="2736"/>
      <c r="I121" s="2736"/>
      <c r="J121" s="2736"/>
      <c r="K121" s="2736"/>
      <c r="L121" s="2736"/>
      <c r="M121" s="2736"/>
      <c r="N121" s="2736"/>
      <c r="O121" s="2736"/>
      <c r="P121" s="2736"/>
      <c r="Q121" s="2736"/>
      <c r="R121" s="2736"/>
      <c r="S121" s="2736"/>
      <c r="T121" s="2736"/>
      <c r="U121" s="2736"/>
      <c r="V121" s="2736"/>
      <c r="W121" s="2736"/>
      <c r="X121" s="2736"/>
      <c r="Y121" s="2736"/>
      <c r="Z121" s="2736"/>
      <c r="AA121" s="2736"/>
      <c r="AB121" s="2736"/>
      <c r="AC121" s="2736"/>
      <c r="AD121" s="2736"/>
      <c r="AE121" s="2737"/>
    </row>
    <row r="122" spans="2:32">
      <c r="B122" s="252"/>
      <c r="C122" s="308"/>
      <c r="D122" s="308"/>
      <c r="E122" s="308"/>
      <c r="F122" s="308"/>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309"/>
      <c r="AE122" s="310"/>
    </row>
    <row r="123" spans="2:32" ht="15" customHeight="1">
      <c r="B123" s="302" t="s">
        <v>592</v>
      </c>
      <c r="C123" s="303"/>
      <c r="D123" s="303"/>
      <c r="E123" s="303"/>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5"/>
    </row>
    <row r="124" spans="2:32" ht="6.75" customHeight="1" thickBot="1">
      <c r="B124" s="252"/>
      <c r="D124" s="246"/>
      <c r="E124" s="246"/>
      <c r="F124" s="246"/>
      <c r="G124" s="245"/>
      <c r="H124" s="245"/>
      <c r="I124" s="245"/>
      <c r="J124" s="245"/>
      <c r="K124" s="246"/>
      <c r="L124" s="246"/>
      <c r="M124" s="246"/>
      <c r="N124" s="246"/>
      <c r="O124" s="246"/>
      <c r="Q124" s="246"/>
      <c r="R124" s="246"/>
      <c r="AE124" s="253"/>
    </row>
    <row r="125" spans="2:32" ht="18" customHeight="1" thickTop="1" thickBot="1">
      <c r="B125" s="2763" t="s">
        <v>569</v>
      </c>
      <c r="C125" s="2738"/>
      <c r="D125" s="2738"/>
      <c r="E125" s="2738"/>
      <c r="F125" s="2738"/>
      <c r="G125" s="2738"/>
      <c r="H125" s="2738"/>
      <c r="I125" s="2738"/>
      <c r="J125" s="2738"/>
      <c r="K125" s="2792" t="str">
        <f>IF(K105="","",K105)</f>
        <v/>
      </c>
      <c r="L125" s="2793"/>
      <c r="M125" s="2794"/>
      <c r="N125" s="246"/>
      <c r="O125" s="2757" t="s">
        <v>570</v>
      </c>
      <c r="Q125" s="2747" t="s">
        <v>593</v>
      </c>
      <c r="R125" s="2747"/>
      <c r="S125" s="2785" t="e">
        <f>IF(Q112="","",Q112)</f>
        <v>#VALUE!</v>
      </c>
      <c r="T125" s="2786"/>
      <c r="U125" s="2787"/>
      <c r="AE125" s="253"/>
    </row>
    <row r="126" spans="2:32" ht="13.2" thickTop="1" thickBot="1">
      <c r="B126" s="2763"/>
      <c r="C126" s="2738"/>
      <c r="D126" s="2738"/>
      <c r="E126" s="2738"/>
      <c r="F126" s="2738"/>
      <c r="G126" s="2738"/>
      <c r="H126" s="2738"/>
      <c r="I126" s="2738"/>
      <c r="J126" s="2738"/>
      <c r="K126" s="2795"/>
      <c r="L126" s="2796"/>
      <c r="M126" s="2797"/>
      <c r="N126" s="244"/>
      <c r="O126" s="2757"/>
      <c r="P126" s="244"/>
      <c r="Q126" s="2747" t="s">
        <v>595</v>
      </c>
      <c r="R126" s="2747"/>
      <c r="S126" s="244"/>
      <c r="T126" s="244"/>
      <c r="U126" s="244"/>
      <c r="X126" s="244"/>
      <c r="Y126" s="244"/>
      <c r="Z126" s="244"/>
      <c r="AA126" s="244"/>
      <c r="AB126" s="244"/>
      <c r="AC126" s="244"/>
      <c r="AD126" s="244"/>
      <c r="AE126" s="243"/>
      <c r="AF126" s="244"/>
    </row>
    <row r="127" spans="2:32" ht="18" customHeight="1" thickTop="1" thickBot="1">
      <c r="B127" s="2763"/>
      <c r="C127" s="2738"/>
      <c r="D127" s="2738"/>
      <c r="E127" s="2738"/>
      <c r="F127" s="2738"/>
      <c r="G127" s="2738"/>
      <c r="H127" s="2738"/>
      <c r="I127" s="2738"/>
      <c r="J127" s="2738"/>
      <c r="K127" s="2798"/>
      <c r="L127" s="2799"/>
      <c r="M127" s="2800"/>
      <c r="N127" s="244"/>
      <c r="O127" s="2757"/>
      <c r="Q127" s="2747" t="s">
        <v>594</v>
      </c>
      <c r="R127" s="2747"/>
      <c r="S127" s="2785" t="e">
        <f>IF(Q118="","",Q118)</f>
        <v>#VALUE!</v>
      </c>
      <c r="T127" s="2786"/>
      <c r="U127" s="2787"/>
      <c r="AE127" s="253"/>
    </row>
    <row r="128" spans="2:32" ht="12.6" thickTop="1">
      <c r="B128" s="297"/>
      <c r="C128" s="266"/>
      <c r="D128" s="311"/>
      <c r="E128" s="311"/>
      <c r="F128" s="311"/>
      <c r="G128" s="223"/>
      <c r="H128" s="223"/>
      <c r="I128" s="223"/>
      <c r="J128" s="312"/>
      <c r="K128" s="313"/>
      <c r="L128" s="313"/>
      <c r="M128" s="311"/>
      <c r="N128" s="311"/>
      <c r="O128" s="311"/>
      <c r="P128" s="311"/>
      <c r="Q128" s="311"/>
      <c r="R128" s="266"/>
      <c r="S128" s="266"/>
      <c r="T128" s="266"/>
      <c r="U128" s="266"/>
      <c r="V128" s="266"/>
      <c r="W128" s="266"/>
      <c r="X128" s="266"/>
      <c r="Y128" s="266"/>
      <c r="Z128" s="266"/>
      <c r="AA128" s="266"/>
      <c r="AB128" s="266"/>
      <c r="AC128" s="266"/>
      <c r="AD128" s="266"/>
      <c r="AE128" s="314"/>
    </row>
    <row r="129" spans="2:31">
      <c r="B129" s="252"/>
      <c r="D129" s="246"/>
      <c r="E129" s="246"/>
      <c r="F129" s="246"/>
      <c r="G129" s="182"/>
      <c r="H129" s="182"/>
      <c r="I129" s="182"/>
      <c r="J129" s="245"/>
      <c r="K129" s="234"/>
      <c r="L129" s="234"/>
      <c r="M129" s="246"/>
      <c r="N129" s="246"/>
      <c r="O129" s="246"/>
      <c r="P129" s="246"/>
      <c r="Q129" s="246"/>
      <c r="AE129" s="253"/>
    </row>
    <row r="130" spans="2:31">
      <c r="B130" s="2788" t="s">
        <v>1031</v>
      </c>
      <c r="C130" s="2789"/>
      <c r="D130" s="272" t="s">
        <v>571</v>
      </c>
      <c r="E130" s="283"/>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283"/>
      <c r="AE130" s="284"/>
    </row>
    <row r="131" spans="2:31">
      <c r="B131" s="285"/>
      <c r="C131" s="286"/>
      <c r="D131" s="2790" t="s">
        <v>662</v>
      </c>
      <c r="E131" s="2790"/>
      <c r="F131" s="2790"/>
      <c r="G131" s="2790"/>
      <c r="H131" s="2790"/>
      <c r="I131" s="2790"/>
      <c r="J131" s="2790"/>
      <c r="K131" s="2790"/>
      <c r="L131" s="2790"/>
      <c r="M131" s="2790"/>
      <c r="N131" s="2790"/>
      <c r="O131" s="2790"/>
      <c r="P131" s="2790"/>
      <c r="Q131" s="2790"/>
      <c r="R131" s="2790"/>
      <c r="S131" s="2790"/>
      <c r="T131" s="2790"/>
      <c r="U131" s="2790"/>
      <c r="V131" s="2790"/>
      <c r="W131" s="2790"/>
      <c r="X131" s="2790"/>
      <c r="Y131" s="2790"/>
      <c r="Z131" s="2790"/>
      <c r="AA131" s="2790"/>
      <c r="AB131" s="2790"/>
      <c r="AC131" s="2790"/>
      <c r="AD131" s="2790"/>
      <c r="AE131" s="2791"/>
    </row>
    <row r="132" spans="2:31">
      <c r="B132" s="285"/>
      <c r="C132" s="286"/>
      <c r="D132" s="2790"/>
      <c r="E132" s="2790"/>
      <c r="F132" s="2790"/>
      <c r="G132" s="2790"/>
      <c r="H132" s="2790"/>
      <c r="I132" s="2790"/>
      <c r="J132" s="2790"/>
      <c r="K132" s="2790"/>
      <c r="L132" s="2790"/>
      <c r="M132" s="2790"/>
      <c r="N132" s="2790"/>
      <c r="O132" s="2790"/>
      <c r="P132" s="2790"/>
      <c r="Q132" s="2790"/>
      <c r="R132" s="2790"/>
      <c r="S132" s="2790"/>
      <c r="T132" s="2790"/>
      <c r="U132" s="2790"/>
      <c r="V132" s="2790"/>
      <c r="W132" s="2790"/>
      <c r="X132" s="2790"/>
      <c r="Y132" s="2790"/>
      <c r="Z132" s="2790"/>
      <c r="AA132" s="2790"/>
      <c r="AB132" s="2790"/>
      <c r="AC132" s="2790"/>
      <c r="AD132" s="2790"/>
      <c r="AE132" s="2791"/>
    </row>
    <row r="133" spans="2:31">
      <c r="B133" s="558"/>
      <c r="C133" s="551"/>
      <c r="D133" s="551"/>
      <c r="E133" s="551"/>
      <c r="F133" s="551"/>
      <c r="G133" s="551"/>
      <c r="H133" s="551"/>
      <c r="I133" s="551"/>
      <c r="J133" s="551"/>
      <c r="K133" s="551"/>
      <c r="L133" s="551"/>
      <c r="M133" s="551"/>
      <c r="N133" s="551"/>
      <c r="O133" s="551"/>
      <c r="P133" s="551"/>
      <c r="Q133" s="551"/>
      <c r="R133" s="551"/>
      <c r="S133" s="551"/>
      <c r="T133" s="551"/>
      <c r="U133" s="551"/>
      <c r="V133" s="551"/>
      <c r="W133" s="551"/>
      <c r="X133" s="551"/>
      <c r="Y133" s="551"/>
      <c r="Z133" s="551"/>
      <c r="AA133" s="551"/>
      <c r="AB133" s="551"/>
      <c r="AC133" s="551"/>
      <c r="AD133" s="551"/>
      <c r="AE133" s="552"/>
    </row>
    <row r="134" spans="2:31">
      <c r="B134" s="248"/>
      <c r="C134" s="248"/>
      <c r="D134" s="248"/>
      <c r="E134" s="248"/>
      <c r="F134" s="248"/>
      <c r="G134" s="248"/>
      <c r="H134" s="248"/>
      <c r="I134" s="248"/>
      <c r="J134" s="248"/>
      <c r="K134" s="248"/>
      <c r="L134" s="248"/>
      <c r="M134" s="248"/>
      <c r="N134" s="248"/>
      <c r="O134" s="248"/>
      <c r="P134" s="248"/>
      <c r="Q134" s="248"/>
      <c r="R134" s="248"/>
      <c r="S134" s="248"/>
      <c r="T134" s="248"/>
      <c r="U134" s="248"/>
      <c r="V134" s="248"/>
      <c r="W134" s="248"/>
      <c r="X134" s="248"/>
      <c r="Y134" s="248"/>
      <c r="Z134" s="248"/>
      <c r="AA134" s="248"/>
      <c r="AB134" s="248"/>
      <c r="AC134" s="248"/>
      <c r="AD134" s="248"/>
      <c r="AE134" s="248"/>
    </row>
    <row r="135" spans="2:31">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row>
    <row r="136" spans="2:31">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row>
    <row r="137" spans="2:31">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row>
  </sheetData>
  <mergeCells count="115">
    <mergeCell ref="B97:AE97"/>
    <mergeCell ref="C12:K12"/>
    <mergeCell ref="AD59:AE59"/>
    <mergeCell ref="S60:T60"/>
    <mergeCell ref="W60:X60"/>
    <mergeCell ref="AD60:AE60"/>
    <mergeCell ref="E81:O86"/>
    <mergeCell ref="T62:AD66"/>
    <mergeCell ref="E77:O77"/>
    <mergeCell ref="E57:F57"/>
    <mergeCell ref="E51:G51"/>
    <mergeCell ref="T51:V51"/>
    <mergeCell ref="W51:X51"/>
    <mergeCell ref="E91:O93"/>
    <mergeCell ref="E87:O90"/>
    <mergeCell ref="AD61:AE61"/>
    <mergeCell ref="T48:AD49"/>
    <mergeCell ref="E44:O47"/>
    <mergeCell ref="E48:O49"/>
    <mergeCell ref="E78:O80"/>
    <mergeCell ref="E71:O74"/>
    <mergeCell ref="E67:O70"/>
    <mergeCell ref="S57:AD58"/>
    <mergeCell ref="W33:X33"/>
    <mergeCell ref="AD33:AE33"/>
    <mergeCell ref="S32:V32"/>
    <mergeCell ref="W32:X32"/>
    <mergeCell ref="AD34:AE34"/>
    <mergeCell ref="S59:V59"/>
    <mergeCell ref="W59:X59"/>
    <mergeCell ref="Y59:AA59"/>
    <mergeCell ref="H51:I51"/>
    <mergeCell ref="M51:N51"/>
    <mergeCell ref="B5:E5"/>
    <mergeCell ref="F5:AE5"/>
    <mergeCell ref="Q103:AE103"/>
    <mergeCell ref="Q101:AE101"/>
    <mergeCell ref="V111:AD111"/>
    <mergeCell ref="Y11:AA11"/>
    <mergeCell ref="L11:N11"/>
    <mergeCell ref="AD23:AE23"/>
    <mergeCell ref="P11:X11"/>
    <mergeCell ref="E20:F20"/>
    <mergeCell ref="E24:F24"/>
    <mergeCell ref="E30:F30"/>
    <mergeCell ref="E34:F34"/>
    <mergeCell ref="L12:N12"/>
    <mergeCell ref="B15:AE15"/>
    <mergeCell ref="AD24:AE24"/>
    <mergeCell ref="S29:AD30"/>
    <mergeCell ref="AD22:AE22"/>
    <mergeCell ref="C11:K11"/>
    <mergeCell ref="E60:F60"/>
    <mergeCell ref="S19:AD20"/>
    <mergeCell ref="S23:T23"/>
    <mergeCell ref="W23:X23"/>
    <mergeCell ref="S22:V22"/>
    <mergeCell ref="S125:U125"/>
    <mergeCell ref="Q126:R126"/>
    <mergeCell ref="Q125:R125"/>
    <mergeCell ref="B130:C130"/>
    <mergeCell ref="D131:AE132"/>
    <mergeCell ref="S127:U127"/>
    <mergeCell ref="B125:J127"/>
    <mergeCell ref="K125:M127"/>
    <mergeCell ref="O125:O127"/>
    <mergeCell ref="Q127:R127"/>
    <mergeCell ref="B1:E1"/>
    <mergeCell ref="F1:AE1"/>
    <mergeCell ref="B2:AE2"/>
    <mergeCell ref="B3:AE3"/>
    <mergeCell ref="Q102:AE102"/>
    <mergeCell ref="Q105:AE105"/>
    <mergeCell ref="O7:P7"/>
    <mergeCell ref="R7:S7"/>
    <mergeCell ref="U7:AE7"/>
    <mergeCell ref="B8:E8"/>
    <mergeCell ref="B103:J103"/>
    <mergeCell ref="K103:M103"/>
    <mergeCell ref="B105:J105"/>
    <mergeCell ref="K105:M105"/>
    <mergeCell ref="B101:J101"/>
    <mergeCell ref="K101:M101"/>
    <mergeCell ref="B6:E6"/>
    <mergeCell ref="B7:E7"/>
    <mergeCell ref="F7:G7"/>
    <mergeCell ref="I7:J7"/>
    <mergeCell ref="M7:N7"/>
    <mergeCell ref="E62:O66"/>
    <mergeCell ref="E40:O43"/>
    <mergeCell ref="E35:O39"/>
    <mergeCell ref="F8:G8"/>
    <mergeCell ref="H8:I8"/>
    <mergeCell ref="K8:L8"/>
    <mergeCell ref="V117:AD117"/>
    <mergeCell ref="V118:AD118"/>
    <mergeCell ref="C120:F121"/>
    <mergeCell ref="Q112:S112"/>
    <mergeCell ref="Q118:S118"/>
    <mergeCell ref="G120:AE121"/>
    <mergeCell ref="O111:P111"/>
    <mergeCell ref="Q111:S111"/>
    <mergeCell ref="G117:I117"/>
    <mergeCell ref="L117:M117"/>
    <mergeCell ref="O117:P117"/>
    <mergeCell ref="Q117:S117"/>
    <mergeCell ref="G111:I111"/>
    <mergeCell ref="L111:M111"/>
    <mergeCell ref="V112:AD112"/>
    <mergeCell ref="W22:X22"/>
    <mergeCell ref="Y22:AA22"/>
    <mergeCell ref="Y32:AA32"/>
    <mergeCell ref="AD32:AE32"/>
    <mergeCell ref="AB51:AC51"/>
    <mergeCell ref="S33:T33"/>
  </mergeCells>
  <phoneticPr fontId="3"/>
  <dataValidations count="2">
    <dataValidation type="list" allowBlank="1" showInputMessage="1" showErrorMessage="1" sqref="G6 P6 W6 C19 C22 C29 C32 C57 C59 R19 R29 R57" xr:uid="{00000000-0002-0000-0800-000000000000}">
      <formula1>$AH$5:$AH$7</formula1>
    </dataValidation>
    <dataValidation type="list" allowBlank="1" showInputMessage="1" showErrorMessage="1" sqref="K103:M103" xr:uid="{00000000-0002-0000-0800-000001000000}">
      <formula1>$AI$5:$AI$9</formula1>
    </dataValidation>
  </dataValidations>
  <printOptions horizontalCentered="1"/>
  <pageMargins left="0.59055118110236227" right="0.19685039370078741" top="0.19685039370078741" bottom="0.19685039370078741" header="0.31496062992125984" footer="0.31496062992125984"/>
  <pageSetup paperSize="9" scale="79" fitToWidth="0" fitToHeight="0" orientation="portrait" r:id="rId1"/>
  <rowBreaks count="1" manualBreakCount="1">
    <brk id="94" max="31" man="1"/>
  </row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C51"/>
  <sheetViews>
    <sheetView view="pageBreakPreview" zoomScaleNormal="100" zoomScaleSheetLayoutView="100" workbookViewId="0">
      <selection activeCell="G30" sqref="G30"/>
    </sheetView>
  </sheetViews>
  <sheetFormatPr defaultColWidth="9" defaultRowHeight="13.2"/>
  <cols>
    <col min="1" max="1" width="0.88671875" style="101" customWidth="1"/>
    <col min="2" max="13" width="6.6640625" style="101" customWidth="1"/>
    <col min="14" max="15" width="7.109375" style="101" customWidth="1"/>
    <col min="16" max="16" width="1" style="101" customWidth="1"/>
    <col min="17" max="17" width="2" style="101" customWidth="1"/>
    <col min="18" max="16384" width="9" style="101"/>
  </cols>
  <sheetData>
    <row r="1" spans="2:29">
      <c r="B1" s="101" t="s">
        <v>1104</v>
      </c>
    </row>
    <row r="2" spans="2:29" ht="24" customHeight="1">
      <c r="B2" s="2836" t="s">
        <v>1058</v>
      </c>
      <c r="C2" s="2837"/>
      <c r="D2" s="2837"/>
      <c r="E2" s="2837"/>
      <c r="F2" s="2837"/>
      <c r="G2" s="2837"/>
      <c r="H2" s="2837"/>
      <c r="I2" s="2837"/>
      <c r="J2" s="2837"/>
      <c r="K2" s="2837"/>
      <c r="L2" s="2837"/>
      <c r="M2" s="2838"/>
      <c r="N2" s="2838"/>
      <c r="O2" s="2838"/>
      <c r="R2" s="287">
        <v>28</v>
      </c>
    </row>
    <row r="3" spans="2:29" ht="11.25" customHeight="1">
      <c r="R3" s="287">
        <v>29</v>
      </c>
    </row>
    <row r="4" spans="2:29" ht="30" customHeight="1">
      <c r="B4" s="2839" t="s">
        <v>1059</v>
      </c>
      <c r="C4" s="2839"/>
      <c r="D4" s="2839"/>
      <c r="E4" s="2839"/>
      <c r="F4" s="2839"/>
      <c r="G4" s="2839"/>
      <c r="H4" s="2839"/>
      <c r="I4" s="2839"/>
      <c r="J4" s="2839"/>
      <c r="K4" s="2839"/>
      <c r="L4" s="2839"/>
      <c r="M4" s="2839"/>
      <c r="N4" s="2839"/>
      <c r="O4" s="2839"/>
      <c r="P4" s="322"/>
      <c r="Q4" s="322"/>
      <c r="R4" s="287">
        <v>30</v>
      </c>
      <c r="S4" s="322"/>
      <c r="T4" s="322"/>
      <c r="U4" s="322"/>
      <c r="V4" s="322"/>
      <c r="W4" s="322"/>
      <c r="X4" s="322"/>
      <c r="Y4" s="322"/>
      <c r="Z4" s="322"/>
      <c r="AA4" s="322"/>
      <c r="AB4" s="322"/>
      <c r="AC4" s="322"/>
    </row>
    <row r="5" spans="2:29" ht="16.5" customHeight="1">
      <c r="B5" s="571"/>
      <c r="C5" s="571"/>
      <c r="D5" s="571"/>
      <c r="E5" s="571"/>
      <c r="F5" s="571"/>
      <c r="G5" s="571"/>
      <c r="H5" s="571"/>
      <c r="I5" s="571"/>
      <c r="J5" s="571"/>
      <c r="K5" s="571"/>
      <c r="L5" s="571"/>
      <c r="M5" s="571"/>
      <c r="N5" s="571"/>
      <c r="O5" s="571"/>
      <c r="P5" s="322"/>
      <c r="Q5" s="322"/>
      <c r="R5" s="287">
        <v>31</v>
      </c>
      <c r="S5" s="322"/>
      <c r="T5" s="322"/>
      <c r="U5" s="322"/>
      <c r="V5" s="322"/>
      <c r="W5" s="322"/>
      <c r="X5" s="322"/>
      <c r="Y5" s="322"/>
      <c r="Z5" s="322"/>
      <c r="AA5" s="322"/>
      <c r="AB5" s="322"/>
      <c r="AC5" s="322"/>
    </row>
    <row r="6" spans="2:29" ht="24" customHeight="1">
      <c r="B6" s="2840" t="s">
        <v>1060</v>
      </c>
      <c r="C6" s="2840"/>
      <c r="D6" s="2840"/>
      <c r="E6" s="2840"/>
      <c r="F6" s="2840"/>
      <c r="G6" s="2840"/>
      <c r="H6" s="2840"/>
      <c r="I6" s="2840"/>
      <c r="J6" s="2840"/>
      <c r="K6" s="2840"/>
      <c r="L6" s="2840"/>
      <c r="M6" s="2840"/>
      <c r="N6" s="2840"/>
      <c r="O6" s="2840"/>
      <c r="R6" s="287"/>
    </row>
    <row r="7" spans="2:29">
      <c r="B7" s="2841" t="s">
        <v>1061</v>
      </c>
      <c r="C7" s="2841"/>
      <c r="D7" s="2841"/>
      <c r="E7" s="2841"/>
      <c r="F7" s="2841"/>
      <c r="G7" s="2841"/>
      <c r="H7" s="2841"/>
      <c r="I7" s="2841"/>
      <c r="J7" s="2841"/>
      <c r="K7" s="2841"/>
      <c r="L7" s="2841"/>
      <c r="M7" s="2841"/>
      <c r="N7" s="2841"/>
      <c r="O7" s="2841"/>
    </row>
    <row r="8" spans="2:29" ht="20.25" customHeight="1">
      <c r="B8" s="101" t="s">
        <v>1062</v>
      </c>
    </row>
    <row r="9" spans="2:29" ht="23.25" customHeight="1">
      <c r="B9" s="567"/>
      <c r="C9" s="570"/>
      <c r="D9" s="570"/>
      <c r="E9" s="570"/>
      <c r="F9" s="572" t="str">
        <f>IF(L9="","",L9-1)</f>
        <v/>
      </c>
      <c r="G9" s="573" t="s">
        <v>34</v>
      </c>
      <c r="H9" s="570"/>
      <c r="I9" s="351"/>
      <c r="J9" s="352"/>
      <c r="K9" s="574"/>
      <c r="L9" s="575"/>
      <c r="M9" s="576" t="s">
        <v>34</v>
      </c>
      <c r="N9" s="2842" t="s">
        <v>1063</v>
      </c>
      <c r="O9" s="2842" t="s">
        <v>1064</v>
      </c>
    </row>
    <row r="10" spans="2:29" ht="26.25" customHeight="1" thickBot="1">
      <c r="B10" s="577" t="s">
        <v>302</v>
      </c>
      <c r="C10" s="577" t="s">
        <v>126</v>
      </c>
      <c r="D10" s="577" t="s">
        <v>127</v>
      </c>
      <c r="E10" s="577" t="s">
        <v>128</v>
      </c>
      <c r="F10" s="577" t="s">
        <v>129</v>
      </c>
      <c r="G10" s="577" t="s">
        <v>130</v>
      </c>
      <c r="H10" s="560" t="s">
        <v>1065</v>
      </c>
      <c r="I10" s="577" t="s">
        <v>1066</v>
      </c>
      <c r="J10" s="577" t="s">
        <v>1067</v>
      </c>
      <c r="K10" s="577" t="s">
        <v>131</v>
      </c>
      <c r="L10" s="577" t="s">
        <v>132</v>
      </c>
      <c r="M10" s="559" t="s">
        <v>133</v>
      </c>
      <c r="N10" s="2843"/>
      <c r="O10" s="2844"/>
    </row>
    <row r="11" spans="2:29" ht="36" customHeight="1" thickBot="1">
      <c r="B11" s="578"/>
      <c r="C11" s="579"/>
      <c r="D11" s="579"/>
      <c r="E11" s="579"/>
      <c r="F11" s="579"/>
      <c r="G11" s="579"/>
      <c r="H11" s="579"/>
      <c r="I11" s="579"/>
      <c r="J11" s="579"/>
      <c r="K11" s="579"/>
      <c r="L11" s="580"/>
      <c r="M11" s="581"/>
      <c r="N11" s="582">
        <f>SUM(B11:L11)</f>
        <v>0</v>
      </c>
      <c r="O11" s="583" t="str">
        <f>IF(N11=0,"",ROUND(N11/11,2))</f>
        <v/>
      </c>
    </row>
    <row r="12" spans="2:29" ht="14.4">
      <c r="B12" s="85" t="s">
        <v>1068</v>
      </c>
      <c r="N12" s="2845" t="s">
        <v>1069</v>
      </c>
      <c r="O12" s="2845"/>
    </row>
    <row r="13" spans="2:29">
      <c r="B13" s="2846" t="s">
        <v>1070</v>
      </c>
      <c r="C13" s="2846"/>
      <c r="D13" s="2846"/>
      <c r="E13" s="2846"/>
      <c r="F13" s="2846"/>
      <c r="G13" s="2846"/>
      <c r="H13" s="2846"/>
      <c r="I13" s="2846"/>
      <c r="J13" s="2846"/>
      <c r="K13" s="2846"/>
      <c r="L13" s="2846"/>
      <c r="M13" s="2846"/>
      <c r="N13" s="2846"/>
      <c r="O13" s="2846"/>
    </row>
    <row r="14" spans="2:29" ht="11.25" customHeight="1"/>
    <row r="15" spans="2:29" ht="20.100000000000001" customHeight="1">
      <c r="B15" s="101" t="s">
        <v>1071</v>
      </c>
    </row>
    <row r="16" spans="2:29" ht="20.100000000000001" customHeight="1">
      <c r="C16" s="2847" t="s">
        <v>1072</v>
      </c>
      <c r="D16" s="2848"/>
      <c r="E16" s="2848"/>
      <c r="F16" s="2848"/>
      <c r="G16" s="2848"/>
      <c r="H16" s="2849"/>
      <c r="J16" s="2850" t="s">
        <v>1073</v>
      </c>
      <c r="K16" s="2851"/>
      <c r="L16" s="2851"/>
      <c r="M16" s="2848"/>
      <c r="N16" s="2848"/>
      <c r="O16" s="2849"/>
    </row>
    <row r="17" spans="2:18" ht="20.100000000000001" customHeight="1">
      <c r="C17" s="2852" t="s">
        <v>1074</v>
      </c>
      <c r="D17" s="2853"/>
      <c r="E17" s="2854"/>
      <c r="F17" s="2855" t="s">
        <v>1075</v>
      </c>
      <c r="G17" s="2855"/>
      <c r="H17" s="2855"/>
      <c r="J17" s="2856" t="s">
        <v>1076</v>
      </c>
      <c r="K17" s="2856"/>
      <c r="L17" s="2856"/>
      <c r="M17" s="2855" t="s">
        <v>1075</v>
      </c>
      <c r="N17" s="2855"/>
      <c r="O17" s="2855"/>
    </row>
    <row r="18" spans="2:18" ht="28.5" customHeight="1">
      <c r="C18" s="2857" t="s">
        <v>1077</v>
      </c>
      <c r="D18" s="2858"/>
      <c r="E18" s="2859"/>
      <c r="F18" s="2860" t="s">
        <v>1078</v>
      </c>
      <c r="G18" s="2860"/>
      <c r="H18" s="2860"/>
      <c r="J18" s="2861" t="s">
        <v>1079</v>
      </c>
      <c r="K18" s="2861"/>
      <c r="L18" s="2861"/>
      <c r="M18" s="2860" t="s">
        <v>1078</v>
      </c>
      <c r="N18" s="2860"/>
      <c r="O18" s="2860"/>
    </row>
    <row r="19" spans="2:18" ht="28.5" customHeight="1">
      <c r="C19" s="2857" t="s">
        <v>1080</v>
      </c>
      <c r="D19" s="2858"/>
      <c r="E19" s="2859"/>
      <c r="F19" s="2860" t="s">
        <v>1081</v>
      </c>
      <c r="G19" s="2860"/>
      <c r="H19" s="2860"/>
      <c r="J19" s="2012" t="s">
        <v>1082</v>
      </c>
      <c r="K19" s="2013"/>
      <c r="L19" s="2014"/>
      <c r="M19" s="584" t="s">
        <v>1081</v>
      </c>
      <c r="N19" s="584"/>
      <c r="O19" s="584"/>
    </row>
    <row r="20" spans="2:18" ht="20.100000000000001" customHeight="1">
      <c r="C20" s="2847" t="s">
        <v>1083</v>
      </c>
      <c r="D20" s="2848"/>
      <c r="E20" s="2849"/>
      <c r="F20" s="2860" t="s">
        <v>1084</v>
      </c>
      <c r="G20" s="2860"/>
      <c r="H20" s="2860"/>
      <c r="J20" s="2005" t="s">
        <v>1083</v>
      </c>
      <c r="K20" s="2006"/>
      <c r="L20" s="2007"/>
      <c r="M20" s="564" t="s">
        <v>1085</v>
      </c>
      <c r="N20" s="564"/>
      <c r="O20" s="564"/>
    </row>
    <row r="21" spans="2:18" ht="20.100000000000001" customHeight="1"/>
    <row r="22" spans="2:18" ht="27" customHeight="1">
      <c r="B22" s="2862" t="s">
        <v>1086</v>
      </c>
      <c r="C22" s="2862"/>
      <c r="D22" s="2862"/>
      <c r="E22" s="2862"/>
      <c r="F22" s="2862"/>
      <c r="G22" s="2862"/>
      <c r="H22" s="2862"/>
      <c r="I22" s="2862"/>
      <c r="J22" s="2862"/>
      <c r="K22" s="2862"/>
      <c r="L22" s="2862"/>
      <c r="M22" s="2862"/>
      <c r="N22" s="2862"/>
      <c r="O22" s="2862"/>
    </row>
    <row r="23" spans="2:18" ht="11.25" customHeight="1">
      <c r="B23" s="106"/>
      <c r="C23" s="106"/>
      <c r="D23" s="106"/>
      <c r="E23" s="106"/>
      <c r="F23" s="106"/>
      <c r="G23" s="106"/>
      <c r="H23" s="106"/>
      <c r="I23" s="106"/>
      <c r="J23" s="106"/>
      <c r="K23" s="106"/>
      <c r="L23" s="106"/>
      <c r="M23" s="106"/>
      <c r="N23" s="106"/>
      <c r="O23" s="106"/>
    </row>
    <row r="24" spans="2:18" ht="27" customHeight="1">
      <c r="B24" s="2862" t="s">
        <v>1087</v>
      </c>
      <c r="C24" s="2862"/>
      <c r="D24" s="2862"/>
      <c r="E24" s="2862"/>
      <c r="F24" s="2862"/>
      <c r="G24" s="2862"/>
      <c r="H24" s="2862"/>
      <c r="I24" s="2862"/>
      <c r="J24" s="2862"/>
      <c r="K24" s="2862"/>
      <c r="L24" s="2862"/>
      <c r="M24" s="2862"/>
      <c r="N24" s="2862"/>
      <c r="O24" s="2862"/>
    </row>
    <row r="25" spans="2:18" ht="11.25" customHeight="1">
      <c r="B25" s="106"/>
      <c r="C25" s="106"/>
      <c r="D25" s="106"/>
      <c r="E25" s="106"/>
      <c r="F25" s="106"/>
      <c r="G25" s="106"/>
      <c r="H25" s="106"/>
      <c r="I25" s="106"/>
      <c r="J25" s="106"/>
      <c r="K25" s="106"/>
      <c r="L25" s="106"/>
      <c r="M25" s="106"/>
      <c r="N25" s="106"/>
      <c r="O25" s="106"/>
    </row>
    <row r="26" spans="2:18" ht="27" customHeight="1">
      <c r="B26" s="2862" t="s">
        <v>1088</v>
      </c>
      <c r="C26" s="2862"/>
      <c r="D26" s="2862"/>
      <c r="E26" s="2862"/>
      <c r="F26" s="2862"/>
      <c r="G26" s="2862"/>
      <c r="H26" s="2862"/>
      <c r="I26" s="2862"/>
      <c r="J26" s="2862"/>
      <c r="K26" s="2862"/>
      <c r="L26" s="2862"/>
      <c r="M26" s="2862"/>
      <c r="N26" s="2862"/>
      <c r="O26" s="2862"/>
    </row>
    <row r="27" spans="2:18" ht="19.5" customHeight="1"/>
    <row r="28" spans="2:18" ht="25.2" customHeight="1">
      <c r="B28" s="2864" t="s">
        <v>1100</v>
      </c>
      <c r="C28" s="2865"/>
      <c r="D28" s="2865"/>
      <c r="E28" s="2865"/>
      <c r="F28" s="2865"/>
      <c r="G28" s="2865"/>
      <c r="H28" s="2865"/>
      <c r="I28" s="2865"/>
      <c r="J28" s="2865"/>
      <c r="K28" s="2865"/>
      <c r="L28" s="2865"/>
      <c r="M28" s="2865"/>
      <c r="N28" s="2865"/>
      <c r="O28" s="2865"/>
    </row>
    <row r="29" spans="2:18" ht="7.5" customHeight="1"/>
    <row r="30" spans="2:18" ht="25.2" customHeight="1">
      <c r="B30" s="1949" t="s">
        <v>1101</v>
      </c>
      <c r="C30" s="1949"/>
      <c r="D30" s="1949"/>
      <c r="E30" s="1949"/>
      <c r="F30" s="1949"/>
      <c r="G30" s="595" t="str">
        <f>IF($O$11&lt;=750,$R$45,$R$46)</f>
        <v>-</v>
      </c>
      <c r="H30" s="2847" t="s">
        <v>1102</v>
      </c>
      <c r="I30" s="2848"/>
      <c r="J30" s="2848"/>
      <c r="K30" s="2848"/>
      <c r="L30" s="2848"/>
      <c r="M30" s="2849"/>
      <c r="R30" s="559" t="s">
        <v>525</v>
      </c>
    </row>
    <row r="31" spans="2:18" ht="25.2" customHeight="1">
      <c r="B31" s="1949" t="s">
        <v>1754</v>
      </c>
      <c r="C31" s="1949"/>
      <c r="D31" s="1949"/>
      <c r="E31" s="1949"/>
      <c r="F31" s="1949"/>
      <c r="G31" s="595" t="str">
        <f>IF($O$11&gt;750,$R$45,$R$46)</f>
        <v>〇</v>
      </c>
      <c r="H31" s="2850" t="s">
        <v>1755</v>
      </c>
      <c r="I31" s="2851"/>
      <c r="J31" s="2851"/>
      <c r="K31" s="2851"/>
      <c r="L31" s="2851"/>
      <c r="M31" s="2866"/>
      <c r="R31" s="559" t="s">
        <v>1103</v>
      </c>
    </row>
    <row r="32" spans="2:18" ht="25.2" customHeight="1">
      <c r="B32" s="867"/>
      <c r="C32" s="867"/>
      <c r="D32" s="867"/>
      <c r="E32" s="867"/>
      <c r="F32" s="867"/>
      <c r="G32" s="868"/>
      <c r="H32" s="102"/>
      <c r="I32" s="102"/>
      <c r="J32" s="102"/>
      <c r="K32" s="102"/>
      <c r="L32" s="102"/>
      <c r="M32" s="102"/>
      <c r="R32" s="867"/>
    </row>
    <row r="33" spans="2:18" ht="25.5" customHeight="1">
      <c r="B33" s="2840" t="s">
        <v>1089</v>
      </c>
      <c r="C33" s="2840"/>
      <c r="D33" s="2840"/>
      <c r="E33" s="2840"/>
      <c r="F33" s="2840"/>
      <c r="G33" s="2840"/>
      <c r="H33" s="2840"/>
      <c r="I33" s="2840"/>
      <c r="J33" s="2840"/>
      <c r="K33" s="2840"/>
      <c r="L33" s="2840"/>
      <c r="M33" s="2840"/>
      <c r="N33" s="2840"/>
      <c r="O33" s="2840"/>
    </row>
    <row r="34" spans="2:18" ht="25.5" customHeight="1">
      <c r="B34" s="2863" t="s">
        <v>1090</v>
      </c>
      <c r="C34" s="2863"/>
      <c r="D34" s="2863"/>
      <c r="E34" s="2863"/>
      <c r="F34" s="2863"/>
      <c r="G34" s="2863"/>
      <c r="H34" s="2863"/>
      <c r="I34" s="2863"/>
      <c r="J34" s="2863"/>
      <c r="K34" s="2863"/>
      <c r="L34" s="2863"/>
      <c r="M34" s="2863"/>
      <c r="N34" s="2863"/>
      <c r="O34" s="2863"/>
    </row>
    <row r="35" spans="2:18">
      <c r="B35" s="2867" t="s">
        <v>1091</v>
      </c>
      <c r="C35" s="2867"/>
      <c r="D35" s="2867"/>
      <c r="E35" s="2867"/>
      <c r="F35" s="2867"/>
      <c r="G35" s="2867"/>
      <c r="H35" s="2867"/>
      <c r="I35" s="2867"/>
      <c r="J35" s="2867"/>
      <c r="K35" s="2867"/>
      <c r="L35" s="2867"/>
      <c r="M35" s="2867"/>
      <c r="N35" s="2867"/>
      <c r="O35" s="2867"/>
    </row>
    <row r="36" spans="2:18" ht="19.5" customHeight="1">
      <c r="B36" s="101" t="s">
        <v>1092</v>
      </c>
    </row>
    <row r="37" spans="2:18" ht="30.75" customHeight="1">
      <c r="B37" s="585"/>
      <c r="C37" s="2868" t="s">
        <v>1093</v>
      </c>
      <c r="D37" s="2868"/>
      <c r="E37" s="2868"/>
      <c r="F37" s="2868"/>
      <c r="G37" s="2868"/>
      <c r="H37" s="2868"/>
      <c r="I37" s="2868"/>
      <c r="J37" s="2868"/>
      <c r="K37" s="2868"/>
      <c r="L37" s="2868"/>
      <c r="M37" s="2868"/>
      <c r="N37" s="2868"/>
      <c r="O37" s="393"/>
    </row>
    <row r="38" spans="2:18" ht="14.25" customHeight="1" thickBot="1">
      <c r="B38" s="565"/>
      <c r="C38" s="569"/>
      <c r="D38" s="569"/>
      <c r="E38" s="569"/>
      <c r="F38" s="569"/>
      <c r="G38" s="569"/>
      <c r="H38" s="569"/>
      <c r="I38" s="569"/>
      <c r="J38" s="569"/>
      <c r="K38" s="569" t="s">
        <v>1094</v>
      </c>
      <c r="L38" s="569"/>
      <c r="M38" s="569"/>
      <c r="N38" s="569"/>
      <c r="O38" s="566"/>
    </row>
    <row r="39" spans="2:18" ht="37.5" customHeight="1" thickBot="1">
      <c r="B39" s="568"/>
      <c r="C39" s="586"/>
      <c r="D39" s="587" t="s">
        <v>1095</v>
      </c>
      <c r="E39" s="588" t="s">
        <v>1096</v>
      </c>
      <c r="F39" s="588">
        <v>0.9</v>
      </c>
      <c r="G39" s="588" t="s">
        <v>1096</v>
      </c>
      <c r="H39" s="586"/>
      <c r="I39" s="589" t="s">
        <v>1097</v>
      </c>
      <c r="J39" s="590" t="s">
        <v>303</v>
      </c>
      <c r="K39" s="2869" t="str">
        <f>IF(C39="","",ROUND(C39*F39*H39,2))</f>
        <v/>
      </c>
      <c r="L39" s="2870"/>
      <c r="M39" s="589" t="s">
        <v>1098</v>
      </c>
      <c r="N39" s="591"/>
      <c r="O39" s="566"/>
    </row>
    <row r="40" spans="2:18" ht="17.25" customHeight="1">
      <c r="B40" s="568"/>
      <c r="C40" s="2871" t="s">
        <v>1099</v>
      </c>
      <c r="D40" s="2871"/>
      <c r="E40" s="2871"/>
      <c r="F40" s="2871"/>
      <c r="G40" s="2871"/>
      <c r="H40" s="2871"/>
      <c r="I40" s="2871"/>
      <c r="J40" s="2871"/>
      <c r="K40" s="2871"/>
      <c r="L40" s="2871"/>
      <c r="M40" s="2871"/>
      <c r="N40" s="2871"/>
      <c r="O40" s="2872"/>
    </row>
    <row r="41" spans="2:18" ht="17.25" customHeight="1">
      <c r="B41" s="592"/>
      <c r="C41" s="563"/>
      <c r="D41" s="563"/>
      <c r="E41" s="563"/>
      <c r="F41" s="563"/>
      <c r="G41" s="563"/>
      <c r="H41" s="563"/>
      <c r="I41" s="563"/>
      <c r="J41" s="593"/>
      <c r="K41" s="563"/>
      <c r="L41" s="563"/>
      <c r="M41" s="563"/>
      <c r="N41" s="561"/>
      <c r="O41" s="562"/>
      <c r="P41" s="594"/>
    </row>
    <row r="42" spans="2:18" ht="13.5" customHeight="1">
      <c r="B42" s="106"/>
      <c r="E42" s="322"/>
      <c r="F42" s="106"/>
      <c r="G42" s="106"/>
      <c r="H42" s="106"/>
      <c r="I42" s="106"/>
      <c r="J42" s="106"/>
      <c r="K42" s="106"/>
    </row>
    <row r="43" spans="2:18" ht="25.2" customHeight="1">
      <c r="B43" s="2864" t="s">
        <v>1100</v>
      </c>
      <c r="C43" s="2865"/>
      <c r="D43" s="2865"/>
      <c r="E43" s="2865"/>
      <c r="F43" s="2865"/>
      <c r="G43" s="2865"/>
      <c r="H43" s="2865"/>
      <c r="I43" s="2865"/>
      <c r="J43" s="2865"/>
      <c r="K43" s="2865"/>
      <c r="L43" s="2865"/>
      <c r="M43" s="2865"/>
      <c r="N43" s="2865"/>
      <c r="O43" s="2865"/>
    </row>
    <row r="44" spans="2:18" ht="7.5" customHeight="1"/>
    <row r="45" spans="2:18" ht="25.2" customHeight="1">
      <c r="B45" s="1949" t="s">
        <v>1101</v>
      </c>
      <c r="C45" s="1949"/>
      <c r="D45" s="1949"/>
      <c r="E45" s="1949"/>
      <c r="F45" s="1949"/>
      <c r="G45" s="595" t="str">
        <f>IF($K$39&lt;=750,$R$45,$R$46)</f>
        <v>-</v>
      </c>
      <c r="H45" s="2847" t="s">
        <v>1102</v>
      </c>
      <c r="I45" s="2848"/>
      <c r="J45" s="2848"/>
      <c r="K45" s="2848"/>
      <c r="L45" s="2848"/>
      <c r="M45" s="2849"/>
      <c r="R45" s="559" t="s">
        <v>525</v>
      </c>
    </row>
    <row r="46" spans="2:18" ht="25.2" customHeight="1">
      <c r="B46" s="1949" t="s">
        <v>1754</v>
      </c>
      <c r="C46" s="1949"/>
      <c r="D46" s="1949"/>
      <c r="E46" s="1949"/>
      <c r="F46" s="1949"/>
      <c r="G46" s="595" t="str">
        <f>IF($K$39&gt;750,$R$45,$R$46)</f>
        <v>〇</v>
      </c>
      <c r="H46" s="2850" t="s">
        <v>1755</v>
      </c>
      <c r="I46" s="2851"/>
      <c r="J46" s="2851"/>
      <c r="K46" s="2851"/>
      <c r="L46" s="2851"/>
      <c r="M46" s="2866"/>
      <c r="R46" s="559" t="s">
        <v>1103</v>
      </c>
    </row>
    <row r="47" spans="2:18" ht="25.2" customHeight="1">
      <c r="B47" s="12"/>
      <c r="C47" s="12"/>
      <c r="D47" s="12"/>
      <c r="E47" s="12"/>
      <c r="F47" s="12"/>
      <c r="G47" s="869"/>
      <c r="H47" s="870"/>
      <c r="I47" s="870"/>
      <c r="J47" s="870"/>
      <c r="K47" s="870"/>
      <c r="L47" s="870"/>
      <c r="M47" s="870"/>
      <c r="N47" s="2"/>
      <c r="O47" s="2"/>
      <c r="R47" s="867"/>
    </row>
    <row r="48" spans="2:18" ht="25.2" customHeight="1">
      <c r="B48" s="1847" t="s">
        <v>1758</v>
      </c>
      <c r="C48" s="1847"/>
      <c r="D48" s="1847"/>
      <c r="E48" s="1847"/>
      <c r="F48" s="1847"/>
      <c r="G48" s="1847"/>
      <c r="H48" s="1847"/>
      <c r="I48" s="1847"/>
      <c r="J48" s="1847"/>
      <c r="K48" s="1847"/>
      <c r="L48" s="1847"/>
      <c r="M48" s="1847"/>
      <c r="N48" s="1847"/>
      <c r="O48" s="1847"/>
      <c r="R48" s="867"/>
    </row>
    <row r="49" spans="2:18" ht="45" customHeight="1">
      <c r="B49" s="1597" t="s">
        <v>1757</v>
      </c>
      <c r="C49" s="1597"/>
      <c r="D49" s="1597"/>
      <c r="E49" s="1597"/>
      <c r="F49" s="1597"/>
      <c r="G49" s="1597"/>
      <c r="H49" s="1597"/>
      <c r="I49" s="1597"/>
      <c r="J49" s="1597"/>
      <c r="K49" s="1597"/>
      <c r="L49" s="1597"/>
      <c r="M49" s="1597"/>
      <c r="N49" s="1597"/>
      <c r="O49" s="1597"/>
      <c r="R49" s="867"/>
    </row>
    <row r="50" spans="2:18" ht="63" customHeight="1">
      <c r="B50" s="1597" t="s">
        <v>1756</v>
      </c>
      <c r="C50" s="1597"/>
      <c r="D50" s="1597"/>
      <c r="E50" s="1597"/>
      <c r="F50" s="1597"/>
      <c r="G50" s="1597"/>
      <c r="H50" s="1597"/>
      <c r="I50" s="1597"/>
      <c r="J50" s="1597"/>
      <c r="K50" s="1597"/>
      <c r="L50" s="1597"/>
      <c r="M50" s="1597"/>
      <c r="N50" s="1597"/>
      <c r="O50" s="1597"/>
      <c r="R50" s="867"/>
    </row>
    <row r="51" spans="2:18" ht="7.5" customHeight="1"/>
  </sheetData>
  <mergeCells count="48">
    <mergeCell ref="B49:O49"/>
    <mergeCell ref="B50:O50"/>
    <mergeCell ref="B48:O48"/>
    <mergeCell ref="B35:O35"/>
    <mergeCell ref="B46:F46"/>
    <mergeCell ref="H46:M46"/>
    <mergeCell ref="C37:N37"/>
    <mergeCell ref="K39:L39"/>
    <mergeCell ref="C40:O40"/>
    <mergeCell ref="B43:O43"/>
    <mergeCell ref="B45:F45"/>
    <mergeCell ref="H45:M45"/>
    <mergeCell ref="B22:O22"/>
    <mergeCell ref="B24:O24"/>
    <mergeCell ref="B26:O26"/>
    <mergeCell ref="B33:O33"/>
    <mergeCell ref="B34:O34"/>
    <mergeCell ref="B28:O28"/>
    <mergeCell ref="B30:F30"/>
    <mergeCell ref="H30:M30"/>
    <mergeCell ref="B31:F31"/>
    <mergeCell ref="H31:M31"/>
    <mergeCell ref="C19:E19"/>
    <mergeCell ref="F19:H19"/>
    <mergeCell ref="J19:L19"/>
    <mergeCell ref="C20:E20"/>
    <mergeCell ref="F20:H20"/>
    <mergeCell ref="J20:L20"/>
    <mergeCell ref="C17:E17"/>
    <mergeCell ref="F17:H17"/>
    <mergeCell ref="J17:L17"/>
    <mergeCell ref="M17:O17"/>
    <mergeCell ref="C18:E18"/>
    <mergeCell ref="F18:H18"/>
    <mergeCell ref="J18:L18"/>
    <mergeCell ref="M18:O18"/>
    <mergeCell ref="N12:O12"/>
    <mergeCell ref="B13:O13"/>
    <mergeCell ref="C16:E16"/>
    <mergeCell ref="F16:H16"/>
    <mergeCell ref="J16:L16"/>
    <mergeCell ref="M16:O16"/>
    <mergeCell ref="B2:O2"/>
    <mergeCell ref="B4:O4"/>
    <mergeCell ref="B6:O6"/>
    <mergeCell ref="B7:O7"/>
    <mergeCell ref="N9:N10"/>
    <mergeCell ref="O9:O10"/>
  </mergeCells>
  <phoneticPr fontId="3"/>
  <pageMargins left="0.7" right="0.7" top="0.75" bottom="0.75" header="0.3" footer="0.3"/>
  <pageSetup paperSize="9" scale="70" orientation="portrait" r:id="rId1"/>
  <colBreaks count="1" manualBreakCount="1">
    <brk id="16"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B2:AK35"/>
  <sheetViews>
    <sheetView view="pageBreakPreview" zoomScaleNormal="100" zoomScaleSheetLayoutView="100" workbookViewId="0"/>
  </sheetViews>
  <sheetFormatPr defaultColWidth="9" defaultRowHeight="13.2"/>
  <cols>
    <col min="1" max="1" width="1.44140625" style="102" customWidth="1"/>
    <col min="2" max="26" width="3.6640625" style="102" customWidth="1"/>
    <col min="27" max="27" width="1.21875" style="102" customWidth="1"/>
    <col min="28" max="38" width="3.6640625" style="102" customWidth="1"/>
    <col min="39" max="39" width="1" style="102" customWidth="1"/>
    <col min="40" max="61" width="3.6640625" style="102" customWidth="1"/>
    <col min="62" max="16384" width="9" style="102"/>
  </cols>
  <sheetData>
    <row r="2" spans="2:37">
      <c r="B2" s="101" t="s">
        <v>675</v>
      </c>
    </row>
    <row r="3" spans="2:37">
      <c r="C3" s="2841" t="s">
        <v>676</v>
      </c>
      <c r="D3" s="2841"/>
      <c r="E3" s="2841"/>
      <c r="F3" s="2841"/>
      <c r="G3" s="2841"/>
      <c r="H3" s="2841"/>
      <c r="I3" s="2841"/>
      <c r="J3" s="2841"/>
      <c r="K3" s="2841"/>
      <c r="L3" s="2841"/>
      <c r="M3" s="2841"/>
      <c r="N3" s="2841"/>
      <c r="O3" s="2841"/>
      <c r="P3" s="2841"/>
      <c r="Q3" s="2841"/>
      <c r="R3" s="2841"/>
      <c r="S3" s="2841"/>
      <c r="T3" s="2841"/>
      <c r="U3" s="2841"/>
      <c r="V3" s="2841"/>
      <c r="W3" s="2841"/>
      <c r="X3" s="2841"/>
      <c r="Y3" s="2841"/>
      <c r="Z3" s="353"/>
      <c r="AA3" s="353"/>
      <c r="AB3" s="353"/>
      <c r="AC3" s="353"/>
      <c r="AD3" s="353"/>
      <c r="AE3" s="353"/>
      <c r="AF3" s="353"/>
      <c r="AG3" s="353"/>
      <c r="AH3" s="353"/>
      <c r="AI3" s="353"/>
      <c r="AJ3" s="353"/>
      <c r="AK3" s="353"/>
    </row>
    <row r="4" spans="2:37">
      <c r="AC4" s="355" t="s">
        <v>677</v>
      </c>
    </row>
    <row r="5" spans="2:37">
      <c r="B5" s="101"/>
      <c r="AC5" s="355" t="s">
        <v>123</v>
      </c>
    </row>
    <row r="6" spans="2:37">
      <c r="B6" s="101"/>
    </row>
    <row r="7" spans="2:37">
      <c r="C7" s="225" t="s">
        <v>678</v>
      </c>
      <c r="D7" s="351"/>
      <c r="E7" s="351"/>
      <c r="F7" s="351"/>
      <c r="G7" s="351"/>
      <c r="H7" s="351"/>
      <c r="I7" s="351"/>
      <c r="J7" s="351"/>
      <c r="K7" s="351"/>
      <c r="L7" s="351"/>
      <c r="M7" s="351"/>
      <c r="N7" s="351"/>
      <c r="O7" s="351"/>
      <c r="P7" s="351"/>
      <c r="Q7" s="351"/>
      <c r="R7" s="351"/>
      <c r="S7" s="351"/>
      <c r="T7" s="351"/>
      <c r="U7" s="351"/>
      <c r="V7" s="351"/>
      <c r="W7" s="351"/>
      <c r="X7" s="351"/>
      <c r="Y7" s="352"/>
      <c r="Z7" s="353"/>
      <c r="AA7" s="353"/>
      <c r="AB7" s="353"/>
      <c r="AC7" s="353"/>
      <c r="AD7" s="353"/>
      <c r="AE7" s="353"/>
      <c r="AF7" s="353"/>
      <c r="AG7" s="353"/>
      <c r="AH7" s="353"/>
      <c r="AI7" s="353"/>
      <c r="AJ7" s="353"/>
      <c r="AK7" s="353"/>
    </row>
    <row r="8" spans="2:37">
      <c r="C8" s="224"/>
      <c r="D8" s="353"/>
      <c r="E8" s="353"/>
      <c r="F8" s="353"/>
      <c r="G8" s="353"/>
      <c r="H8" s="353"/>
      <c r="I8" s="353"/>
      <c r="J8" s="353"/>
      <c r="K8" s="353"/>
      <c r="L8" s="353"/>
      <c r="M8" s="353"/>
      <c r="N8" s="353"/>
      <c r="O8" s="353"/>
      <c r="P8" s="353"/>
      <c r="Q8" s="353"/>
      <c r="R8" s="353"/>
      <c r="S8" s="353"/>
      <c r="T8" s="353"/>
      <c r="U8" s="353"/>
      <c r="V8" s="353"/>
      <c r="W8" s="353"/>
      <c r="X8" s="353"/>
      <c r="Y8" s="354"/>
      <c r="Z8" s="353"/>
      <c r="AA8" s="353"/>
      <c r="AB8" s="353"/>
      <c r="AC8" s="353"/>
      <c r="AD8" s="353"/>
      <c r="AE8" s="353"/>
      <c r="AF8" s="353"/>
      <c r="AG8" s="353"/>
      <c r="AH8" s="353"/>
      <c r="AI8" s="353"/>
      <c r="AJ8" s="353"/>
      <c r="AK8" s="353"/>
    </row>
    <row r="9" spans="2:37">
      <c r="C9" s="361"/>
      <c r="D9" s="322"/>
      <c r="E9" s="217" t="s">
        <v>679</v>
      </c>
      <c r="F9" s="2876" t="s">
        <v>680</v>
      </c>
      <c r="G9" s="2876"/>
      <c r="H9" s="2876"/>
      <c r="I9" s="362"/>
      <c r="J9" s="362"/>
      <c r="K9" s="362"/>
      <c r="L9" s="217" t="s">
        <v>679</v>
      </c>
      <c r="M9" s="1444" t="s">
        <v>681</v>
      </c>
      <c r="N9" s="1444"/>
      <c r="O9" s="1444"/>
      <c r="P9" s="1444"/>
      <c r="Q9" s="1444"/>
      <c r="Y9" s="363"/>
      <c r="Z9" s="322"/>
      <c r="AA9" s="322"/>
      <c r="AB9" s="322"/>
      <c r="AC9" s="322"/>
      <c r="AD9" s="322"/>
      <c r="AE9" s="322"/>
      <c r="AF9" s="322"/>
      <c r="AG9" s="322"/>
      <c r="AH9" s="322"/>
      <c r="AI9" s="322"/>
      <c r="AJ9" s="322"/>
      <c r="AK9" s="322"/>
    </row>
    <row r="10" spans="2:37">
      <c r="C10" s="364"/>
      <c r="D10" s="365"/>
      <c r="E10" s="365"/>
      <c r="F10" s="365"/>
      <c r="G10" s="365"/>
      <c r="H10" s="365"/>
      <c r="I10" s="365"/>
      <c r="J10" s="365"/>
      <c r="K10" s="365"/>
      <c r="L10" s="365"/>
      <c r="M10" s="365"/>
      <c r="N10" s="365"/>
      <c r="O10" s="365"/>
      <c r="P10" s="365"/>
      <c r="Q10" s="365"/>
      <c r="R10" s="365"/>
      <c r="S10" s="365"/>
      <c r="T10" s="365"/>
      <c r="U10" s="365"/>
      <c r="V10" s="365"/>
      <c r="W10" s="365"/>
      <c r="X10" s="365"/>
      <c r="Y10" s="366"/>
      <c r="Z10" s="322"/>
      <c r="AA10" s="322"/>
      <c r="AB10" s="322"/>
      <c r="AC10" s="322"/>
      <c r="AD10" s="322"/>
      <c r="AE10" s="322"/>
      <c r="AF10" s="322"/>
      <c r="AG10" s="322"/>
      <c r="AH10" s="322"/>
      <c r="AI10" s="322"/>
      <c r="AJ10" s="322"/>
      <c r="AK10" s="322"/>
    </row>
    <row r="11" spans="2:37">
      <c r="C11" s="225" t="s">
        <v>682</v>
      </c>
      <c r="D11" s="351"/>
      <c r="E11" s="351"/>
      <c r="F11" s="351"/>
      <c r="G11" s="351"/>
      <c r="H11" s="351"/>
      <c r="I11" s="351"/>
      <c r="J11" s="351"/>
      <c r="K11" s="351"/>
      <c r="L11" s="351"/>
      <c r="M11" s="351"/>
      <c r="N11" s="351"/>
      <c r="O11" s="351"/>
      <c r="P11" s="351"/>
      <c r="Q11" s="351"/>
      <c r="R11" s="351"/>
      <c r="S11" s="351"/>
      <c r="T11" s="351"/>
      <c r="U11" s="351"/>
      <c r="V11" s="351"/>
      <c r="W11" s="351"/>
      <c r="X11" s="351"/>
      <c r="Y11" s="352"/>
      <c r="Z11" s="353"/>
      <c r="AA11" s="353"/>
      <c r="AB11" s="353"/>
      <c r="AC11" s="353"/>
      <c r="AD11" s="353"/>
      <c r="AE11" s="353"/>
      <c r="AF11" s="353"/>
      <c r="AG11" s="353"/>
      <c r="AH11" s="353"/>
      <c r="AI11" s="353"/>
      <c r="AJ11" s="353"/>
      <c r="AK11" s="353"/>
    </row>
    <row r="12" spans="2:37">
      <c r="C12" s="224"/>
      <c r="D12" s="353"/>
      <c r="E12" s="353"/>
      <c r="F12" s="353"/>
      <c r="G12" s="353"/>
      <c r="H12" s="353"/>
      <c r="I12" s="353"/>
      <c r="J12" s="353"/>
      <c r="K12" s="353"/>
      <c r="L12" s="353"/>
      <c r="M12" s="353"/>
      <c r="N12" s="353"/>
      <c r="O12" s="353"/>
      <c r="P12" s="353"/>
      <c r="Q12" s="353"/>
      <c r="R12" s="353"/>
      <c r="S12" s="353"/>
      <c r="T12" s="353"/>
      <c r="U12" s="353"/>
      <c r="V12" s="353"/>
      <c r="W12" s="353"/>
      <c r="X12" s="353"/>
      <c r="Y12" s="354"/>
      <c r="Z12" s="353"/>
      <c r="AA12" s="353"/>
      <c r="AB12" s="353"/>
      <c r="AC12" s="353"/>
      <c r="AD12" s="353"/>
      <c r="AE12" s="353"/>
      <c r="AF12" s="353"/>
      <c r="AG12" s="353"/>
      <c r="AH12" s="353"/>
      <c r="AI12" s="353"/>
      <c r="AJ12" s="353"/>
      <c r="AK12" s="353"/>
    </row>
    <row r="13" spans="2:37">
      <c r="C13" s="361"/>
      <c r="D13" s="2874"/>
      <c r="E13" s="2874"/>
      <c r="F13" s="2874"/>
      <c r="G13" s="2874"/>
      <c r="H13" s="2874"/>
      <c r="I13" s="2874"/>
      <c r="J13" s="2874"/>
      <c r="K13" s="2874"/>
      <c r="L13" s="2874"/>
      <c r="M13" s="2874"/>
      <c r="N13" s="2874"/>
      <c r="O13" s="2874"/>
      <c r="P13" s="2874"/>
      <c r="Q13" s="2874"/>
      <c r="R13" s="2874"/>
      <c r="S13" s="2874"/>
      <c r="T13" s="2874"/>
      <c r="U13" s="2874"/>
      <c r="V13" s="2874"/>
      <c r="W13" s="2874"/>
      <c r="X13" s="2874"/>
      <c r="Y13" s="354"/>
      <c r="Z13" s="353"/>
      <c r="AA13" s="353"/>
      <c r="AB13" s="353"/>
      <c r="AC13" s="353"/>
      <c r="AD13" s="353"/>
      <c r="AE13" s="353"/>
      <c r="AG13" s="353"/>
      <c r="AI13" s="353"/>
      <c r="AJ13" s="353"/>
    </row>
    <row r="14" spans="2:37">
      <c r="C14" s="361"/>
      <c r="D14" s="2874"/>
      <c r="E14" s="2874"/>
      <c r="F14" s="2874"/>
      <c r="G14" s="2874"/>
      <c r="H14" s="2874"/>
      <c r="I14" s="2874"/>
      <c r="J14" s="2874"/>
      <c r="K14" s="2874"/>
      <c r="L14" s="2874"/>
      <c r="M14" s="2874"/>
      <c r="N14" s="2874"/>
      <c r="O14" s="2874"/>
      <c r="P14" s="2874"/>
      <c r="Q14" s="2874"/>
      <c r="R14" s="2874"/>
      <c r="S14" s="2874"/>
      <c r="T14" s="2874"/>
      <c r="U14" s="2874"/>
      <c r="V14" s="2874"/>
      <c r="W14" s="2874"/>
      <c r="X14" s="2874"/>
      <c r="Y14" s="363"/>
      <c r="Z14" s="322"/>
      <c r="AA14" s="322"/>
      <c r="AB14" s="322"/>
      <c r="AC14" s="322"/>
      <c r="AD14" s="322"/>
      <c r="AE14" s="322"/>
      <c r="AF14" s="322"/>
      <c r="AG14" s="322"/>
      <c r="AH14" s="322"/>
      <c r="AI14" s="322"/>
      <c r="AJ14" s="322"/>
      <c r="AK14" s="322"/>
    </row>
    <row r="15" spans="2:37">
      <c r="C15" s="367"/>
      <c r="D15" s="365"/>
      <c r="E15" s="365"/>
      <c r="F15" s="365"/>
      <c r="G15" s="365"/>
      <c r="H15" s="365"/>
      <c r="I15" s="365"/>
      <c r="J15" s="365"/>
      <c r="K15" s="365"/>
      <c r="L15" s="365"/>
      <c r="M15" s="365"/>
      <c r="N15" s="365"/>
      <c r="O15" s="365"/>
      <c r="P15" s="365"/>
      <c r="Q15" s="365"/>
      <c r="R15" s="365"/>
      <c r="S15" s="365"/>
      <c r="T15" s="365"/>
      <c r="U15" s="365"/>
      <c r="V15" s="365"/>
      <c r="W15" s="365"/>
      <c r="X15" s="365"/>
      <c r="Y15" s="366"/>
      <c r="Z15" s="322"/>
      <c r="AA15" s="322"/>
      <c r="AB15" s="322"/>
      <c r="AC15" s="322"/>
      <c r="AD15" s="322"/>
      <c r="AE15" s="322"/>
      <c r="AF15" s="322"/>
      <c r="AG15" s="322"/>
      <c r="AH15" s="322"/>
      <c r="AI15" s="322"/>
      <c r="AJ15" s="322"/>
      <c r="AK15" s="322"/>
    </row>
    <row r="16" spans="2:37">
      <c r="D16" s="322"/>
      <c r="E16" s="322"/>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row>
    <row r="17" spans="2:37">
      <c r="C17" s="2875" t="s">
        <v>683</v>
      </c>
      <c r="D17" s="2875"/>
      <c r="E17" s="2875"/>
      <c r="F17" s="2875"/>
      <c r="G17" s="2875"/>
      <c r="H17" s="2875"/>
    </row>
    <row r="18" spans="2:37" ht="13.5" customHeight="1">
      <c r="D18" s="2873" t="s">
        <v>1032</v>
      </c>
      <c r="E18" s="2873"/>
      <c r="F18" s="2873"/>
      <c r="G18" s="2873"/>
      <c r="H18" s="2873"/>
      <c r="I18" s="2873"/>
      <c r="J18" s="2873"/>
      <c r="K18" s="2873"/>
      <c r="L18" s="2873"/>
      <c r="M18" s="2873"/>
      <c r="N18" s="2873"/>
      <c r="O18" s="2873"/>
      <c r="P18" s="2873"/>
      <c r="Q18" s="2873"/>
      <c r="R18" s="2873"/>
      <c r="S18" s="2873"/>
      <c r="T18" s="2873"/>
      <c r="U18" s="2873"/>
      <c r="V18" s="2873"/>
      <c r="W18" s="2873"/>
      <c r="X18" s="2873"/>
      <c r="Y18" s="106"/>
      <c r="Z18" s="106"/>
      <c r="AA18" s="106"/>
      <c r="AB18" s="106"/>
      <c r="AC18" s="106"/>
      <c r="AD18" s="106"/>
      <c r="AE18" s="106"/>
      <c r="AF18" s="106"/>
      <c r="AG18" s="106"/>
      <c r="AH18" s="106"/>
      <c r="AI18" s="106"/>
      <c r="AJ18" s="106"/>
      <c r="AK18" s="106"/>
    </row>
    <row r="19" spans="2:37">
      <c r="D19" s="2873"/>
      <c r="E19" s="2873"/>
      <c r="F19" s="2873"/>
      <c r="G19" s="2873"/>
      <c r="H19" s="2873"/>
      <c r="I19" s="2873"/>
      <c r="J19" s="2873"/>
      <c r="K19" s="2873"/>
      <c r="L19" s="2873"/>
      <c r="M19" s="2873"/>
      <c r="N19" s="2873"/>
      <c r="O19" s="2873"/>
      <c r="P19" s="2873"/>
      <c r="Q19" s="2873"/>
      <c r="R19" s="2873"/>
      <c r="S19" s="2873"/>
      <c r="T19" s="2873"/>
      <c r="U19" s="2873"/>
      <c r="V19" s="2873"/>
      <c r="W19" s="2873"/>
      <c r="X19" s="2873"/>
      <c r="Y19" s="106"/>
      <c r="Z19" s="106"/>
      <c r="AA19" s="106"/>
      <c r="AB19" s="106"/>
      <c r="AC19" s="106"/>
      <c r="AD19" s="106"/>
      <c r="AE19" s="106"/>
      <c r="AF19" s="106"/>
      <c r="AG19" s="106"/>
      <c r="AH19" s="106"/>
      <c r="AI19" s="106"/>
      <c r="AJ19" s="106"/>
      <c r="AK19" s="106"/>
    </row>
    <row r="20" spans="2:37">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row>
    <row r="21" spans="2:37">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22"/>
      <c r="AJ21" s="322"/>
      <c r="AK21" s="322"/>
    </row>
    <row r="23" spans="2:37">
      <c r="B23" s="101"/>
    </row>
    <row r="25" spans="2:37">
      <c r="C25" s="353"/>
      <c r="D25" s="353"/>
      <c r="E25" s="353"/>
      <c r="F25" s="353"/>
      <c r="G25" s="353"/>
      <c r="H25" s="353"/>
      <c r="I25" s="368"/>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row>
    <row r="26" spans="2:37">
      <c r="C26" s="353"/>
      <c r="D26" s="353"/>
      <c r="E26" s="353"/>
      <c r="F26" s="353"/>
      <c r="G26" s="353"/>
      <c r="H26" s="353"/>
      <c r="I26" s="353"/>
      <c r="J26" s="353"/>
      <c r="K26" s="353"/>
      <c r="L26" s="353"/>
      <c r="M26" s="353"/>
      <c r="N26" s="353"/>
      <c r="O26" s="353"/>
      <c r="P26" s="353"/>
      <c r="Q26" s="353"/>
      <c r="R26" s="353"/>
      <c r="S26" s="353"/>
      <c r="T26" s="353"/>
      <c r="U26" s="353"/>
      <c r="V26" s="353"/>
      <c r="W26" s="353"/>
      <c r="X26" s="353"/>
      <c r="Y26" s="353"/>
      <c r="Z26" s="353"/>
      <c r="AA26" s="353"/>
      <c r="AB26" s="353"/>
      <c r="AC26" s="353"/>
      <c r="AD26" s="353"/>
      <c r="AE26" s="353"/>
      <c r="AG26" s="353"/>
      <c r="AI26" s="353"/>
      <c r="AJ26" s="353"/>
    </row>
    <row r="27" spans="2:37">
      <c r="C27" s="353"/>
      <c r="D27" s="353"/>
      <c r="E27" s="353"/>
      <c r="F27" s="353"/>
      <c r="G27" s="353"/>
      <c r="H27" s="353"/>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row>
    <row r="28" spans="2:37">
      <c r="C28" s="353"/>
      <c r="D28" s="353"/>
      <c r="E28" s="353"/>
      <c r="F28" s="353"/>
      <c r="G28" s="353"/>
      <c r="H28" s="353"/>
      <c r="I28" s="322"/>
      <c r="J28" s="322"/>
      <c r="K28" s="322"/>
      <c r="L28" s="322"/>
      <c r="M28" s="322"/>
      <c r="N28" s="322"/>
      <c r="O28" s="322"/>
      <c r="P28" s="322"/>
      <c r="Q28" s="322"/>
      <c r="R28" s="322"/>
      <c r="S28" s="322"/>
      <c r="T28" s="322"/>
      <c r="U28" s="322"/>
      <c r="V28" s="322"/>
      <c r="W28" s="322"/>
      <c r="X28" s="322"/>
      <c r="Y28" s="322"/>
      <c r="Z28" s="322"/>
      <c r="AA28" s="322"/>
      <c r="AB28" s="322"/>
      <c r="AC28" s="322"/>
      <c r="AD28" s="322"/>
      <c r="AE28" s="322"/>
      <c r="AF28" s="322"/>
      <c r="AG28" s="322"/>
      <c r="AH28" s="322"/>
      <c r="AI28" s="322"/>
      <c r="AJ28" s="322"/>
      <c r="AK28" s="322"/>
    </row>
    <row r="29" spans="2:37">
      <c r="C29" s="353"/>
      <c r="D29" s="353"/>
      <c r="E29" s="353"/>
      <c r="F29" s="353"/>
      <c r="G29" s="353"/>
      <c r="H29" s="353"/>
      <c r="I29" s="322"/>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22"/>
      <c r="AJ29" s="322"/>
      <c r="AK29" s="322"/>
    </row>
    <row r="30" spans="2:37">
      <c r="C30" s="353"/>
      <c r="D30" s="353"/>
      <c r="E30" s="353"/>
      <c r="F30" s="353"/>
      <c r="G30" s="353"/>
      <c r="H30" s="353"/>
      <c r="I30" s="322"/>
      <c r="J30" s="322"/>
      <c r="K30" s="322"/>
      <c r="L30" s="322"/>
      <c r="M30" s="322"/>
      <c r="N30" s="322"/>
      <c r="O30" s="322"/>
      <c r="P30" s="322"/>
      <c r="Q30" s="322"/>
      <c r="R30" s="322"/>
      <c r="S30" s="322"/>
      <c r="T30" s="322"/>
      <c r="U30" s="322"/>
      <c r="V30" s="322"/>
      <c r="W30" s="322"/>
      <c r="X30" s="322"/>
      <c r="Y30" s="322"/>
      <c r="Z30" s="322"/>
      <c r="AA30" s="322"/>
      <c r="AB30" s="322"/>
      <c r="AC30" s="322"/>
      <c r="AD30" s="322"/>
      <c r="AE30" s="322"/>
      <c r="AF30" s="322"/>
      <c r="AG30" s="322"/>
      <c r="AH30" s="322"/>
      <c r="AI30" s="322"/>
      <c r="AJ30" s="322"/>
      <c r="AK30" s="322"/>
    </row>
    <row r="31" spans="2:37">
      <c r="C31" s="353"/>
      <c r="D31" s="353"/>
      <c r="E31" s="353"/>
      <c r="F31" s="353"/>
      <c r="G31" s="353"/>
      <c r="H31" s="353"/>
      <c r="I31" s="322"/>
      <c r="J31" s="322"/>
      <c r="K31" s="322"/>
      <c r="L31" s="322"/>
      <c r="M31" s="322"/>
      <c r="N31" s="322"/>
      <c r="O31" s="322"/>
      <c r="P31" s="322"/>
      <c r="Q31" s="322"/>
      <c r="R31" s="322"/>
      <c r="S31" s="322"/>
      <c r="T31" s="322"/>
      <c r="U31" s="322"/>
      <c r="V31" s="322"/>
      <c r="W31" s="322"/>
      <c r="X31" s="322"/>
      <c r="Y31" s="322"/>
      <c r="Z31" s="322"/>
      <c r="AA31" s="322"/>
      <c r="AB31" s="322"/>
      <c r="AC31" s="322"/>
      <c r="AD31" s="322"/>
      <c r="AE31" s="322"/>
      <c r="AF31" s="322"/>
      <c r="AG31" s="322"/>
      <c r="AH31" s="322"/>
      <c r="AI31" s="322"/>
      <c r="AJ31" s="322"/>
      <c r="AK31" s="322"/>
    </row>
    <row r="34" spans="4:37">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row>
    <row r="35" spans="4:37">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row>
  </sheetData>
  <mergeCells count="6">
    <mergeCell ref="D18:X19"/>
    <mergeCell ref="C3:Y3"/>
    <mergeCell ref="M9:Q9"/>
    <mergeCell ref="D13:X14"/>
    <mergeCell ref="C17:H17"/>
    <mergeCell ref="F9:H9"/>
  </mergeCells>
  <phoneticPr fontId="3"/>
  <dataValidations count="1">
    <dataValidation type="list" allowBlank="1" showInputMessage="1" showErrorMessage="1" sqref="E9 L9" xr:uid="{00000000-0002-0000-1900-000000000000}">
      <formula1>$AC$4:$AC$5</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59999389629810485"/>
    <pageSetUpPr fitToPage="1"/>
  </sheetPr>
  <dimension ref="B2:AD52"/>
  <sheetViews>
    <sheetView view="pageBreakPreview" topLeftCell="A25" zoomScaleNormal="100" zoomScaleSheetLayoutView="100" workbookViewId="0"/>
  </sheetViews>
  <sheetFormatPr defaultColWidth="9" defaultRowHeight="13.2"/>
  <cols>
    <col min="1" max="1" width="1.44140625" style="102" customWidth="1"/>
    <col min="2" max="27" width="3.6640625" style="102" customWidth="1"/>
    <col min="28" max="28" width="1" style="102" customWidth="1"/>
    <col min="29" max="50" width="3.6640625" style="102" customWidth="1"/>
    <col min="51" max="16384" width="9" style="102"/>
  </cols>
  <sheetData>
    <row r="2" spans="2:30">
      <c r="B2" s="101" t="s">
        <v>684</v>
      </c>
      <c r="AD2" s="355" t="s">
        <v>122</v>
      </c>
    </row>
    <row r="3" spans="2:30">
      <c r="C3" s="2841" t="s">
        <v>685</v>
      </c>
      <c r="D3" s="2841"/>
      <c r="E3" s="2841"/>
      <c r="F3" s="2841"/>
      <c r="G3" s="2841"/>
      <c r="H3" s="2841"/>
      <c r="I3" s="2841"/>
      <c r="J3" s="2841"/>
      <c r="K3" s="2841"/>
      <c r="L3" s="2841"/>
      <c r="M3" s="2841"/>
      <c r="N3" s="2841"/>
      <c r="O3" s="2841"/>
      <c r="P3" s="2841"/>
      <c r="Q3" s="2841"/>
      <c r="R3" s="2841"/>
      <c r="S3" s="2841"/>
      <c r="T3" s="2841"/>
      <c r="U3" s="2841"/>
      <c r="V3" s="2841"/>
      <c r="W3" s="2841"/>
      <c r="X3" s="2841"/>
      <c r="Y3" s="2841"/>
      <c r="Z3" s="2841"/>
      <c r="AD3" s="355" t="s">
        <v>123</v>
      </c>
    </row>
    <row r="5" spans="2:30">
      <c r="B5" s="101" t="s">
        <v>686</v>
      </c>
    </row>
    <row r="6" spans="2:30">
      <c r="B6" s="101"/>
    </row>
    <row r="7" spans="2:30" ht="27" customHeight="1">
      <c r="C7" s="2877" t="s">
        <v>687</v>
      </c>
      <c r="D7" s="2878"/>
      <c r="E7" s="2878"/>
      <c r="F7" s="2878"/>
      <c r="G7" s="2878"/>
      <c r="H7" s="2878"/>
      <c r="I7" s="2878"/>
      <c r="J7" s="2879"/>
      <c r="K7" s="2877" t="s">
        <v>752</v>
      </c>
      <c r="L7" s="2878"/>
      <c r="M7" s="2878"/>
      <c r="N7" s="2878"/>
      <c r="O7" s="2878"/>
      <c r="P7" s="2878"/>
      <c r="Q7" s="2879"/>
      <c r="R7" s="2877" t="s">
        <v>736</v>
      </c>
      <c r="S7" s="2878"/>
      <c r="T7" s="2878"/>
      <c r="U7" s="2878"/>
      <c r="V7" s="2879"/>
      <c r="W7" s="2877" t="s">
        <v>688</v>
      </c>
      <c r="X7" s="2878"/>
      <c r="Y7" s="2878"/>
      <c r="Z7" s="2879"/>
    </row>
    <row r="8" spans="2:30">
      <c r="C8" s="2880"/>
      <c r="D8" s="2881"/>
      <c r="E8" s="2881"/>
      <c r="F8" s="2881"/>
      <c r="G8" s="2881"/>
      <c r="H8" s="2881"/>
      <c r="I8" s="2881"/>
      <c r="J8" s="2882"/>
      <c r="K8" s="2880"/>
      <c r="L8" s="2881"/>
      <c r="M8" s="2881"/>
      <c r="N8" s="2881"/>
      <c r="O8" s="2881"/>
      <c r="P8" s="2881"/>
      <c r="Q8" s="2882"/>
      <c r="R8" s="2906"/>
      <c r="S8" s="2907"/>
      <c r="T8" s="2912" t="s">
        <v>689</v>
      </c>
      <c r="U8" s="2912"/>
      <c r="V8" s="2913"/>
      <c r="X8" s="2918"/>
      <c r="Y8" s="2918"/>
      <c r="Z8" s="2900" t="s">
        <v>466</v>
      </c>
    </row>
    <row r="9" spans="2:30">
      <c r="C9" s="2883"/>
      <c r="D9" s="2884"/>
      <c r="E9" s="2884"/>
      <c r="F9" s="2884"/>
      <c r="G9" s="2884"/>
      <c r="H9" s="2884"/>
      <c r="I9" s="2884"/>
      <c r="J9" s="2885"/>
      <c r="K9" s="2883"/>
      <c r="L9" s="2884"/>
      <c r="M9" s="2884"/>
      <c r="N9" s="2884"/>
      <c r="O9" s="2884"/>
      <c r="P9" s="2884"/>
      <c r="Q9" s="2885"/>
      <c r="R9" s="2908"/>
      <c r="S9" s="2909"/>
      <c r="T9" s="2914"/>
      <c r="U9" s="2914"/>
      <c r="V9" s="2915"/>
      <c r="X9" s="2874"/>
      <c r="Y9" s="2874"/>
      <c r="Z9" s="2901"/>
    </row>
    <row r="10" spans="2:30">
      <c r="C10" s="2886"/>
      <c r="D10" s="2887"/>
      <c r="E10" s="2887"/>
      <c r="F10" s="2887"/>
      <c r="G10" s="2887"/>
      <c r="H10" s="2887"/>
      <c r="I10" s="2887"/>
      <c r="J10" s="2888"/>
      <c r="K10" s="2886"/>
      <c r="L10" s="2887"/>
      <c r="M10" s="2887"/>
      <c r="N10" s="2887"/>
      <c r="O10" s="2887"/>
      <c r="P10" s="2887"/>
      <c r="Q10" s="2888"/>
      <c r="R10" s="2910"/>
      <c r="S10" s="2911"/>
      <c r="T10" s="2916"/>
      <c r="U10" s="2916"/>
      <c r="V10" s="2917"/>
      <c r="W10" s="350"/>
      <c r="X10" s="2919"/>
      <c r="Y10" s="2919"/>
      <c r="Z10" s="2902"/>
    </row>
    <row r="11" spans="2:30">
      <c r="C11" s="2903" t="s">
        <v>690</v>
      </c>
      <c r="D11" s="2889" t="s">
        <v>691</v>
      </c>
      <c r="E11" s="2890"/>
      <c r="F11" s="2890"/>
      <c r="G11" s="2890"/>
      <c r="H11" s="2890"/>
      <c r="I11" s="2890"/>
      <c r="J11" s="2890"/>
      <c r="K11" s="2890"/>
      <c r="L11" s="2890"/>
      <c r="M11" s="2890"/>
      <c r="N11" s="2890"/>
      <c r="O11" s="2890"/>
      <c r="P11" s="2890"/>
      <c r="Q11" s="2891"/>
      <c r="R11" s="2890"/>
      <c r="S11" s="2898" t="s">
        <v>692</v>
      </c>
      <c r="T11" s="2890" t="s">
        <v>673</v>
      </c>
      <c r="U11" s="351"/>
      <c r="V11" s="2890" t="s">
        <v>672</v>
      </c>
      <c r="W11" s="351"/>
      <c r="X11" s="2898" t="s">
        <v>693</v>
      </c>
      <c r="Y11" s="2890" t="s">
        <v>674</v>
      </c>
      <c r="Z11" s="352"/>
    </row>
    <row r="12" spans="2:30">
      <c r="C12" s="2904"/>
      <c r="D12" s="2894"/>
      <c r="E12" s="2895"/>
      <c r="F12" s="2895"/>
      <c r="G12" s="2895"/>
      <c r="H12" s="2895"/>
      <c r="I12" s="2895"/>
      <c r="J12" s="2895"/>
      <c r="K12" s="2895"/>
      <c r="L12" s="2895"/>
      <c r="M12" s="2895"/>
      <c r="N12" s="2895"/>
      <c r="O12" s="2895"/>
      <c r="P12" s="2895"/>
      <c r="Q12" s="2896"/>
      <c r="R12" s="2895"/>
      <c r="S12" s="2899"/>
      <c r="T12" s="2895"/>
      <c r="U12" s="350"/>
      <c r="V12" s="2895"/>
      <c r="W12" s="350"/>
      <c r="X12" s="2899"/>
      <c r="Y12" s="2895"/>
      <c r="Z12" s="359"/>
    </row>
    <row r="13" spans="2:30">
      <c r="C13" s="2904"/>
      <c r="D13" s="2880"/>
      <c r="E13" s="2881"/>
      <c r="F13" s="2881"/>
      <c r="G13" s="2881"/>
      <c r="H13" s="2881"/>
      <c r="I13" s="2881"/>
      <c r="J13" s="2881"/>
      <c r="K13" s="2881"/>
      <c r="L13" s="2881"/>
      <c r="M13" s="2881"/>
      <c r="N13" s="2881"/>
      <c r="O13" s="2881"/>
      <c r="P13" s="2881"/>
      <c r="Q13" s="2881"/>
      <c r="R13" s="2881"/>
      <c r="S13" s="2881"/>
      <c r="T13" s="2881"/>
      <c r="U13" s="2881"/>
      <c r="V13" s="2881"/>
      <c r="W13" s="2881"/>
      <c r="X13" s="2881"/>
      <c r="Y13" s="2881"/>
      <c r="Z13" s="2882"/>
    </row>
    <row r="14" spans="2:30">
      <c r="C14" s="2904"/>
      <c r="D14" s="2883"/>
      <c r="E14" s="2884"/>
      <c r="F14" s="2884"/>
      <c r="G14" s="2884"/>
      <c r="H14" s="2884"/>
      <c r="I14" s="2884"/>
      <c r="J14" s="2884"/>
      <c r="K14" s="2884"/>
      <c r="L14" s="2884"/>
      <c r="M14" s="2884"/>
      <c r="N14" s="2884"/>
      <c r="O14" s="2884"/>
      <c r="P14" s="2884"/>
      <c r="Q14" s="2884"/>
      <c r="R14" s="2884"/>
      <c r="S14" s="2884"/>
      <c r="T14" s="2884"/>
      <c r="U14" s="2884"/>
      <c r="V14" s="2884"/>
      <c r="W14" s="2884"/>
      <c r="X14" s="2884"/>
      <c r="Y14" s="2884"/>
      <c r="Z14" s="2885"/>
    </row>
    <row r="15" spans="2:30">
      <c r="C15" s="2904"/>
      <c r="D15" s="2883"/>
      <c r="E15" s="2884"/>
      <c r="F15" s="2884"/>
      <c r="G15" s="2884"/>
      <c r="H15" s="2884"/>
      <c r="I15" s="2884"/>
      <c r="J15" s="2884"/>
      <c r="K15" s="2884"/>
      <c r="L15" s="2884"/>
      <c r="M15" s="2884"/>
      <c r="N15" s="2884"/>
      <c r="O15" s="2884"/>
      <c r="P15" s="2884"/>
      <c r="Q15" s="2884"/>
      <c r="R15" s="2884"/>
      <c r="S15" s="2884"/>
      <c r="T15" s="2884"/>
      <c r="U15" s="2884"/>
      <c r="V15" s="2884"/>
      <c r="W15" s="2884"/>
      <c r="X15" s="2884"/>
      <c r="Y15" s="2884"/>
      <c r="Z15" s="2885"/>
    </row>
    <row r="16" spans="2:30">
      <c r="C16" s="2904"/>
      <c r="D16" s="2883"/>
      <c r="E16" s="2884"/>
      <c r="F16" s="2884"/>
      <c r="G16" s="2884"/>
      <c r="H16" s="2884"/>
      <c r="I16" s="2884"/>
      <c r="J16" s="2884"/>
      <c r="K16" s="2884"/>
      <c r="L16" s="2884"/>
      <c r="M16" s="2884"/>
      <c r="N16" s="2884"/>
      <c r="O16" s="2884"/>
      <c r="P16" s="2884"/>
      <c r="Q16" s="2884"/>
      <c r="R16" s="2884"/>
      <c r="S16" s="2884"/>
      <c r="T16" s="2884"/>
      <c r="U16" s="2884"/>
      <c r="V16" s="2884"/>
      <c r="W16" s="2884"/>
      <c r="X16" s="2884"/>
      <c r="Y16" s="2884"/>
      <c r="Z16" s="2885"/>
    </row>
    <row r="17" spans="2:26">
      <c r="C17" s="2904"/>
      <c r="D17" s="2883"/>
      <c r="E17" s="2884"/>
      <c r="F17" s="2884"/>
      <c r="G17" s="2884"/>
      <c r="H17" s="2884"/>
      <c r="I17" s="2884"/>
      <c r="J17" s="2884"/>
      <c r="K17" s="2884"/>
      <c r="L17" s="2884"/>
      <c r="M17" s="2884"/>
      <c r="N17" s="2884"/>
      <c r="O17" s="2884"/>
      <c r="P17" s="2884"/>
      <c r="Q17" s="2884"/>
      <c r="R17" s="2884"/>
      <c r="S17" s="2884"/>
      <c r="T17" s="2884"/>
      <c r="U17" s="2884"/>
      <c r="V17" s="2884"/>
      <c r="W17" s="2884"/>
      <c r="X17" s="2884"/>
      <c r="Y17" s="2884"/>
      <c r="Z17" s="2885"/>
    </row>
    <row r="18" spans="2:26">
      <c r="C18" s="2904"/>
      <c r="D18" s="2883"/>
      <c r="E18" s="2884"/>
      <c r="F18" s="2884"/>
      <c r="G18" s="2884"/>
      <c r="H18" s="2884"/>
      <c r="I18" s="2884"/>
      <c r="J18" s="2884"/>
      <c r="K18" s="2884"/>
      <c r="L18" s="2884"/>
      <c r="M18" s="2884"/>
      <c r="N18" s="2884"/>
      <c r="O18" s="2884"/>
      <c r="P18" s="2884"/>
      <c r="Q18" s="2884"/>
      <c r="R18" s="2884"/>
      <c r="S18" s="2884"/>
      <c r="T18" s="2884"/>
      <c r="U18" s="2884"/>
      <c r="V18" s="2884"/>
      <c r="W18" s="2884"/>
      <c r="X18" s="2884"/>
      <c r="Y18" s="2884"/>
      <c r="Z18" s="2885"/>
    </row>
    <row r="19" spans="2:26">
      <c r="C19" s="2905"/>
      <c r="D19" s="2886"/>
      <c r="E19" s="2887"/>
      <c r="F19" s="2887"/>
      <c r="G19" s="2887"/>
      <c r="H19" s="2887"/>
      <c r="I19" s="2887"/>
      <c r="J19" s="2887"/>
      <c r="K19" s="2887"/>
      <c r="L19" s="2887"/>
      <c r="M19" s="2887"/>
      <c r="N19" s="2887"/>
      <c r="O19" s="2887"/>
      <c r="P19" s="2887"/>
      <c r="Q19" s="2887"/>
      <c r="R19" s="2887"/>
      <c r="S19" s="2887"/>
      <c r="T19" s="2887"/>
      <c r="U19" s="2887"/>
      <c r="V19" s="2887"/>
      <c r="W19" s="2887"/>
      <c r="X19" s="2887"/>
      <c r="Y19" s="2887"/>
      <c r="Z19" s="2888"/>
    </row>
    <row r="21" spans="2:26">
      <c r="B21" s="101" t="s">
        <v>694</v>
      </c>
    </row>
    <row r="23" spans="2:26" ht="27" customHeight="1">
      <c r="C23" s="2877" t="s">
        <v>695</v>
      </c>
      <c r="D23" s="2878"/>
      <c r="E23" s="2878"/>
      <c r="F23" s="2878"/>
      <c r="G23" s="2878"/>
      <c r="H23" s="2878"/>
      <c r="I23" s="2878"/>
      <c r="J23" s="2879"/>
      <c r="K23" s="2877" t="s">
        <v>696</v>
      </c>
      <c r="L23" s="2878"/>
      <c r="M23" s="2878"/>
      <c r="N23" s="2878"/>
      <c r="O23" s="2878"/>
      <c r="P23" s="2878"/>
      <c r="Q23" s="2878"/>
      <c r="R23" s="2878"/>
      <c r="S23" s="2878"/>
      <c r="T23" s="2878"/>
      <c r="U23" s="2878"/>
      <c r="V23" s="2878"/>
      <c r="W23" s="2878"/>
      <c r="X23" s="2878"/>
      <c r="Y23" s="2878"/>
      <c r="Z23" s="2879"/>
    </row>
    <row r="24" spans="2:26">
      <c r="C24" s="2880"/>
      <c r="D24" s="2881"/>
      <c r="E24" s="2881"/>
      <c r="F24" s="2881"/>
      <c r="G24" s="2881"/>
      <c r="H24" s="2881"/>
      <c r="I24" s="2881"/>
      <c r="J24" s="2882"/>
      <c r="K24" s="2880"/>
      <c r="L24" s="2881"/>
      <c r="M24" s="2881"/>
      <c r="N24" s="2881"/>
      <c r="O24" s="2881"/>
      <c r="P24" s="2881"/>
      <c r="Q24" s="2881"/>
      <c r="R24" s="2881"/>
      <c r="S24" s="2881"/>
      <c r="T24" s="2881"/>
      <c r="U24" s="2881"/>
      <c r="V24" s="2881"/>
      <c r="W24" s="2881"/>
      <c r="X24" s="2881"/>
      <c r="Y24" s="2881"/>
      <c r="Z24" s="2882"/>
    </row>
    <row r="25" spans="2:26">
      <c r="C25" s="2883"/>
      <c r="D25" s="2884"/>
      <c r="E25" s="2884"/>
      <c r="F25" s="2884"/>
      <c r="G25" s="2884"/>
      <c r="H25" s="2884"/>
      <c r="I25" s="2884"/>
      <c r="J25" s="2885"/>
      <c r="K25" s="2883"/>
      <c r="L25" s="2884"/>
      <c r="M25" s="2884"/>
      <c r="N25" s="2884"/>
      <c r="O25" s="2884"/>
      <c r="P25" s="2884"/>
      <c r="Q25" s="2884"/>
      <c r="R25" s="2884"/>
      <c r="S25" s="2884"/>
      <c r="T25" s="2884"/>
      <c r="U25" s="2884"/>
      <c r="V25" s="2884"/>
      <c r="W25" s="2884"/>
      <c r="X25" s="2884"/>
      <c r="Y25" s="2884"/>
      <c r="Z25" s="2885"/>
    </row>
    <row r="26" spans="2:26">
      <c r="C26" s="2883"/>
      <c r="D26" s="2884"/>
      <c r="E26" s="2884"/>
      <c r="F26" s="2884"/>
      <c r="G26" s="2884"/>
      <c r="H26" s="2884"/>
      <c r="I26" s="2884"/>
      <c r="J26" s="2885"/>
      <c r="K26" s="2883"/>
      <c r="L26" s="2884"/>
      <c r="M26" s="2884"/>
      <c r="N26" s="2884"/>
      <c r="O26" s="2884"/>
      <c r="P26" s="2884"/>
      <c r="Q26" s="2884"/>
      <c r="R26" s="2884"/>
      <c r="S26" s="2884"/>
      <c r="T26" s="2884"/>
      <c r="U26" s="2884"/>
      <c r="V26" s="2884"/>
      <c r="W26" s="2884"/>
      <c r="X26" s="2884"/>
      <c r="Y26" s="2884"/>
      <c r="Z26" s="2885"/>
    </row>
    <row r="27" spans="2:26">
      <c r="C27" s="2883"/>
      <c r="D27" s="2884"/>
      <c r="E27" s="2884"/>
      <c r="F27" s="2884"/>
      <c r="G27" s="2884"/>
      <c r="H27" s="2884"/>
      <c r="I27" s="2884"/>
      <c r="J27" s="2885"/>
      <c r="K27" s="2883"/>
      <c r="L27" s="2884"/>
      <c r="M27" s="2884"/>
      <c r="N27" s="2884"/>
      <c r="O27" s="2884"/>
      <c r="P27" s="2884"/>
      <c r="Q27" s="2884"/>
      <c r="R27" s="2884"/>
      <c r="S27" s="2884"/>
      <c r="T27" s="2884"/>
      <c r="U27" s="2884"/>
      <c r="V27" s="2884"/>
      <c r="W27" s="2884"/>
      <c r="X27" s="2884"/>
      <c r="Y27" s="2884"/>
      <c r="Z27" s="2885"/>
    </row>
    <row r="28" spans="2:26">
      <c r="C28" s="2883"/>
      <c r="D28" s="2884"/>
      <c r="E28" s="2884"/>
      <c r="F28" s="2884"/>
      <c r="G28" s="2884"/>
      <c r="H28" s="2884"/>
      <c r="I28" s="2884"/>
      <c r="J28" s="2885"/>
      <c r="K28" s="2883"/>
      <c r="L28" s="2884"/>
      <c r="M28" s="2884"/>
      <c r="N28" s="2884"/>
      <c r="O28" s="2884"/>
      <c r="P28" s="2884"/>
      <c r="Q28" s="2884"/>
      <c r="R28" s="2884"/>
      <c r="S28" s="2884"/>
      <c r="T28" s="2884"/>
      <c r="U28" s="2884"/>
      <c r="V28" s="2884"/>
      <c r="W28" s="2884"/>
      <c r="X28" s="2884"/>
      <c r="Y28" s="2884"/>
      <c r="Z28" s="2885"/>
    </row>
    <row r="29" spans="2:26">
      <c r="C29" s="2886"/>
      <c r="D29" s="2887"/>
      <c r="E29" s="2887"/>
      <c r="F29" s="2887"/>
      <c r="G29" s="2887"/>
      <c r="H29" s="2887"/>
      <c r="I29" s="2887"/>
      <c r="J29" s="2888"/>
      <c r="K29" s="2886"/>
      <c r="L29" s="2887"/>
      <c r="M29" s="2887"/>
      <c r="N29" s="2887"/>
      <c r="O29" s="2887"/>
      <c r="P29" s="2887"/>
      <c r="Q29" s="2887"/>
      <c r="R29" s="2887"/>
      <c r="S29" s="2887"/>
      <c r="T29" s="2887"/>
      <c r="U29" s="2887"/>
      <c r="V29" s="2887"/>
      <c r="W29" s="2887"/>
      <c r="X29" s="2887"/>
      <c r="Y29" s="2887"/>
      <c r="Z29" s="2888"/>
    </row>
    <row r="31" spans="2:26">
      <c r="B31" s="101" t="s">
        <v>697</v>
      </c>
    </row>
    <row r="33" spans="2:26">
      <c r="C33" s="2880"/>
      <c r="D33" s="2881"/>
      <c r="E33" s="2881"/>
      <c r="F33" s="2881"/>
      <c r="G33" s="2881"/>
      <c r="H33" s="2881"/>
      <c r="I33" s="2881"/>
      <c r="J33" s="2881"/>
      <c r="K33" s="2881"/>
      <c r="L33" s="2881"/>
      <c r="M33" s="2881"/>
      <c r="N33" s="2881"/>
      <c r="O33" s="2881"/>
      <c r="P33" s="2881"/>
      <c r="Q33" s="2881"/>
      <c r="R33" s="2881"/>
      <c r="S33" s="2881"/>
      <c r="T33" s="2881"/>
      <c r="U33" s="2881"/>
      <c r="V33" s="2881"/>
      <c r="W33" s="2881"/>
      <c r="X33" s="2881"/>
      <c r="Y33" s="2881"/>
      <c r="Z33" s="2882"/>
    </row>
    <row r="34" spans="2:26">
      <c r="C34" s="2883"/>
      <c r="D34" s="2884"/>
      <c r="E34" s="2884"/>
      <c r="F34" s="2884"/>
      <c r="G34" s="2884"/>
      <c r="H34" s="2884"/>
      <c r="I34" s="2884"/>
      <c r="J34" s="2884"/>
      <c r="K34" s="2884"/>
      <c r="L34" s="2884"/>
      <c r="M34" s="2884"/>
      <c r="N34" s="2884"/>
      <c r="O34" s="2884"/>
      <c r="P34" s="2884"/>
      <c r="Q34" s="2884"/>
      <c r="R34" s="2884"/>
      <c r="S34" s="2884"/>
      <c r="T34" s="2884"/>
      <c r="U34" s="2884"/>
      <c r="V34" s="2884"/>
      <c r="W34" s="2884"/>
      <c r="X34" s="2884"/>
      <c r="Y34" s="2884"/>
      <c r="Z34" s="2885"/>
    </row>
    <row r="35" spans="2:26">
      <c r="C35" s="2883"/>
      <c r="D35" s="2884"/>
      <c r="E35" s="2884"/>
      <c r="F35" s="2884"/>
      <c r="G35" s="2884"/>
      <c r="H35" s="2884"/>
      <c r="I35" s="2884"/>
      <c r="J35" s="2884"/>
      <c r="K35" s="2884"/>
      <c r="L35" s="2884"/>
      <c r="M35" s="2884"/>
      <c r="N35" s="2884"/>
      <c r="O35" s="2884"/>
      <c r="P35" s="2884"/>
      <c r="Q35" s="2884"/>
      <c r="R35" s="2884"/>
      <c r="S35" s="2884"/>
      <c r="T35" s="2884"/>
      <c r="U35" s="2884"/>
      <c r="V35" s="2884"/>
      <c r="W35" s="2884"/>
      <c r="X35" s="2884"/>
      <c r="Y35" s="2884"/>
      <c r="Z35" s="2885"/>
    </row>
    <row r="36" spans="2:26">
      <c r="C36" s="2883"/>
      <c r="D36" s="2884"/>
      <c r="E36" s="2884"/>
      <c r="F36" s="2884"/>
      <c r="G36" s="2884"/>
      <c r="H36" s="2884"/>
      <c r="I36" s="2884"/>
      <c r="J36" s="2884"/>
      <c r="K36" s="2884"/>
      <c r="L36" s="2884"/>
      <c r="M36" s="2884"/>
      <c r="N36" s="2884"/>
      <c r="O36" s="2884"/>
      <c r="P36" s="2884"/>
      <c r="Q36" s="2884"/>
      <c r="R36" s="2884"/>
      <c r="S36" s="2884"/>
      <c r="T36" s="2884"/>
      <c r="U36" s="2884"/>
      <c r="V36" s="2884"/>
      <c r="W36" s="2884"/>
      <c r="X36" s="2884"/>
      <c r="Y36" s="2884"/>
      <c r="Z36" s="2885"/>
    </row>
    <row r="37" spans="2:26">
      <c r="C37" s="2883"/>
      <c r="D37" s="2884"/>
      <c r="E37" s="2884"/>
      <c r="F37" s="2884"/>
      <c r="G37" s="2884"/>
      <c r="H37" s="2884"/>
      <c r="I37" s="2884"/>
      <c r="J37" s="2884"/>
      <c r="K37" s="2884"/>
      <c r="L37" s="2884"/>
      <c r="M37" s="2884"/>
      <c r="N37" s="2884"/>
      <c r="O37" s="2884"/>
      <c r="P37" s="2884"/>
      <c r="Q37" s="2884"/>
      <c r="R37" s="2884"/>
      <c r="S37" s="2884"/>
      <c r="T37" s="2884"/>
      <c r="U37" s="2884"/>
      <c r="V37" s="2884"/>
      <c r="W37" s="2884"/>
      <c r="X37" s="2884"/>
      <c r="Y37" s="2884"/>
      <c r="Z37" s="2885"/>
    </row>
    <row r="38" spans="2:26">
      <c r="C38" s="2886"/>
      <c r="D38" s="2887"/>
      <c r="E38" s="2887"/>
      <c r="F38" s="2887"/>
      <c r="G38" s="2887"/>
      <c r="H38" s="2887"/>
      <c r="I38" s="2887"/>
      <c r="J38" s="2887"/>
      <c r="K38" s="2887"/>
      <c r="L38" s="2887"/>
      <c r="M38" s="2887"/>
      <c r="N38" s="2887"/>
      <c r="O38" s="2887"/>
      <c r="P38" s="2887"/>
      <c r="Q38" s="2887"/>
      <c r="R38" s="2887"/>
      <c r="S38" s="2887"/>
      <c r="T38" s="2887"/>
      <c r="U38" s="2887"/>
      <c r="V38" s="2887"/>
      <c r="W38" s="2887"/>
      <c r="X38" s="2887"/>
      <c r="Y38" s="2887"/>
      <c r="Z38" s="2888"/>
    </row>
    <row r="40" spans="2:26">
      <c r="B40" s="101" t="s">
        <v>698</v>
      </c>
    </row>
    <row r="42" spans="2:26">
      <c r="C42" s="2889" t="s">
        <v>699</v>
      </c>
      <c r="D42" s="2890"/>
      <c r="E42" s="2890"/>
      <c r="F42" s="2890"/>
      <c r="G42" s="2890"/>
      <c r="H42" s="2891"/>
      <c r="I42" s="2897" t="s">
        <v>700</v>
      </c>
      <c r="J42" s="2890"/>
      <c r="K42" s="2890"/>
      <c r="L42" s="2890"/>
      <c r="M42" s="2890"/>
      <c r="N42" s="2890"/>
      <c r="O42" s="2890"/>
      <c r="P42" s="2890"/>
      <c r="Q42" s="2891"/>
      <c r="R42" s="2890"/>
      <c r="S42" s="2898" t="s">
        <v>701</v>
      </c>
      <c r="T42" s="2890" t="s">
        <v>673</v>
      </c>
      <c r="U42" s="351"/>
      <c r="V42" s="2890" t="s">
        <v>702</v>
      </c>
      <c r="W42" s="351"/>
      <c r="X42" s="2898" t="s">
        <v>693</v>
      </c>
      <c r="Y42" s="2890" t="s">
        <v>674</v>
      </c>
      <c r="Z42" s="352"/>
    </row>
    <row r="43" spans="2:26">
      <c r="C43" s="2892"/>
      <c r="D43" s="2841"/>
      <c r="E43" s="2841"/>
      <c r="F43" s="2841"/>
      <c r="G43" s="2841"/>
      <c r="H43" s="2893"/>
      <c r="I43" s="2895"/>
      <c r="J43" s="2895"/>
      <c r="K43" s="2895"/>
      <c r="L43" s="2895"/>
      <c r="M43" s="2895"/>
      <c r="N43" s="2895"/>
      <c r="O43" s="2895"/>
      <c r="P43" s="2895"/>
      <c r="Q43" s="2896"/>
      <c r="R43" s="2895"/>
      <c r="S43" s="2899"/>
      <c r="T43" s="2895"/>
      <c r="U43" s="350"/>
      <c r="V43" s="2895"/>
      <c r="W43" s="350"/>
      <c r="X43" s="2899"/>
      <c r="Y43" s="2895"/>
      <c r="Z43" s="359"/>
    </row>
    <row r="44" spans="2:26">
      <c r="C44" s="2892"/>
      <c r="D44" s="2841"/>
      <c r="E44" s="2841"/>
      <c r="F44" s="2841"/>
      <c r="G44" s="2841"/>
      <c r="H44" s="2893"/>
      <c r="I44" s="2880"/>
      <c r="J44" s="2881"/>
      <c r="K44" s="2881"/>
      <c r="L44" s="2881"/>
      <c r="M44" s="2881"/>
      <c r="N44" s="2881"/>
      <c r="O44" s="2881"/>
      <c r="P44" s="2881"/>
      <c r="Q44" s="2881"/>
      <c r="R44" s="2881"/>
      <c r="S44" s="2881"/>
      <c r="T44" s="2881"/>
      <c r="U44" s="2881"/>
      <c r="V44" s="2881"/>
      <c r="W44" s="2881"/>
      <c r="X44" s="2881"/>
      <c r="Y44" s="2881"/>
      <c r="Z44" s="2882"/>
    </row>
    <row r="45" spans="2:26">
      <c r="C45" s="2892"/>
      <c r="D45" s="2841"/>
      <c r="E45" s="2841"/>
      <c r="F45" s="2841"/>
      <c r="G45" s="2841"/>
      <c r="H45" s="2893"/>
      <c r="I45" s="2883"/>
      <c r="J45" s="2884"/>
      <c r="K45" s="2884"/>
      <c r="L45" s="2884"/>
      <c r="M45" s="2884"/>
      <c r="N45" s="2884"/>
      <c r="O45" s="2884"/>
      <c r="P45" s="2884"/>
      <c r="Q45" s="2884"/>
      <c r="R45" s="2884"/>
      <c r="S45" s="2884"/>
      <c r="T45" s="2884"/>
      <c r="U45" s="2884"/>
      <c r="V45" s="2884"/>
      <c r="W45" s="2884"/>
      <c r="X45" s="2884"/>
      <c r="Y45" s="2884"/>
      <c r="Z45" s="2885"/>
    </row>
    <row r="46" spans="2:26">
      <c r="C46" s="2892"/>
      <c r="D46" s="2841"/>
      <c r="E46" s="2841"/>
      <c r="F46" s="2841"/>
      <c r="G46" s="2841"/>
      <c r="H46" s="2893"/>
      <c r="I46" s="2883"/>
      <c r="J46" s="2884"/>
      <c r="K46" s="2884"/>
      <c r="L46" s="2884"/>
      <c r="M46" s="2884"/>
      <c r="N46" s="2884"/>
      <c r="O46" s="2884"/>
      <c r="P46" s="2884"/>
      <c r="Q46" s="2884"/>
      <c r="R46" s="2884"/>
      <c r="S46" s="2884"/>
      <c r="T46" s="2884"/>
      <c r="U46" s="2884"/>
      <c r="V46" s="2884"/>
      <c r="W46" s="2884"/>
      <c r="X46" s="2884"/>
      <c r="Y46" s="2884"/>
      <c r="Z46" s="2885"/>
    </row>
    <row r="47" spans="2:26">
      <c r="C47" s="2892"/>
      <c r="D47" s="2841"/>
      <c r="E47" s="2841"/>
      <c r="F47" s="2841"/>
      <c r="G47" s="2841"/>
      <c r="H47" s="2893"/>
      <c r="I47" s="2883"/>
      <c r="J47" s="2884"/>
      <c r="K47" s="2884"/>
      <c r="L47" s="2884"/>
      <c r="M47" s="2884"/>
      <c r="N47" s="2884"/>
      <c r="O47" s="2884"/>
      <c r="P47" s="2884"/>
      <c r="Q47" s="2884"/>
      <c r="R47" s="2884"/>
      <c r="S47" s="2884"/>
      <c r="T47" s="2884"/>
      <c r="U47" s="2884"/>
      <c r="V47" s="2884"/>
      <c r="W47" s="2884"/>
      <c r="X47" s="2884"/>
      <c r="Y47" s="2884"/>
      <c r="Z47" s="2885"/>
    </row>
    <row r="48" spans="2:26">
      <c r="C48" s="2894"/>
      <c r="D48" s="2895"/>
      <c r="E48" s="2895"/>
      <c r="F48" s="2895"/>
      <c r="G48" s="2895"/>
      <c r="H48" s="2896"/>
      <c r="I48" s="2886"/>
      <c r="J48" s="2887"/>
      <c r="K48" s="2887"/>
      <c r="L48" s="2887"/>
      <c r="M48" s="2887"/>
      <c r="N48" s="2887"/>
      <c r="O48" s="2887"/>
      <c r="P48" s="2887"/>
      <c r="Q48" s="2887"/>
      <c r="R48" s="2887"/>
      <c r="S48" s="2887"/>
      <c r="T48" s="2887"/>
      <c r="U48" s="2887"/>
      <c r="V48" s="2887"/>
      <c r="W48" s="2887"/>
      <c r="X48" s="2887"/>
      <c r="Y48" s="2887"/>
      <c r="Z48" s="2888"/>
    </row>
    <row r="50" spans="3:26">
      <c r="C50" s="2875" t="s">
        <v>683</v>
      </c>
      <c r="D50" s="2875"/>
      <c r="E50" s="2875"/>
      <c r="F50" s="2875"/>
      <c r="G50" s="2875"/>
      <c r="H50" s="2875"/>
    </row>
    <row r="51" spans="3:26">
      <c r="D51" s="2873" t="s">
        <v>703</v>
      </c>
      <c r="E51" s="2873"/>
      <c r="F51" s="2873"/>
      <c r="G51" s="2873"/>
      <c r="H51" s="2873"/>
      <c r="I51" s="2873"/>
      <c r="J51" s="2873"/>
      <c r="K51" s="2873"/>
      <c r="L51" s="2873"/>
      <c r="M51" s="2873"/>
      <c r="N51" s="2873"/>
      <c r="O51" s="2873"/>
      <c r="P51" s="2873"/>
      <c r="Q51" s="2873"/>
      <c r="R51" s="2873"/>
      <c r="S51" s="2873"/>
      <c r="T51" s="2873"/>
      <c r="U51" s="2873"/>
      <c r="V51" s="2873"/>
      <c r="W51" s="2873"/>
      <c r="X51" s="2873"/>
      <c r="Y51" s="2873"/>
      <c r="Z51" s="2873"/>
    </row>
    <row r="52" spans="3:26">
      <c r="D52" s="2873"/>
      <c r="E52" s="2873"/>
      <c r="F52" s="2873"/>
      <c r="G52" s="2873"/>
      <c r="H52" s="2873"/>
      <c r="I52" s="2873"/>
      <c r="J52" s="2873"/>
      <c r="K52" s="2873"/>
      <c r="L52" s="2873"/>
      <c r="M52" s="2873"/>
      <c r="N52" s="2873"/>
      <c r="O52" s="2873"/>
      <c r="P52" s="2873"/>
      <c r="Q52" s="2873"/>
      <c r="R52" s="2873"/>
      <c r="S52" s="2873"/>
      <c r="T52" s="2873"/>
      <c r="U52" s="2873"/>
      <c r="V52" s="2873"/>
      <c r="W52" s="2873"/>
      <c r="X52" s="2873"/>
      <c r="Y52" s="2873"/>
      <c r="Z52" s="2873"/>
    </row>
  </sheetData>
  <mergeCells count="36">
    <mergeCell ref="C3:Z3"/>
    <mergeCell ref="C7:J7"/>
    <mergeCell ref="K7:Q7"/>
    <mergeCell ref="R7:V7"/>
    <mergeCell ref="W7:Z7"/>
    <mergeCell ref="Z8:Z10"/>
    <mergeCell ref="C11:C19"/>
    <mergeCell ref="D11:Q12"/>
    <mergeCell ref="R11:R12"/>
    <mergeCell ref="S11:S12"/>
    <mergeCell ref="T11:T12"/>
    <mergeCell ref="V11:V12"/>
    <mergeCell ref="X11:X12"/>
    <mergeCell ref="Y11:Y12"/>
    <mergeCell ref="D13:Z19"/>
    <mergeCell ref="C8:J10"/>
    <mergeCell ref="K8:Q10"/>
    <mergeCell ref="R8:S10"/>
    <mergeCell ref="T8:V10"/>
    <mergeCell ref="X8:Y10"/>
    <mergeCell ref="D51:Z52"/>
    <mergeCell ref="C23:J23"/>
    <mergeCell ref="K23:Z23"/>
    <mergeCell ref="C24:J29"/>
    <mergeCell ref="K24:Z29"/>
    <mergeCell ref="C33:Z38"/>
    <mergeCell ref="C42:H48"/>
    <mergeCell ref="I42:Q43"/>
    <mergeCell ref="R42:R43"/>
    <mergeCell ref="S42:S43"/>
    <mergeCell ref="T42:T43"/>
    <mergeCell ref="V42:V43"/>
    <mergeCell ref="X42:X43"/>
    <mergeCell ref="Y42:Y43"/>
    <mergeCell ref="I44:Z48"/>
    <mergeCell ref="C50:H50"/>
  </mergeCells>
  <phoneticPr fontId="3"/>
  <dataValidations count="1">
    <dataValidation type="list" allowBlank="1" showInputMessage="1" showErrorMessage="1" sqref="S11:S12 X11:X12 S42:S43 X42:X43" xr:uid="{00000000-0002-0000-1A00-000000000000}">
      <formula1>$AD$2:$AD$3</formula1>
    </dataValidation>
  </dataValidations>
  <printOptions horizontalCentered="1"/>
  <pageMargins left="0.59055118110236227" right="0.19685039370078741" top="0.19685039370078741" bottom="0.19685039370078741" header="0.31496062992125984" footer="0.31496062992125984"/>
  <pageSetup paperSize="9" scale="98"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B1:AL45"/>
  <sheetViews>
    <sheetView view="pageBreakPreview" zoomScaleNormal="100" zoomScaleSheetLayoutView="100" workbookViewId="0"/>
  </sheetViews>
  <sheetFormatPr defaultColWidth="9" defaultRowHeight="13.2"/>
  <cols>
    <col min="1" max="1" width="2.21875" style="349" customWidth="1"/>
    <col min="2" max="3" width="2.44140625" style="349" customWidth="1"/>
    <col min="4" max="4" width="2.88671875" style="349" customWidth="1"/>
    <col min="5" max="5" width="1.88671875" style="349" customWidth="1"/>
    <col min="6" max="35" width="2.44140625" style="349" customWidth="1"/>
    <col min="36" max="37" width="1.77734375" style="349" customWidth="1"/>
    <col min="38" max="38" width="3.6640625" style="349" bestFit="1" customWidth="1"/>
    <col min="39" max="39" width="2.109375" style="349" customWidth="1"/>
    <col min="40" max="16384" width="9" style="349"/>
  </cols>
  <sheetData>
    <row r="1" spans="2:38" ht="15.45" customHeight="1">
      <c r="B1" s="369" t="s">
        <v>704</v>
      </c>
      <c r="C1" s="182"/>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row>
    <row r="2" spans="2:38" ht="16.5" customHeight="1">
      <c r="B2" s="2980" t="s">
        <v>734</v>
      </c>
      <c r="C2" s="2753"/>
      <c r="D2" s="2753"/>
      <c r="E2" s="2753"/>
      <c r="F2" s="2753"/>
      <c r="G2" s="2753"/>
      <c r="H2" s="2753"/>
      <c r="I2" s="2753"/>
      <c r="J2" s="2753"/>
      <c r="K2" s="2753"/>
      <c r="L2" s="2753"/>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L2" s="371" t="s">
        <v>705</v>
      </c>
    </row>
    <row r="3" spans="2:38" ht="16.5" customHeight="1">
      <c r="B3" s="2753"/>
      <c r="C3" s="2753"/>
      <c r="D3" s="2753"/>
      <c r="E3" s="2753"/>
      <c r="F3" s="2753"/>
      <c r="G3" s="2753"/>
      <c r="H3" s="2753"/>
      <c r="I3" s="2753"/>
      <c r="J3" s="2753"/>
      <c r="K3" s="2753"/>
      <c r="L3" s="2753"/>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L3" s="371"/>
    </row>
    <row r="4" spans="2:38" ht="16.5" customHeight="1">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372"/>
    </row>
    <row r="5" spans="2:38" ht="16.2">
      <c r="B5" s="2957" t="s">
        <v>706</v>
      </c>
      <c r="C5" s="2974"/>
      <c r="D5" s="2974"/>
      <c r="E5" s="2974"/>
      <c r="F5" s="2974"/>
      <c r="G5" s="2974"/>
      <c r="H5" s="2974"/>
      <c r="I5" s="2974"/>
      <c r="J5" s="2974"/>
      <c r="K5" s="2981"/>
      <c r="L5" s="373"/>
      <c r="M5" s="373"/>
      <c r="N5" s="373"/>
      <c r="O5" s="373"/>
      <c r="P5" s="373"/>
      <c r="Q5" s="373"/>
      <c r="R5" s="373"/>
      <c r="S5" s="373"/>
      <c r="T5" s="373"/>
      <c r="U5" s="373"/>
      <c r="V5" s="373"/>
      <c r="W5" s="373"/>
      <c r="X5" s="373"/>
      <c r="Y5" s="373"/>
      <c r="Z5" s="373"/>
      <c r="AA5" s="373"/>
      <c r="AB5" s="373"/>
      <c r="AC5" s="373"/>
      <c r="AD5" s="373"/>
      <c r="AE5" s="373"/>
      <c r="AF5" s="373"/>
      <c r="AG5" s="373"/>
      <c r="AH5" s="373"/>
      <c r="AI5" s="374"/>
    </row>
    <row r="6" spans="2:38" ht="15.45" customHeight="1">
      <c r="B6" s="2982"/>
      <c r="C6" s="2983"/>
      <c r="D6" s="2983"/>
      <c r="E6" s="2983"/>
      <c r="F6" s="2983"/>
      <c r="G6" s="2983"/>
      <c r="H6" s="2983"/>
      <c r="I6" s="2983"/>
      <c r="J6" s="2983"/>
      <c r="K6" s="2984"/>
      <c r="L6" s="372"/>
      <c r="M6" s="369"/>
      <c r="N6" s="2924"/>
      <c r="O6" s="2924"/>
      <c r="P6" s="369"/>
      <c r="Q6" s="369"/>
      <c r="R6" s="369"/>
      <c r="S6" s="369"/>
      <c r="T6" s="369"/>
      <c r="U6" s="369"/>
      <c r="V6" s="369"/>
      <c r="W6" s="369"/>
      <c r="X6" s="369"/>
      <c r="Y6" s="369"/>
      <c r="Z6" s="369"/>
      <c r="AA6" s="369"/>
      <c r="AB6" s="369"/>
      <c r="AC6" s="369"/>
      <c r="AD6" s="369"/>
      <c r="AE6" s="369"/>
      <c r="AF6" s="372"/>
      <c r="AG6" s="372"/>
      <c r="AH6" s="372"/>
      <c r="AI6" s="375"/>
    </row>
    <row r="7" spans="2:38" ht="15.45" customHeight="1">
      <c r="B7" s="2982"/>
      <c r="C7" s="2983"/>
      <c r="D7" s="2983"/>
      <c r="E7" s="2983"/>
      <c r="F7" s="2983"/>
      <c r="G7" s="2983"/>
      <c r="H7" s="2983"/>
      <c r="I7" s="2983"/>
      <c r="J7" s="2983"/>
      <c r="K7" s="2984"/>
      <c r="L7" s="372"/>
      <c r="M7" s="369"/>
      <c r="N7" s="2924"/>
      <c r="O7" s="2924"/>
      <c r="P7" s="369"/>
      <c r="Q7" s="369"/>
      <c r="R7" s="369"/>
      <c r="S7" s="369"/>
      <c r="T7" s="369"/>
      <c r="U7" s="369"/>
      <c r="V7" s="369"/>
      <c r="W7" s="369"/>
      <c r="X7" s="369"/>
      <c r="Y7" s="369"/>
      <c r="Z7" s="369"/>
      <c r="AA7" s="369"/>
      <c r="AB7" s="369"/>
      <c r="AC7" s="369"/>
      <c r="AD7" s="369"/>
      <c r="AE7" s="369"/>
      <c r="AF7" s="372"/>
      <c r="AG7" s="372"/>
      <c r="AH7" s="372"/>
      <c r="AI7" s="375"/>
    </row>
    <row r="8" spans="2:38" ht="15.45" customHeight="1">
      <c r="B8" s="2982"/>
      <c r="C8" s="2983"/>
      <c r="D8" s="2983"/>
      <c r="E8" s="2983"/>
      <c r="F8" s="2983"/>
      <c r="G8" s="2983"/>
      <c r="H8" s="2983"/>
      <c r="I8" s="2983"/>
      <c r="J8" s="2983"/>
      <c r="K8" s="2984"/>
      <c r="L8" s="372"/>
      <c r="M8" s="369"/>
      <c r="N8" s="2924"/>
      <c r="O8" s="2924"/>
      <c r="P8" s="369"/>
      <c r="Q8" s="369"/>
      <c r="R8" s="369"/>
      <c r="S8" s="369"/>
      <c r="T8" s="369"/>
      <c r="U8" s="369"/>
      <c r="V8" s="369"/>
      <c r="W8" s="369"/>
      <c r="X8" s="369"/>
      <c r="Y8" s="369"/>
      <c r="Z8" s="369"/>
      <c r="AA8" s="369"/>
      <c r="AB8" s="369"/>
      <c r="AC8" s="369"/>
      <c r="AD8" s="369"/>
      <c r="AE8" s="369"/>
      <c r="AF8" s="372"/>
      <c r="AG8" s="372"/>
      <c r="AH8" s="372"/>
      <c r="AI8" s="375"/>
    </row>
    <row r="9" spans="2:38" ht="15.45" customHeight="1">
      <c r="B9" s="2982"/>
      <c r="C9" s="2983"/>
      <c r="D9" s="2983"/>
      <c r="E9" s="2983"/>
      <c r="F9" s="2983"/>
      <c r="G9" s="2983"/>
      <c r="H9" s="2983"/>
      <c r="I9" s="2983"/>
      <c r="J9" s="2983"/>
      <c r="K9" s="2984"/>
      <c r="L9" s="372"/>
      <c r="M9" s="369"/>
      <c r="N9" s="2924"/>
      <c r="O9" s="2924"/>
      <c r="P9" s="369"/>
      <c r="Q9" s="369"/>
      <c r="R9" s="369"/>
      <c r="S9" s="369"/>
      <c r="T9" s="369"/>
      <c r="U9" s="369"/>
      <c r="V9" s="369"/>
      <c r="W9" s="369"/>
      <c r="X9" s="369"/>
      <c r="Y9" s="369"/>
      <c r="Z9" s="369"/>
      <c r="AA9" s="369"/>
      <c r="AB9" s="369"/>
      <c r="AC9" s="369"/>
      <c r="AD9" s="369"/>
      <c r="AE9" s="369"/>
      <c r="AF9" s="372"/>
      <c r="AG9" s="372"/>
      <c r="AH9" s="372"/>
      <c r="AI9" s="375"/>
    </row>
    <row r="10" spans="2:38" ht="15.45" customHeight="1">
      <c r="B10" s="2985"/>
      <c r="C10" s="2986"/>
      <c r="D10" s="2986"/>
      <c r="E10" s="2986"/>
      <c r="F10" s="2986"/>
      <c r="G10" s="2986"/>
      <c r="H10" s="2986"/>
      <c r="I10" s="2986"/>
      <c r="J10" s="2986"/>
      <c r="K10" s="2987"/>
      <c r="L10" s="376"/>
      <c r="M10" s="348"/>
      <c r="N10" s="348"/>
      <c r="O10" s="348"/>
      <c r="P10" s="348"/>
      <c r="Q10" s="348"/>
      <c r="R10" s="348"/>
      <c r="S10" s="348"/>
      <c r="T10" s="348"/>
      <c r="U10" s="348"/>
      <c r="V10" s="348"/>
      <c r="W10" s="348"/>
      <c r="X10" s="348"/>
      <c r="Y10" s="348"/>
      <c r="Z10" s="348"/>
      <c r="AA10" s="348"/>
      <c r="AB10" s="348"/>
      <c r="AC10" s="348"/>
      <c r="AD10" s="348"/>
      <c r="AE10" s="348"/>
      <c r="AF10" s="348"/>
      <c r="AG10" s="348"/>
      <c r="AH10" s="348"/>
      <c r="AI10" s="377"/>
    </row>
    <row r="11" spans="2:38" ht="14.1" customHeight="1">
      <c r="B11" s="2932" t="s">
        <v>707</v>
      </c>
      <c r="C11" s="2933"/>
      <c r="D11" s="2933"/>
      <c r="E11" s="2934"/>
      <c r="F11" s="2922" t="s">
        <v>69</v>
      </c>
      <c r="G11" s="2922"/>
      <c r="H11" s="2922"/>
      <c r="I11" s="2922"/>
      <c r="J11" s="2922"/>
      <c r="K11" s="2941"/>
      <c r="L11" s="2945" t="s">
        <v>708</v>
      </c>
      <c r="M11" s="2945"/>
      <c r="N11" s="2947" t="s">
        <v>709</v>
      </c>
      <c r="O11" s="2947"/>
      <c r="P11" s="2978"/>
      <c r="Q11" s="2949"/>
      <c r="R11" s="2950"/>
      <c r="S11" s="2950"/>
      <c r="T11" s="2950"/>
      <c r="U11" s="2950"/>
      <c r="V11" s="2968" t="s">
        <v>710</v>
      </c>
      <c r="W11" s="2969"/>
      <c r="X11" s="2977" t="s">
        <v>400</v>
      </c>
      <c r="Y11" s="2945"/>
      <c r="Z11" s="2947" t="s">
        <v>709</v>
      </c>
      <c r="AA11" s="2947"/>
      <c r="AB11" s="2947"/>
      <c r="AC11" s="2949"/>
      <c r="AD11" s="2950"/>
      <c r="AE11" s="2950"/>
      <c r="AF11" s="2950"/>
      <c r="AG11" s="2950"/>
      <c r="AH11" s="2968" t="s">
        <v>710</v>
      </c>
      <c r="AI11" s="2969"/>
    </row>
    <row r="12" spans="2:38" ht="14.1" customHeight="1">
      <c r="B12" s="2935"/>
      <c r="C12" s="2936"/>
      <c r="D12" s="2936"/>
      <c r="E12" s="2937"/>
      <c r="F12" s="2924"/>
      <c r="G12" s="2924"/>
      <c r="H12" s="2924"/>
      <c r="I12" s="2924"/>
      <c r="J12" s="2924"/>
      <c r="K12" s="2942"/>
      <c r="L12" s="2945"/>
      <c r="M12" s="2945"/>
      <c r="N12" s="2948"/>
      <c r="O12" s="2948"/>
      <c r="P12" s="2979"/>
      <c r="Q12" s="2951"/>
      <c r="R12" s="2952"/>
      <c r="S12" s="2952"/>
      <c r="T12" s="2952"/>
      <c r="U12" s="2952"/>
      <c r="V12" s="2970"/>
      <c r="W12" s="2971"/>
      <c r="X12" s="2977"/>
      <c r="Y12" s="2945"/>
      <c r="Z12" s="2948"/>
      <c r="AA12" s="2948"/>
      <c r="AB12" s="2948"/>
      <c r="AC12" s="2951"/>
      <c r="AD12" s="2952"/>
      <c r="AE12" s="2952"/>
      <c r="AF12" s="2952"/>
      <c r="AG12" s="2952"/>
      <c r="AH12" s="2970"/>
      <c r="AI12" s="2971"/>
    </row>
    <row r="13" spans="2:38" ht="14.1" customHeight="1">
      <c r="B13" s="2935"/>
      <c r="C13" s="2936"/>
      <c r="D13" s="2936"/>
      <c r="E13" s="2937"/>
      <c r="F13" s="2924"/>
      <c r="G13" s="2924"/>
      <c r="H13" s="2924"/>
      <c r="I13" s="2924"/>
      <c r="J13" s="2924"/>
      <c r="K13" s="2942"/>
      <c r="L13" s="2945"/>
      <c r="M13" s="2945"/>
      <c r="N13" s="2953" t="s">
        <v>711</v>
      </c>
      <c r="O13" s="2953"/>
      <c r="P13" s="2953"/>
      <c r="Q13" s="2955"/>
      <c r="R13" s="2956"/>
      <c r="S13" s="2956"/>
      <c r="T13" s="2956"/>
      <c r="U13" s="2956"/>
      <c r="V13" s="2930" t="s">
        <v>710</v>
      </c>
      <c r="W13" s="2931"/>
      <c r="X13" s="2945"/>
      <c r="Y13" s="2945"/>
      <c r="Z13" s="2953" t="s">
        <v>711</v>
      </c>
      <c r="AA13" s="2953"/>
      <c r="AB13" s="2953"/>
      <c r="AC13" s="2955"/>
      <c r="AD13" s="2956"/>
      <c r="AE13" s="2956"/>
      <c r="AF13" s="2956"/>
      <c r="AG13" s="2956"/>
      <c r="AH13" s="2930" t="s">
        <v>710</v>
      </c>
      <c r="AI13" s="2931"/>
    </row>
    <row r="14" spans="2:38" ht="14.1" customHeight="1">
      <c r="B14" s="2935"/>
      <c r="C14" s="2936"/>
      <c r="D14" s="2936"/>
      <c r="E14" s="2937"/>
      <c r="F14" s="2943"/>
      <c r="G14" s="2943"/>
      <c r="H14" s="2943"/>
      <c r="I14" s="2943"/>
      <c r="J14" s="2943"/>
      <c r="K14" s="2944"/>
      <c r="L14" s="2945"/>
      <c r="M14" s="2945"/>
      <c r="N14" s="2947"/>
      <c r="O14" s="2947"/>
      <c r="P14" s="2947"/>
      <c r="Q14" s="2972"/>
      <c r="R14" s="2973"/>
      <c r="S14" s="2973"/>
      <c r="T14" s="2973"/>
      <c r="U14" s="2973"/>
      <c r="V14" s="2975"/>
      <c r="W14" s="2976"/>
      <c r="X14" s="2945"/>
      <c r="Y14" s="2945"/>
      <c r="Z14" s="2947"/>
      <c r="AA14" s="2947"/>
      <c r="AB14" s="2947"/>
      <c r="AC14" s="2972"/>
      <c r="AD14" s="2973"/>
      <c r="AE14" s="2973"/>
      <c r="AF14" s="2973"/>
      <c r="AG14" s="2973"/>
      <c r="AH14" s="2975"/>
      <c r="AI14" s="2976"/>
    </row>
    <row r="15" spans="2:38" ht="14.1" customHeight="1">
      <c r="B15" s="2935"/>
      <c r="C15" s="2936"/>
      <c r="D15" s="2936"/>
      <c r="E15" s="2937"/>
      <c r="F15" s="2922" t="s">
        <v>714</v>
      </c>
      <c r="G15" s="2922"/>
      <c r="H15" s="2922"/>
      <c r="I15" s="2922"/>
      <c r="J15" s="2922"/>
      <c r="K15" s="2941"/>
      <c r="L15" s="2945" t="s">
        <v>708</v>
      </c>
      <c r="M15" s="2945"/>
      <c r="N15" s="2947" t="s">
        <v>712</v>
      </c>
      <c r="O15" s="2947"/>
      <c r="P15" s="2947"/>
      <c r="Q15" s="2949"/>
      <c r="R15" s="2950"/>
      <c r="S15" s="2950"/>
      <c r="T15" s="2950"/>
      <c r="U15" s="2950"/>
      <c r="V15" s="2968" t="s">
        <v>710</v>
      </c>
      <c r="W15" s="2969"/>
      <c r="X15" s="2945" t="s">
        <v>400</v>
      </c>
      <c r="Y15" s="2945"/>
      <c r="Z15" s="2947" t="s">
        <v>712</v>
      </c>
      <c r="AA15" s="2947"/>
      <c r="AB15" s="2947"/>
      <c r="AC15" s="2949"/>
      <c r="AD15" s="2950"/>
      <c r="AE15" s="2950"/>
      <c r="AF15" s="2950"/>
      <c r="AG15" s="2950"/>
      <c r="AH15" s="2968" t="s">
        <v>710</v>
      </c>
      <c r="AI15" s="2969"/>
    </row>
    <row r="16" spans="2:38" ht="14.1" customHeight="1">
      <c r="B16" s="2935"/>
      <c r="C16" s="2936"/>
      <c r="D16" s="2936"/>
      <c r="E16" s="2937"/>
      <c r="F16" s="2924"/>
      <c r="G16" s="2924"/>
      <c r="H16" s="2924"/>
      <c r="I16" s="2924"/>
      <c r="J16" s="2924"/>
      <c r="K16" s="2942"/>
      <c r="L16" s="2945"/>
      <c r="M16" s="2945"/>
      <c r="N16" s="2948"/>
      <c r="O16" s="2948"/>
      <c r="P16" s="2948"/>
      <c r="Q16" s="2951"/>
      <c r="R16" s="2952"/>
      <c r="S16" s="2952"/>
      <c r="T16" s="2952"/>
      <c r="U16" s="2952"/>
      <c r="V16" s="2970"/>
      <c r="W16" s="2971"/>
      <c r="X16" s="2945"/>
      <c r="Y16" s="2945"/>
      <c r="Z16" s="2948"/>
      <c r="AA16" s="2948"/>
      <c r="AB16" s="2948"/>
      <c r="AC16" s="2951"/>
      <c r="AD16" s="2952"/>
      <c r="AE16" s="2952"/>
      <c r="AF16" s="2952"/>
      <c r="AG16" s="2952"/>
      <c r="AH16" s="2970"/>
      <c r="AI16" s="2971"/>
    </row>
    <row r="17" spans="2:35" ht="14.1" customHeight="1">
      <c r="B17" s="2935"/>
      <c r="C17" s="2936"/>
      <c r="D17" s="2936"/>
      <c r="E17" s="2937"/>
      <c r="F17" s="2924"/>
      <c r="G17" s="2924"/>
      <c r="H17" s="2924"/>
      <c r="I17" s="2924"/>
      <c r="J17" s="2924"/>
      <c r="K17" s="2942"/>
      <c r="L17" s="2945"/>
      <c r="M17" s="2945"/>
      <c r="N17" s="2953" t="s">
        <v>713</v>
      </c>
      <c r="O17" s="2953"/>
      <c r="P17" s="2953"/>
      <c r="Q17" s="2955"/>
      <c r="R17" s="2956"/>
      <c r="S17" s="2956"/>
      <c r="T17" s="2956"/>
      <c r="U17" s="2956"/>
      <c r="V17" s="2930" t="s">
        <v>710</v>
      </c>
      <c r="W17" s="2931"/>
      <c r="X17" s="2945"/>
      <c r="Y17" s="2945"/>
      <c r="Z17" s="2953" t="s">
        <v>713</v>
      </c>
      <c r="AA17" s="2953"/>
      <c r="AB17" s="2953"/>
      <c r="AC17" s="2955"/>
      <c r="AD17" s="2956"/>
      <c r="AE17" s="2956"/>
      <c r="AF17" s="2956"/>
      <c r="AG17" s="2956"/>
      <c r="AH17" s="2930" t="s">
        <v>710</v>
      </c>
      <c r="AI17" s="2931"/>
    </row>
    <row r="18" spans="2:35" ht="14.1" customHeight="1">
      <c r="B18" s="2935"/>
      <c r="C18" s="2936"/>
      <c r="D18" s="2936"/>
      <c r="E18" s="2937"/>
      <c r="F18" s="2943"/>
      <c r="G18" s="2943"/>
      <c r="H18" s="2943"/>
      <c r="I18" s="2943"/>
      <c r="J18" s="2943"/>
      <c r="K18" s="2944"/>
      <c r="L18" s="2946"/>
      <c r="M18" s="2946"/>
      <c r="N18" s="2954"/>
      <c r="O18" s="2954"/>
      <c r="P18" s="2954"/>
      <c r="Q18" s="2972"/>
      <c r="R18" s="2973"/>
      <c r="S18" s="2973"/>
      <c r="T18" s="2973"/>
      <c r="U18" s="2973"/>
      <c r="V18" s="2975"/>
      <c r="W18" s="2976"/>
      <c r="X18" s="2946"/>
      <c r="Y18" s="2946"/>
      <c r="Z18" s="2954"/>
      <c r="AA18" s="2954"/>
      <c r="AB18" s="2954"/>
      <c r="AC18" s="2972"/>
      <c r="AD18" s="2973"/>
      <c r="AE18" s="2973"/>
      <c r="AF18" s="2973"/>
      <c r="AG18" s="2973"/>
      <c r="AH18" s="2975"/>
      <c r="AI18" s="2976"/>
    </row>
    <row r="19" spans="2:35" ht="14.1" customHeight="1">
      <c r="B19" s="2935"/>
      <c r="C19" s="2936"/>
      <c r="D19" s="2936"/>
      <c r="E19" s="2937"/>
      <c r="F19" s="2974" t="s">
        <v>715</v>
      </c>
      <c r="G19" s="2922"/>
      <c r="H19" s="2922"/>
      <c r="I19" s="2922"/>
      <c r="J19" s="2922"/>
      <c r="K19" s="2941"/>
      <c r="L19" s="2945" t="s">
        <v>708</v>
      </c>
      <c r="M19" s="2945"/>
      <c r="N19" s="2947" t="s">
        <v>712</v>
      </c>
      <c r="O19" s="2947"/>
      <c r="P19" s="2947"/>
      <c r="Q19" s="2949"/>
      <c r="R19" s="2950"/>
      <c r="S19" s="2950"/>
      <c r="T19" s="2950"/>
      <c r="U19" s="2950"/>
      <c r="V19" s="2968" t="s">
        <v>710</v>
      </c>
      <c r="W19" s="2969"/>
      <c r="X19" s="2945" t="s">
        <v>400</v>
      </c>
      <c r="Y19" s="2945"/>
      <c r="Z19" s="2947" t="s">
        <v>712</v>
      </c>
      <c r="AA19" s="2947"/>
      <c r="AB19" s="2947"/>
      <c r="AC19" s="2949"/>
      <c r="AD19" s="2950"/>
      <c r="AE19" s="2950"/>
      <c r="AF19" s="2950"/>
      <c r="AG19" s="2950"/>
      <c r="AH19" s="2968" t="s">
        <v>710</v>
      </c>
      <c r="AI19" s="2969"/>
    </row>
    <row r="20" spans="2:35" ht="14.1" customHeight="1">
      <c r="B20" s="2935"/>
      <c r="C20" s="2936"/>
      <c r="D20" s="2936"/>
      <c r="E20" s="2937"/>
      <c r="F20" s="2924"/>
      <c r="G20" s="2924"/>
      <c r="H20" s="2924"/>
      <c r="I20" s="2924"/>
      <c r="J20" s="2924"/>
      <c r="K20" s="2942"/>
      <c r="L20" s="2945"/>
      <c r="M20" s="2945"/>
      <c r="N20" s="2948"/>
      <c r="O20" s="2948"/>
      <c r="P20" s="2948"/>
      <c r="Q20" s="2951"/>
      <c r="R20" s="2952"/>
      <c r="S20" s="2952"/>
      <c r="T20" s="2952"/>
      <c r="U20" s="2952"/>
      <c r="V20" s="2970"/>
      <c r="W20" s="2971"/>
      <c r="X20" s="2945"/>
      <c r="Y20" s="2945"/>
      <c r="Z20" s="2948"/>
      <c r="AA20" s="2948"/>
      <c r="AB20" s="2948"/>
      <c r="AC20" s="2951"/>
      <c r="AD20" s="2952"/>
      <c r="AE20" s="2952"/>
      <c r="AF20" s="2952"/>
      <c r="AG20" s="2952"/>
      <c r="AH20" s="2970"/>
      <c r="AI20" s="2971"/>
    </row>
    <row r="21" spans="2:35" ht="14.1" customHeight="1">
      <c r="B21" s="2935"/>
      <c r="C21" s="2936"/>
      <c r="D21" s="2936"/>
      <c r="E21" s="2937"/>
      <c r="F21" s="2924"/>
      <c r="G21" s="2924"/>
      <c r="H21" s="2924"/>
      <c r="I21" s="2924"/>
      <c r="J21" s="2924"/>
      <c r="K21" s="2942"/>
      <c r="L21" s="2945"/>
      <c r="M21" s="2945"/>
      <c r="N21" s="2953" t="s">
        <v>713</v>
      </c>
      <c r="O21" s="2953"/>
      <c r="P21" s="2953"/>
      <c r="Q21" s="2955"/>
      <c r="R21" s="2956"/>
      <c r="S21" s="2956"/>
      <c r="T21" s="2956"/>
      <c r="U21" s="2956"/>
      <c r="V21" s="2930" t="s">
        <v>710</v>
      </c>
      <c r="W21" s="2931"/>
      <c r="X21" s="2945"/>
      <c r="Y21" s="2945"/>
      <c r="Z21" s="2953" t="s">
        <v>713</v>
      </c>
      <c r="AA21" s="2953"/>
      <c r="AB21" s="2953"/>
      <c r="AC21" s="2955"/>
      <c r="AD21" s="2956"/>
      <c r="AE21" s="2956"/>
      <c r="AF21" s="2956"/>
      <c r="AG21" s="2956"/>
      <c r="AH21" s="2930" t="s">
        <v>710</v>
      </c>
      <c r="AI21" s="2931"/>
    </row>
    <row r="22" spans="2:35" ht="14.1" customHeight="1">
      <c r="B22" s="2938"/>
      <c r="C22" s="2939"/>
      <c r="D22" s="2939"/>
      <c r="E22" s="2940"/>
      <c r="F22" s="2943"/>
      <c r="G22" s="2943"/>
      <c r="H22" s="2943"/>
      <c r="I22" s="2943"/>
      <c r="J22" s="2943"/>
      <c r="K22" s="2944"/>
      <c r="L22" s="2946"/>
      <c r="M22" s="2946"/>
      <c r="N22" s="2954"/>
      <c r="O22" s="2954"/>
      <c r="P22" s="2954"/>
      <c r="Q22" s="2955"/>
      <c r="R22" s="2956"/>
      <c r="S22" s="2956"/>
      <c r="T22" s="2956"/>
      <c r="U22" s="2956"/>
      <c r="V22" s="2930"/>
      <c r="W22" s="2931"/>
      <c r="X22" s="2946"/>
      <c r="Y22" s="2946"/>
      <c r="Z22" s="2954"/>
      <c r="AA22" s="2954"/>
      <c r="AB22" s="2954"/>
      <c r="AC22" s="2955"/>
      <c r="AD22" s="2956"/>
      <c r="AE22" s="2956"/>
      <c r="AF22" s="2956"/>
      <c r="AG22" s="2956"/>
      <c r="AH22" s="2930"/>
      <c r="AI22" s="2931"/>
    </row>
    <row r="23" spans="2:35" ht="15.45" customHeight="1">
      <c r="B23" s="2921" t="s">
        <v>716</v>
      </c>
      <c r="C23" s="2922"/>
      <c r="D23" s="2922"/>
      <c r="E23" s="2922"/>
      <c r="F23" s="2922"/>
      <c r="G23" s="2922"/>
      <c r="H23" s="2922"/>
      <c r="I23" s="2922"/>
      <c r="J23" s="2922"/>
      <c r="K23" s="2922"/>
      <c r="L23" s="381"/>
      <c r="M23" s="382"/>
      <c r="N23" s="382"/>
      <c r="O23" s="382"/>
      <c r="P23" s="382"/>
      <c r="Q23" s="383"/>
      <c r="R23" s="383"/>
      <c r="S23" s="2925"/>
      <c r="T23" s="2925"/>
      <c r="U23" s="2925"/>
      <c r="V23" s="2925"/>
      <c r="W23" s="2925"/>
      <c r="X23" s="2925"/>
      <c r="Y23" s="2925"/>
      <c r="Z23" s="2925"/>
      <c r="AA23" s="2925"/>
      <c r="AB23" s="2925"/>
      <c r="AC23" s="2920" t="s">
        <v>717</v>
      </c>
      <c r="AD23" s="2920"/>
      <c r="AE23" s="2920"/>
      <c r="AF23" s="2920"/>
      <c r="AG23" s="2920"/>
      <c r="AH23" s="2920"/>
      <c r="AI23" s="2927"/>
    </row>
    <row r="24" spans="2:35" ht="15.45" customHeight="1">
      <c r="B24" s="2923"/>
      <c r="C24" s="2924"/>
      <c r="D24" s="2924"/>
      <c r="E24" s="2924"/>
      <c r="F24" s="2924"/>
      <c r="G24" s="2924"/>
      <c r="H24" s="2924"/>
      <c r="I24" s="2924"/>
      <c r="J24" s="2924"/>
      <c r="K24" s="2924"/>
      <c r="L24" s="384"/>
      <c r="M24" s="385"/>
      <c r="N24" s="385"/>
      <c r="O24" s="385"/>
      <c r="P24" s="385"/>
      <c r="Q24" s="386"/>
      <c r="R24" s="386"/>
      <c r="S24" s="2926"/>
      <c r="T24" s="2926"/>
      <c r="U24" s="2926"/>
      <c r="V24" s="2926"/>
      <c r="W24" s="2926"/>
      <c r="X24" s="2926"/>
      <c r="Y24" s="2926"/>
      <c r="Z24" s="2926"/>
      <c r="AA24" s="2926"/>
      <c r="AB24" s="2926"/>
      <c r="AC24" s="2928"/>
      <c r="AD24" s="2928"/>
      <c r="AE24" s="2928"/>
      <c r="AF24" s="2928"/>
      <c r="AG24" s="2928"/>
      <c r="AH24" s="2928"/>
      <c r="AI24" s="2929"/>
    </row>
    <row r="25" spans="2:35" ht="15.45" customHeight="1">
      <c r="B25" s="2957" t="s">
        <v>735</v>
      </c>
      <c r="C25" s="2922"/>
      <c r="D25" s="2922"/>
      <c r="E25" s="2922"/>
      <c r="F25" s="2922"/>
      <c r="G25" s="2922"/>
      <c r="H25" s="2922"/>
      <c r="I25" s="2922"/>
      <c r="J25" s="2922"/>
      <c r="K25" s="2922"/>
      <c r="L25" s="2924"/>
      <c r="M25" s="2924"/>
      <c r="N25" s="2924"/>
      <c r="O25" s="2924"/>
      <c r="P25" s="2924"/>
      <c r="Q25" s="2924"/>
      <c r="R25" s="2924"/>
      <c r="S25" s="2924"/>
      <c r="T25" s="2924"/>
      <c r="U25" s="2924"/>
      <c r="V25" s="2924"/>
      <c r="W25" s="2924"/>
      <c r="X25" s="2924"/>
      <c r="Y25" s="2924"/>
      <c r="Z25" s="2924"/>
      <c r="AA25" s="2924"/>
      <c r="AB25" s="2924"/>
      <c r="AC25" s="2924"/>
      <c r="AD25" s="2924"/>
      <c r="AE25" s="2924"/>
      <c r="AF25" s="2924"/>
      <c r="AG25" s="2924"/>
      <c r="AH25" s="2924"/>
      <c r="AI25" s="2942"/>
    </row>
    <row r="26" spans="2:35" ht="15.45" customHeight="1">
      <c r="B26" s="2958"/>
      <c r="C26" s="2943"/>
      <c r="D26" s="2943"/>
      <c r="E26" s="2943"/>
      <c r="F26" s="2943"/>
      <c r="G26" s="2943"/>
      <c r="H26" s="2943"/>
      <c r="I26" s="2943"/>
      <c r="J26" s="2943"/>
      <c r="K26" s="2943"/>
      <c r="L26" s="2943"/>
      <c r="M26" s="2943"/>
      <c r="N26" s="2943"/>
      <c r="O26" s="2943"/>
      <c r="P26" s="2943"/>
      <c r="Q26" s="2943"/>
      <c r="R26" s="2943"/>
      <c r="S26" s="2943"/>
      <c r="T26" s="2943"/>
      <c r="U26" s="2943"/>
      <c r="V26" s="2943"/>
      <c r="W26" s="2943"/>
      <c r="X26" s="2943"/>
      <c r="Y26" s="2943"/>
      <c r="Z26" s="2943"/>
      <c r="AA26" s="2943"/>
      <c r="AB26" s="2943"/>
      <c r="AC26" s="2943"/>
      <c r="AD26" s="2943"/>
      <c r="AE26" s="2943"/>
      <c r="AF26" s="2943"/>
      <c r="AG26" s="2943"/>
      <c r="AH26" s="2943"/>
      <c r="AI26" s="2944"/>
    </row>
    <row r="27" spans="2:35">
      <c r="B27" s="2959"/>
      <c r="C27" s="2960"/>
      <c r="D27" s="2960"/>
      <c r="E27" s="2960"/>
      <c r="F27" s="2960"/>
      <c r="G27" s="2960"/>
      <c r="H27" s="2960"/>
      <c r="I27" s="2960"/>
      <c r="J27" s="2960"/>
      <c r="K27" s="2960"/>
      <c r="L27" s="2960"/>
      <c r="M27" s="2960"/>
      <c r="N27" s="2960"/>
      <c r="O27" s="2960"/>
      <c r="P27" s="2960"/>
      <c r="Q27" s="2960"/>
      <c r="R27" s="2960"/>
      <c r="S27" s="2960"/>
      <c r="T27" s="2960"/>
      <c r="U27" s="2960"/>
      <c r="V27" s="2960"/>
      <c r="W27" s="2960"/>
      <c r="X27" s="2960"/>
      <c r="Y27" s="2960"/>
      <c r="Z27" s="2960"/>
      <c r="AA27" s="2960"/>
      <c r="AB27" s="2960"/>
      <c r="AC27" s="2960"/>
      <c r="AD27" s="2960"/>
      <c r="AE27" s="2960"/>
      <c r="AF27" s="2960"/>
      <c r="AG27" s="2960"/>
      <c r="AH27" s="2960"/>
      <c r="AI27" s="2961"/>
    </row>
    <row r="28" spans="2:35">
      <c r="B28" s="2962"/>
      <c r="C28" s="2963"/>
      <c r="D28" s="2963"/>
      <c r="E28" s="2963"/>
      <c r="F28" s="2963"/>
      <c r="G28" s="2963"/>
      <c r="H28" s="2963"/>
      <c r="I28" s="2963"/>
      <c r="J28" s="2963"/>
      <c r="K28" s="2963"/>
      <c r="L28" s="2963"/>
      <c r="M28" s="2963"/>
      <c r="N28" s="2963"/>
      <c r="O28" s="2963"/>
      <c r="P28" s="2963"/>
      <c r="Q28" s="2963"/>
      <c r="R28" s="2963"/>
      <c r="S28" s="2963"/>
      <c r="T28" s="2963"/>
      <c r="U28" s="2963"/>
      <c r="V28" s="2963"/>
      <c r="W28" s="2963"/>
      <c r="X28" s="2963"/>
      <c r="Y28" s="2963"/>
      <c r="Z28" s="2963"/>
      <c r="AA28" s="2963"/>
      <c r="AB28" s="2963"/>
      <c r="AC28" s="2963"/>
      <c r="AD28" s="2963"/>
      <c r="AE28" s="2963"/>
      <c r="AF28" s="2963"/>
      <c r="AG28" s="2963"/>
      <c r="AH28" s="2963"/>
      <c r="AI28" s="2964"/>
    </row>
    <row r="29" spans="2:35">
      <c r="B29" s="2962"/>
      <c r="C29" s="2963"/>
      <c r="D29" s="2963"/>
      <c r="E29" s="2963"/>
      <c r="F29" s="2963"/>
      <c r="G29" s="2963"/>
      <c r="H29" s="2963"/>
      <c r="I29" s="2963"/>
      <c r="J29" s="2963"/>
      <c r="K29" s="2963"/>
      <c r="L29" s="2963"/>
      <c r="M29" s="2963"/>
      <c r="N29" s="2963"/>
      <c r="O29" s="2963"/>
      <c r="P29" s="2963"/>
      <c r="Q29" s="2963"/>
      <c r="R29" s="2963"/>
      <c r="S29" s="2963"/>
      <c r="T29" s="2963"/>
      <c r="U29" s="2963"/>
      <c r="V29" s="2963"/>
      <c r="W29" s="2963"/>
      <c r="X29" s="2963"/>
      <c r="Y29" s="2963"/>
      <c r="Z29" s="2963"/>
      <c r="AA29" s="2963"/>
      <c r="AB29" s="2963"/>
      <c r="AC29" s="2963"/>
      <c r="AD29" s="2963"/>
      <c r="AE29" s="2963"/>
      <c r="AF29" s="2963"/>
      <c r="AG29" s="2963"/>
      <c r="AH29" s="2963"/>
      <c r="AI29" s="2964"/>
    </row>
    <row r="30" spans="2:35">
      <c r="B30" s="2962"/>
      <c r="C30" s="2963"/>
      <c r="D30" s="2963"/>
      <c r="E30" s="2963"/>
      <c r="F30" s="2963"/>
      <c r="G30" s="2963"/>
      <c r="H30" s="2963"/>
      <c r="I30" s="2963"/>
      <c r="J30" s="2963"/>
      <c r="K30" s="2963"/>
      <c r="L30" s="2963"/>
      <c r="M30" s="2963"/>
      <c r="N30" s="2963"/>
      <c r="O30" s="2963"/>
      <c r="P30" s="2963"/>
      <c r="Q30" s="2963"/>
      <c r="R30" s="2963"/>
      <c r="S30" s="2963"/>
      <c r="T30" s="2963"/>
      <c r="U30" s="2963"/>
      <c r="V30" s="2963"/>
      <c r="W30" s="2963"/>
      <c r="X30" s="2963"/>
      <c r="Y30" s="2963"/>
      <c r="Z30" s="2963"/>
      <c r="AA30" s="2963"/>
      <c r="AB30" s="2963"/>
      <c r="AC30" s="2963"/>
      <c r="AD30" s="2963"/>
      <c r="AE30" s="2963"/>
      <c r="AF30" s="2963"/>
      <c r="AG30" s="2963"/>
      <c r="AH30" s="2963"/>
      <c r="AI30" s="2964"/>
    </row>
    <row r="31" spans="2:35">
      <c r="B31" s="2962"/>
      <c r="C31" s="2963"/>
      <c r="D31" s="2963"/>
      <c r="E31" s="2963"/>
      <c r="F31" s="2963"/>
      <c r="G31" s="2963"/>
      <c r="H31" s="2963"/>
      <c r="I31" s="2963"/>
      <c r="J31" s="2963"/>
      <c r="K31" s="2963"/>
      <c r="L31" s="2963"/>
      <c r="M31" s="2963"/>
      <c r="N31" s="2963"/>
      <c r="O31" s="2963"/>
      <c r="P31" s="2963"/>
      <c r="Q31" s="2963"/>
      <c r="R31" s="2963"/>
      <c r="S31" s="2963"/>
      <c r="T31" s="2963"/>
      <c r="U31" s="2963"/>
      <c r="V31" s="2963"/>
      <c r="W31" s="2963"/>
      <c r="X31" s="2963"/>
      <c r="Y31" s="2963"/>
      <c r="Z31" s="2963"/>
      <c r="AA31" s="2963"/>
      <c r="AB31" s="2963"/>
      <c r="AC31" s="2963"/>
      <c r="AD31" s="2963"/>
      <c r="AE31" s="2963"/>
      <c r="AF31" s="2963"/>
      <c r="AG31" s="2963"/>
      <c r="AH31" s="2963"/>
      <c r="AI31" s="2964"/>
    </row>
    <row r="32" spans="2:35">
      <c r="B32" s="2962"/>
      <c r="C32" s="2963"/>
      <c r="D32" s="2963"/>
      <c r="E32" s="2963"/>
      <c r="F32" s="2963"/>
      <c r="G32" s="2963"/>
      <c r="H32" s="2963"/>
      <c r="I32" s="2963"/>
      <c r="J32" s="2963"/>
      <c r="K32" s="2963"/>
      <c r="L32" s="2963"/>
      <c r="M32" s="2963"/>
      <c r="N32" s="2963"/>
      <c r="O32" s="2963"/>
      <c r="P32" s="2963"/>
      <c r="Q32" s="2963"/>
      <c r="R32" s="2963"/>
      <c r="S32" s="2963"/>
      <c r="T32" s="2963"/>
      <c r="U32" s="2963"/>
      <c r="V32" s="2963"/>
      <c r="W32" s="2963"/>
      <c r="X32" s="2963"/>
      <c r="Y32" s="2963"/>
      <c r="Z32" s="2963"/>
      <c r="AA32" s="2963"/>
      <c r="AB32" s="2963"/>
      <c r="AC32" s="2963"/>
      <c r="AD32" s="2963"/>
      <c r="AE32" s="2963"/>
      <c r="AF32" s="2963"/>
      <c r="AG32" s="2963"/>
      <c r="AH32" s="2963"/>
      <c r="AI32" s="2964"/>
    </row>
    <row r="33" spans="2:35">
      <c r="B33" s="2962"/>
      <c r="C33" s="2963"/>
      <c r="D33" s="2963"/>
      <c r="E33" s="2963"/>
      <c r="F33" s="2963"/>
      <c r="G33" s="2963"/>
      <c r="H33" s="2963"/>
      <c r="I33" s="2963"/>
      <c r="J33" s="2963"/>
      <c r="K33" s="2963"/>
      <c r="L33" s="2963"/>
      <c r="M33" s="2963"/>
      <c r="N33" s="2963"/>
      <c r="O33" s="2963"/>
      <c r="P33" s="2963"/>
      <c r="Q33" s="2963"/>
      <c r="R33" s="2963"/>
      <c r="S33" s="2963"/>
      <c r="T33" s="2963"/>
      <c r="U33" s="2963"/>
      <c r="V33" s="2963"/>
      <c r="W33" s="2963"/>
      <c r="X33" s="2963"/>
      <c r="Y33" s="2963"/>
      <c r="Z33" s="2963"/>
      <c r="AA33" s="2963"/>
      <c r="AB33" s="2963"/>
      <c r="AC33" s="2963"/>
      <c r="AD33" s="2963"/>
      <c r="AE33" s="2963"/>
      <c r="AF33" s="2963"/>
      <c r="AG33" s="2963"/>
      <c r="AH33" s="2963"/>
      <c r="AI33" s="2964"/>
    </row>
    <row r="34" spans="2:35">
      <c r="B34" s="2962"/>
      <c r="C34" s="2963"/>
      <c r="D34" s="2963"/>
      <c r="E34" s="2963"/>
      <c r="F34" s="2963"/>
      <c r="G34" s="2963"/>
      <c r="H34" s="2963"/>
      <c r="I34" s="2963"/>
      <c r="J34" s="2963"/>
      <c r="K34" s="2963"/>
      <c r="L34" s="2963"/>
      <c r="M34" s="2963"/>
      <c r="N34" s="2963"/>
      <c r="O34" s="2963"/>
      <c r="P34" s="2963"/>
      <c r="Q34" s="2963"/>
      <c r="R34" s="2963"/>
      <c r="S34" s="2963"/>
      <c r="T34" s="2963"/>
      <c r="U34" s="2963"/>
      <c r="V34" s="2963"/>
      <c r="W34" s="2963"/>
      <c r="X34" s="2963"/>
      <c r="Y34" s="2963"/>
      <c r="Z34" s="2963"/>
      <c r="AA34" s="2963"/>
      <c r="AB34" s="2963"/>
      <c r="AC34" s="2963"/>
      <c r="AD34" s="2963"/>
      <c r="AE34" s="2963"/>
      <c r="AF34" s="2963"/>
      <c r="AG34" s="2963"/>
      <c r="AH34" s="2963"/>
      <c r="AI34" s="2964"/>
    </row>
    <row r="35" spans="2:35">
      <c r="B35" s="2962"/>
      <c r="C35" s="2963"/>
      <c r="D35" s="2963"/>
      <c r="E35" s="2963"/>
      <c r="F35" s="2963"/>
      <c r="G35" s="2963"/>
      <c r="H35" s="2963"/>
      <c r="I35" s="2963"/>
      <c r="J35" s="2963"/>
      <c r="K35" s="2963"/>
      <c r="L35" s="2963"/>
      <c r="M35" s="2963"/>
      <c r="N35" s="2963"/>
      <c r="O35" s="2963"/>
      <c r="P35" s="2963"/>
      <c r="Q35" s="2963"/>
      <c r="R35" s="2963"/>
      <c r="S35" s="2963"/>
      <c r="T35" s="2963"/>
      <c r="U35" s="2963"/>
      <c r="V35" s="2963"/>
      <c r="W35" s="2963"/>
      <c r="X35" s="2963"/>
      <c r="Y35" s="2963"/>
      <c r="Z35" s="2963"/>
      <c r="AA35" s="2963"/>
      <c r="AB35" s="2963"/>
      <c r="AC35" s="2963"/>
      <c r="AD35" s="2963"/>
      <c r="AE35" s="2963"/>
      <c r="AF35" s="2963"/>
      <c r="AG35" s="2963"/>
      <c r="AH35" s="2963"/>
      <c r="AI35" s="2964"/>
    </row>
    <row r="36" spans="2:35">
      <c r="B36" s="2962"/>
      <c r="C36" s="2963"/>
      <c r="D36" s="2963"/>
      <c r="E36" s="2963"/>
      <c r="F36" s="2963"/>
      <c r="G36" s="2963"/>
      <c r="H36" s="2963"/>
      <c r="I36" s="2963"/>
      <c r="J36" s="2963"/>
      <c r="K36" s="2963"/>
      <c r="L36" s="2963"/>
      <c r="M36" s="2963"/>
      <c r="N36" s="2963"/>
      <c r="O36" s="2963"/>
      <c r="P36" s="2963"/>
      <c r="Q36" s="2963"/>
      <c r="R36" s="2963"/>
      <c r="S36" s="2963"/>
      <c r="T36" s="2963"/>
      <c r="U36" s="2963"/>
      <c r="V36" s="2963"/>
      <c r="W36" s="2963"/>
      <c r="X36" s="2963"/>
      <c r="Y36" s="2963"/>
      <c r="Z36" s="2963"/>
      <c r="AA36" s="2963"/>
      <c r="AB36" s="2963"/>
      <c r="AC36" s="2963"/>
      <c r="AD36" s="2963"/>
      <c r="AE36" s="2963"/>
      <c r="AF36" s="2963"/>
      <c r="AG36" s="2963"/>
      <c r="AH36" s="2963"/>
      <c r="AI36" s="2964"/>
    </row>
    <row r="37" spans="2:35">
      <c r="B37" s="2962"/>
      <c r="C37" s="2963"/>
      <c r="D37" s="2963"/>
      <c r="E37" s="2963"/>
      <c r="F37" s="2963"/>
      <c r="G37" s="2963"/>
      <c r="H37" s="2963"/>
      <c r="I37" s="2963"/>
      <c r="J37" s="2963"/>
      <c r="K37" s="2963"/>
      <c r="L37" s="2963"/>
      <c r="M37" s="2963"/>
      <c r="N37" s="2963"/>
      <c r="O37" s="2963"/>
      <c r="P37" s="2963"/>
      <c r="Q37" s="2963"/>
      <c r="R37" s="2963"/>
      <c r="S37" s="2963"/>
      <c r="T37" s="2963"/>
      <c r="U37" s="2963"/>
      <c r="V37" s="2963"/>
      <c r="W37" s="2963"/>
      <c r="X37" s="2963"/>
      <c r="Y37" s="2963"/>
      <c r="Z37" s="2963"/>
      <c r="AA37" s="2963"/>
      <c r="AB37" s="2963"/>
      <c r="AC37" s="2963"/>
      <c r="AD37" s="2963"/>
      <c r="AE37" s="2963"/>
      <c r="AF37" s="2963"/>
      <c r="AG37" s="2963"/>
      <c r="AH37" s="2963"/>
      <c r="AI37" s="2964"/>
    </row>
    <row r="38" spans="2:35">
      <c r="B38" s="2962"/>
      <c r="C38" s="2963"/>
      <c r="D38" s="2963"/>
      <c r="E38" s="2963"/>
      <c r="F38" s="2963"/>
      <c r="G38" s="2963"/>
      <c r="H38" s="2963"/>
      <c r="I38" s="2963"/>
      <c r="J38" s="2963"/>
      <c r="K38" s="2963"/>
      <c r="L38" s="2963"/>
      <c r="M38" s="2963"/>
      <c r="N38" s="2963"/>
      <c r="O38" s="2963"/>
      <c r="P38" s="2963"/>
      <c r="Q38" s="2963"/>
      <c r="R38" s="2963"/>
      <c r="S38" s="2963"/>
      <c r="T38" s="2963"/>
      <c r="U38" s="2963"/>
      <c r="V38" s="2963"/>
      <c r="W38" s="2963"/>
      <c r="X38" s="2963"/>
      <c r="Y38" s="2963"/>
      <c r="Z38" s="2963"/>
      <c r="AA38" s="2963"/>
      <c r="AB38" s="2963"/>
      <c r="AC38" s="2963"/>
      <c r="AD38" s="2963"/>
      <c r="AE38" s="2963"/>
      <c r="AF38" s="2963"/>
      <c r="AG38" s="2963"/>
      <c r="AH38" s="2963"/>
      <c r="AI38" s="2964"/>
    </row>
    <row r="39" spans="2:35">
      <c r="B39" s="2965"/>
      <c r="C39" s="2966"/>
      <c r="D39" s="2966"/>
      <c r="E39" s="2966"/>
      <c r="F39" s="2966"/>
      <c r="G39" s="2966"/>
      <c r="H39" s="2966"/>
      <c r="I39" s="2966"/>
      <c r="J39" s="2966"/>
      <c r="K39" s="2966"/>
      <c r="L39" s="2966"/>
      <c r="M39" s="2966"/>
      <c r="N39" s="2966"/>
      <c r="O39" s="2966"/>
      <c r="P39" s="2966"/>
      <c r="Q39" s="2966"/>
      <c r="R39" s="2966"/>
      <c r="S39" s="2966"/>
      <c r="T39" s="2966"/>
      <c r="U39" s="2966"/>
      <c r="V39" s="2966"/>
      <c r="W39" s="2966"/>
      <c r="X39" s="2966"/>
      <c r="Y39" s="2966"/>
      <c r="Z39" s="2966"/>
      <c r="AA39" s="2966"/>
      <c r="AB39" s="2966"/>
      <c r="AC39" s="2966"/>
      <c r="AD39" s="2966"/>
      <c r="AE39" s="2966"/>
      <c r="AF39" s="2966"/>
      <c r="AG39" s="2966"/>
      <c r="AH39" s="2966"/>
      <c r="AI39" s="2967"/>
    </row>
    <row r="40" spans="2:35" ht="15.45" customHeight="1">
      <c r="B40" s="2920" t="s">
        <v>718</v>
      </c>
      <c r="C40" s="2920"/>
      <c r="D40" s="2920"/>
      <c r="E40" s="2920"/>
      <c r="F40" s="2920"/>
      <c r="G40" s="2920"/>
      <c r="H40" s="2920"/>
      <c r="I40" s="2920"/>
      <c r="J40" s="2920"/>
      <c r="K40" s="2920"/>
      <c r="L40" s="2920"/>
      <c r="M40" s="2920"/>
      <c r="N40" s="2920"/>
      <c r="O40" s="2920"/>
      <c r="P40" s="2920"/>
      <c r="Q40" s="2920"/>
      <c r="R40" s="2920"/>
      <c r="S40" s="2920"/>
      <c r="T40" s="2920"/>
      <c r="U40" s="2920"/>
      <c r="V40" s="2920"/>
      <c r="W40" s="2920"/>
      <c r="X40" s="2920"/>
      <c r="Y40" s="2920"/>
      <c r="Z40" s="2920"/>
      <c r="AA40" s="2920"/>
      <c r="AB40" s="2920"/>
      <c r="AC40" s="2920"/>
      <c r="AD40" s="2920"/>
      <c r="AE40" s="2920"/>
      <c r="AF40" s="2920"/>
      <c r="AG40" s="2920"/>
      <c r="AH40" s="2920"/>
      <c r="AI40" s="2920"/>
    </row>
    <row r="41" spans="2:35" ht="15.45" customHeight="1"/>
    <row r="42" spans="2:35" ht="15.45" customHeight="1"/>
    <row r="43" spans="2:35" ht="15.45" customHeight="1"/>
    <row r="44" spans="2:35" ht="15.45" customHeight="1"/>
    <row r="45" spans="2:35" ht="15.45" customHeight="1"/>
  </sheetData>
  <mergeCells count="58">
    <mergeCell ref="B2:AI3"/>
    <mergeCell ref="B5:K10"/>
    <mergeCell ref="N6:O6"/>
    <mergeCell ref="N7:O7"/>
    <mergeCell ref="N8:O8"/>
    <mergeCell ref="N9:O9"/>
    <mergeCell ref="X11:Y14"/>
    <mergeCell ref="Z11:AB12"/>
    <mergeCell ref="AC11:AG12"/>
    <mergeCell ref="AH11:AI12"/>
    <mergeCell ref="N13:P14"/>
    <mergeCell ref="Q13:U14"/>
    <mergeCell ref="V13:W14"/>
    <mergeCell ref="Z13:AB14"/>
    <mergeCell ref="AC13:AG14"/>
    <mergeCell ref="AH13:AI14"/>
    <mergeCell ref="V11:W12"/>
    <mergeCell ref="N11:P12"/>
    <mergeCell ref="Q11:U12"/>
    <mergeCell ref="V15:W16"/>
    <mergeCell ref="X15:Y18"/>
    <mergeCell ref="Z15:AB16"/>
    <mergeCell ref="AC15:AG16"/>
    <mergeCell ref="AH15:AI16"/>
    <mergeCell ref="V17:W18"/>
    <mergeCell ref="Z17:AB18"/>
    <mergeCell ref="AC17:AG18"/>
    <mergeCell ref="AH17:AI18"/>
    <mergeCell ref="F19:K22"/>
    <mergeCell ref="L19:M22"/>
    <mergeCell ref="N19:P20"/>
    <mergeCell ref="Q19:U20"/>
    <mergeCell ref="V19:W20"/>
    <mergeCell ref="X19:Y22"/>
    <mergeCell ref="Z19:AB20"/>
    <mergeCell ref="AC19:AG20"/>
    <mergeCell ref="AH19:AI20"/>
    <mergeCell ref="N17:P18"/>
    <mergeCell ref="Q17:U18"/>
    <mergeCell ref="N21:P22"/>
    <mergeCell ref="Q21:U22"/>
    <mergeCell ref="V21:W22"/>
    <mergeCell ref="B40:AI40"/>
    <mergeCell ref="B23:K24"/>
    <mergeCell ref="S23:AB24"/>
    <mergeCell ref="AC23:AI24"/>
    <mergeCell ref="AH21:AI22"/>
    <mergeCell ref="B11:E22"/>
    <mergeCell ref="F11:K14"/>
    <mergeCell ref="L11:M14"/>
    <mergeCell ref="L15:M18"/>
    <mergeCell ref="N15:P16"/>
    <mergeCell ref="Q15:U16"/>
    <mergeCell ref="F15:K18"/>
    <mergeCell ref="Z21:AB22"/>
    <mergeCell ref="AC21:AG22"/>
    <mergeCell ref="B25:AI26"/>
    <mergeCell ref="B27:AI39"/>
  </mergeCells>
  <phoneticPr fontId="3"/>
  <dataValidations count="1">
    <dataValidation type="list" allowBlank="1" showInputMessage="1" showErrorMessage="1" sqref="N6:O9" xr:uid="{00000000-0002-0000-1B00-000000000000}">
      <formula1>$AL$2:$AL$3</formula1>
    </dataValidation>
  </dataValidations>
  <printOptions horizontalCentered="1"/>
  <pageMargins left="0.59055118110236227" right="0.19685039370078741" top="0.19685039370078741" bottom="0.19685039370078741" header="0.31496062992125984" footer="0.31496062992125984"/>
  <pageSetup paperSize="9" orientation="portrait" blackAndWhite="1"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pageSetUpPr fitToPage="1"/>
  </sheetPr>
  <dimension ref="B2:AD28"/>
  <sheetViews>
    <sheetView view="pageBreakPreview" zoomScaleNormal="100" zoomScaleSheetLayoutView="100" workbookViewId="0">
      <selection activeCell="AP23" sqref="AP23"/>
    </sheetView>
  </sheetViews>
  <sheetFormatPr defaultColWidth="9" defaultRowHeight="13.2"/>
  <cols>
    <col min="1" max="1" width="1.44140625" style="102" customWidth="1"/>
    <col min="2" max="27" width="3.6640625" style="102" customWidth="1"/>
    <col min="28" max="28" width="1" style="102" customWidth="1"/>
    <col min="29" max="50" width="3.6640625" style="102" customWidth="1"/>
    <col min="51" max="16384" width="9" style="102"/>
  </cols>
  <sheetData>
    <row r="2" spans="2:30">
      <c r="B2" s="101" t="s">
        <v>719</v>
      </c>
      <c r="AD2" s="355" t="s">
        <v>677</v>
      </c>
    </row>
    <row r="3" spans="2:30">
      <c r="C3" s="2841" t="s">
        <v>720</v>
      </c>
      <c r="D3" s="2841"/>
      <c r="E3" s="2841"/>
      <c r="F3" s="2841"/>
      <c r="G3" s="2841"/>
      <c r="H3" s="2841"/>
      <c r="I3" s="2841"/>
      <c r="J3" s="2841"/>
      <c r="K3" s="2841"/>
      <c r="L3" s="2841"/>
      <c r="M3" s="2841"/>
      <c r="N3" s="2841"/>
      <c r="O3" s="2841"/>
      <c r="P3" s="2841"/>
      <c r="Q3" s="2841"/>
      <c r="R3" s="2841"/>
      <c r="S3" s="2841"/>
      <c r="T3" s="2841"/>
      <c r="U3" s="2841"/>
      <c r="V3" s="2841"/>
      <c r="W3" s="2841"/>
      <c r="X3" s="2841"/>
      <c r="Y3" s="2841"/>
      <c r="Z3" s="2841"/>
      <c r="AD3" s="355" t="s">
        <v>721</v>
      </c>
    </row>
    <row r="5" spans="2:30" ht="13.5" customHeight="1">
      <c r="C5" s="2998" t="s">
        <v>722</v>
      </c>
      <c r="D5" s="2999"/>
      <c r="E5" s="2999"/>
      <c r="F5" s="3000"/>
      <c r="G5" s="3001" t="s">
        <v>723</v>
      </c>
      <c r="H5" s="2891"/>
      <c r="I5" s="2988" t="s">
        <v>460</v>
      </c>
      <c r="J5" s="2990"/>
      <c r="K5" s="103"/>
      <c r="L5" s="2918"/>
      <c r="M5" s="2918"/>
      <c r="N5" s="2918"/>
      <c r="O5" s="357"/>
      <c r="P5" s="358"/>
      <c r="Q5" s="3001" t="s">
        <v>724</v>
      </c>
      <c r="R5" s="2891"/>
      <c r="S5" s="2988" t="s">
        <v>460</v>
      </c>
      <c r="T5" s="2990"/>
      <c r="U5" s="357"/>
      <c r="V5" s="2918"/>
      <c r="W5" s="2918"/>
      <c r="X5" s="2918"/>
      <c r="Y5" s="357"/>
      <c r="Z5" s="358"/>
    </row>
    <row r="6" spans="2:30">
      <c r="C6" s="3002" t="s">
        <v>725</v>
      </c>
      <c r="D6" s="3003"/>
      <c r="E6" s="3003"/>
      <c r="F6" s="3004"/>
      <c r="G6" s="2892"/>
      <c r="H6" s="2893"/>
      <c r="I6" s="2994"/>
      <c r="J6" s="2996"/>
      <c r="K6" s="105"/>
      <c r="L6" s="2919"/>
      <c r="M6" s="2919"/>
      <c r="N6" s="2919"/>
      <c r="O6" s="350" t="s">
        <v>726</v>
      </c>
      <c r="P6" s="359"/>
      <c r="Q6" s="2892"/>
      <c r="R6" s="2893"/>
      <c r="S6" s="2994"/>
      <c r="T6" s="2996"/>
      <c r="U6" s="350"/>
      <c r="V6" s="2919"/>
      <c r="W6" s="2919"/>
      <c r="X6" s="2919"/>
      <c r="Y6" s="350" t="s">
        <v>726</v>
      </c>
      <c r="Z6" s="359"/>
    </row>
    <row r="7" spans="2:30">
      <c r="C7" s="3002" t="s">
        <v>395</v>
      </c>
      <c r="D7" s="3003"/>
      <c r="E7" s="3003"/>
      <c r="F7" s="3004"/>
      <c r="G7" s="2892"/>
      <c r="H7" s="2893"/>
      <c r="I7" s="2988" t="s">
        <v>713</v>
      </c>
      <c r="J7" s="2990"/>
      <c r="K7" s="104"/>
      <c r="L7" s="2918"/>
      <c r="M7" s="2918"/>
      <c r="N7" s="2918"/>
      <c r="Q7" s="2892"/>
      <c r="R7" s="2893"/>
      <c r="S7" s="2988" t="s">
        <v>713</v>
      </c>
      <c r="T7" s="2990"/>
      <c r="V7" s="2918"/>
      <c r="W7" s="2918"/>
      <c r="X7" s="2918"/>
      <c r="Z7" s="360"/>
    </row>
    <row r="8" spans="2:30">
      <c r="C8" s="378"/>
      <c r="D8" s="379"/>
      <c r="E8" s="379"/>
      <c r="F8" s="380"/>
      <c r="G8" s="2894"/>
      <c r="H8" s="2896"/>
      <c r="I8" s="2994"/>
      <c r="J8" s="2996"/>
      <c r="K8" s="105"/>
      <c r="L8" s="2919"/>
      <c r="M8" s="2919"/>
      <c r="N8" s="2919"/>
      <c r="O8" s="350" t="s">
        <v>726</v>
      </c>
      <c r="P8" s="350"/>
      <c r="Q8" s="2894"/>
      <c r="R8" s="2896"/>
      <c r="S8" s="2994"/>
      <c r="T8" s="2996"/>
      <c r="U8" s="350"/>
      <c r="V8" s="2919"/>
      <c r="W8" s="2919"/>
      <c r="X8" s="2919"/>
      <c r="Y8" s="350" t="s">
        <v>726</v>
      </c>
      <c r="Z8" s="359"/>
    </row>
    <row r="9" spans="2:30">
      <c r="C9" s="2988" t="s">
        <v>716</v>
      </c>
      <c r="D9" s="2989"/>
      <c r="E9" s="2989"/>
      <c r="F9" s="2989"/>
      <c r="G9" s="2989"/>
      <c r="H9" s="2989"/>
      <c r="I9" s="2989"/>
      <c r="J9" s="2990"/>
      <c r="K9" s="103"/>
      <c r="L9" s="357"/>
      <c r="M9" s="357"/>
      <c r="N9" s="357"/>
      <c r="O9" s="357"/>
      <c r="P9" s="357"/>
      <c r="Q9" s="357"/>
      <c r="R9" s="357"/>
      <c r="S9" s="357"/>
      <c r="T9" s="357"/>
      <c r="U9" s="357"/>
      <c r="V9" s="357"/>
      <c r="W9" s="357"/>
      <c r="X9" s="357"/>
      <c r="Y9" s="357"/>
      <c r="Z9" s="358"/>
    </row>
    <row r="10" spans="2:30">
      <c r="C10" s="2991"/>
      <c r="D10" s="2992"/>
      <c r="E10" s="2992"/>
      <c r="F10" s="2992"/>
      <c r="G10" s="2992"/>
      <c r="H10" s="2992"/>
      <c r="I10" s="2992"/>
      <c r="J10" s="2993"/>
      <c r="K10" s="104"/>
      <c r="Q10" s="2997"/>
      <c r="R10" s="2997"/>
      <c r="S10" s="2997"/>
      <c r="T10" s="2997"/>
      <c r="U10" s="2997"/>
      <c r="V10" s="2997"/>
      <c r="W10" s="2875" t="s">
        <v>727</v>
      </c>
      <c r="X10" s="2875"/>
      <c r="Y10" s="2875"/>
      <c r="Z10" s="2901"/>
    </row>
    <row r="11" spans="2:30">
      <c r="C11" s="2994"/>
      <c r="D11" s="2995"/>
      <c r="E11" s="2995"/>
      <c r="F11" s="2995"/>
      <c r="G11" s="2995"/>
      <c r="H11" s="2995"/>
      <c r="I11" s="2995"/>
      <c r="J11" s="2996"/>
      <c r="K11" s="105"/>
      <c r="L11" s="350"/>
      <c r="M11" s="350"/>
      <c r="N11" s="350"/>
      <c r="O11" s="350"/>
      <c r="P11" s="350"/>
      <c r="Q11" s="350"/>
      <c r="R11" s="350"/>
      <c r="S11" s="350"/>
      <c r="T11" s="350"/>
      <c r="U11" s="350"/>
      <c r="V11" s="350"/>
      <c r="W11" s="350"/>
      <c r="X11" s="350"/>
      <c r="Y11" s="350"/>
      <c r="Z11" s="359"/>
    </row>
    <row r="12" spans="2:30">
      <c r="C12" s="2889" t="s">
        <v>728</v>
      </c>
      <c r="D12" s="2890"/>
      <c r="E12" s="2890"/>
      <c r="F12" s="2890"/>
      <c r="G12" s="2890"/>
      <c r="H12" s="2890"/>
      <c r="I12" s="2890"/>
      <c r="J12" s="2890"/>
      <c r="K12" s="2890"/>
      <c r="L12" s="2890"/>
      <c r="M12" s="2890"/>
      <c r="N12" s="2890"/>
      <c r="O12" s="2890"/>
      <c r="P12" s="2890"/>
      <c r="Q12" s="2890"/>
      <c r="R12" s="2890"/>
      <c r="S12" s="2890"/>
      <c r="T12" s="2890"/>
      <c r="U12" s="2890"/>
      <c r="V12" s="2890"/>
      <c r="W12" s="2890"/>
      <c r="X12" s="2890"/>
      <c r="Y12" s="2890"/>
      <c r="Z12" s="2891"/>
    </row>
    <row r="13" spans="2:30">
      <c r="C13" s="2892"/>
      <c r="D13" s="2841"/>
      <c r="E13" s="2841"/>
      <c r="F13" s="2841"/>
      <c r="G13" s="2895"/>
      <c r="H13" s="2895"/>
      <c r="I13" s="2895"/>
      <c r="J13" s="2895"/>
      <c r="K13" s="2895"/>
      <c r="L13" s="2895"/>
      <c r="M13" s="2895"/>
      <c r="N13" s="2895"/>
      <c r="O13" s="2895"/>
      <c r="P13" s="2895"/>
      <c r="Q13" s="2895"/>
      <c r="R13" s="2895"/>
      <c r="S13" s="2895"/>
      <c r="T13" s="2895"/>
      <c r="U13" s="2895"/>
      <c r="V13" s="2895"/>
      <c r="W13" s="2895"/>
      <c r="X13" s="2895"/>
      <c r="Y13" s="2895"/>
      <c r="Z13" s="2896"/>
    </row>
    <row r="14" spans="2:30">
      <c r="C14" s="2988" t="s">
        <v>729</v>
      </c>
      <c r="D14" s="2989"/>
      <c r="E14" s="2989"/>
      <c r="F14" s="2990"/>
      <c r="G14" s="2880"/>
      <c r="H14" s="2881"/>
      <c r="I14" s="2881"/>
      <c r="J14" s="2881"/>
      <c r="K14" s="2881"/>
      <c r="L14" s="2881"/>
      <c r="M14" s="2881"/>
      <c r="N14" s="2881"/>
      <c r="O14" s="2881"/>
      <c r="P14" s="2881"/>
      <c r="Q14" s="2881"/>
      <c r="R14" s="2881"/>
      <c r="S14" s="2881"/>
      <c r="T14" s="2881"/>
      <c r="U14" s="2881"/>
      <c r="V14" s="2881"/>
      <c r="W14" s="2881"/>
      <c r="X14" s="2881"/>
      <c r="Y14" s="2881"/>
      <c r="Z14" s="2882"/>
    </row>
    <row r="15" spans="2:30">
      <c r="C15" s="2991"/>
      <c r="D15" s="2992"/>
      <c r="E15" s="2992"/>
      <c r="F15" s="2993"/>
      <c r="G15" s="2883"/>
      <c r="H15" s="2884"/>
      <c r="I15" s="2884"/>
      <c r="J15" s="2884"/>
      <c r="K15" s="2884"/>
      <c r="L15" s="2884"/>
      <c r="M15" s="2884"/>
      <c r="N15" s="2884"/>
      <c r="O15" s="2884"/>
      <c r="P15" s="2884"/>
      <c r="Q15" s="2884"/>
      <c r="R15" s="2884"/>
      <c r="S15" s="2884"/>
      <c r="T15" s="2884"/>
      <c r="U15" s="2884"/>
      <c r="V15" s="2884"/>
      <c r="W15" s="2884"/>
      <c r="X15" s="2884"/>
      <c r="Y15" s="2884"/>
      <c r="Z15" s="2885"/>
    </row>
    <row r="16" spans="2:30">
      <c r="C16" s="2994"/>
      <c r="D16" s="2995"/>
      <c r="E16" s="2995"/>
      <c r="F16" s="2996"/>
      <c r="G16" s="2886"/>
      <c r="H16" s="2887"/>
      <c r="I16" s="2887"/>
      <c r="J16" s="2887"/>
      <c r="K16" s="2887"/>
      <c r="L16" s="2887"/>
      <c r="M16" s="2887"/>
      <c r="N16" s="2887"/>
      <c r="O16" s="2887"/>
      <c r="P16" s="2887"/>
      <c r="Q16" s="2887"/>
      <c r="R16" s="2887"/>
      <c r="S16" s="2887"/>
      <c r="T16" s="2887"/>
      <c r="U16" s="2887"/>
      <c r="V16" s="2887"/>
      <c r="W16" s="2887"/>
      <c r="X16" s="2887"/>
      <c r="Y16" s="2887"/>
      <c r="Z16" s="2888"/>
    </row>
    <row r="17" spans="3:26">
      <c r="C17" s="2988" t="s">
        <v>730</v>
      </c>
      <c r="D17" s="2989"/>
      <c r="E17" s="2989"/>
      <c r="F17" s="2990"/>
      <c r="G17" s="2880"/>
      <c r="H17" s="2881"/>
      <c r="I17" s="2881"/>
      <c r="J17" s="2881"/>
      <c r="K17" s="2881"/>
      <c r="L17" s="2881"/>
      <c r="M17" s="2881"/>
      <c r="N17" s="2881"/>
      <c r="O17" s="2881"/>
      <c r="P17" s="2881"/>
      <c r="Q17" s="2881"/>
      <c r="R17" s="2881"/>
      <c r="S17" s="2881"/>
      <c r="T17" s="2881"/>
      <c r="U17" s="2881"/>
      <c r="V17" s="2881"/>
      <c r="W17" s="2881"/>
      <c r="X17" s="2881"/>
      <c r="Y17" s="2881"/>
      <c r="Z17" s="2882"/>
    </row>
    <row r="18" spans="3:26">
      <c r="C18" s="2991"/>
      <c r="D18" s="2992"/>
      <c r="E18" s="2992"/>
      <c r="F18" s="2993"/>
      <c r="G18" s="2883"/>
      <c r="H18" s="2884"/>
      <c r="I18" s="2884"/>
      <c r="J18" s="2884"/>
      <c r="K18" s="2884"/>
      <c r="L18" s="2884"/>
      <c r="M18" s="2884"/>
      <c r="N18" s="2884"/>
      <c r="O18" s="2884"/>
      <c r="P18" s="2884"/>
      <c r="Q18" s="2884"/>
      <c r="R18" s="2884"/>
      <c r="S18" s="2884"/>
      <c r="T18" s="2884"/>
      <c r="U18" s="2884"/>
      <c r="V18" s="2884"/>
      <c r="W18" s="2884"/>
      <c r="X18" s="2884"/>
      <c r="Y18" s="2884"/>
      <c r="Z18" s="2885"/>
    </row>
    <row r="19" spans="3:26">
      <c r="C19" s="2994"/>
      <c r="D19" s="2995"/>
      <c r="E19" s="2995"/>
      <c r="F19" s="2996"/>
      <c r="G19" s="2886"/>
      <c r="H19" s="2887"/>
      <c r="I19" s="2887"/>
      <c r="J19" s="2887"/>
      <c r="K19" s="2887"/>
      <c r="L19" s="2887"/>
      <c r="M19" s="2887"/>
      <c r="N19" s="2887"/>
      <c r="O19" s="2887"/>
      <c r="P19" s="2887"/>
      <c r="Q19" s="2887"/>
      <c r="R19" s="2887"/>
      <c r="S19" s="2887"/>
      <c r="T19" s="2887"/>
      <c r="U19" s="2887"/>
      <c r="V19" s="2887"/>
      <c r="W19" s="2887"/>
      <c r="X19" s="2887"/>
      <c r="Y19" s="2887"/>
      <c r="Z19" s="2888"/>
    </row>
    <row r="20" spans="3:26">
      <c r="C20" s="2988" t="s">
        <v>731</v>
      </c>
      <c r="D20" s="2989"/>
      <c r="E20" s="2989"/>
      <c r="F20" s="2990"/>
      <c r="G20" s="2880"/>
      <c r="H20" s="2881"/>
      <c r="I20" s="2881"/>
      <c r="J20" s="2881"/>
      <c r="K20" s="2881"/>
      <c r="L20" s="2881"/>
      <c r="M20" s="2881"/>
      <c r="N20" s="2881"/>
      <c r="O20" s="2881"/>
      <c r="P20" s="2881"/>
      <c r="Q20" s="2881"/>
      <c r="R20" s="2881"/>
      <c r="S20" s="2881"/>
      <c r="T20" s="2881"/>
      <c r="U20" s="2881"/>
      <c r="V20" s="2881"/>
      <c r="W20" s="2881"/>
      <c r="X20" s="2881"/>
      <c r="Y20" s="2881"/>
      <c r="Z20" s="2882"/>
    </row>
    <row r="21" spans="3:26">
      <c r="C21" s="2991"/>
      <c r="D21" s="2992"/>
      <c r="E21" s="2992"/>
      <c r="F21" s="2993"/>
      <c r="G21" s="2883"/>
      <c r="H21" s="2884"/>
      <c r="I21" s="2884"/>
      <c r="J21" s="2884"/>
      <c r="K21" s="2884"/>
      <c r="L21" s="2884"/>
      <c r="M21" s="2884"/>
      <c r="N21" s="2884"/>
      <c r="O21" s="2884"/>
      <c r="P21" s="2884"/>
      <c r="Q21" s="2884"/>
      <c r="R21" s="2884"/>
      <c r="S21" s="2884"/>
      <c r="T21" s="2884"/>
      <c r="U21" s="2884"/>
      <c r="V21" s="2884"/>
      <c r="W21" s="2884"/>
      <c r="X21" s="2884"/>
      <c r="Y21" s="2884"/>
      <c r="Z21" s="2885"/>
    </row>
    <row r="22" spans="3:26">
      <c r="C22" s="2994"/>
      <c r="D22" s="2995"/>
      <c r="E22" s="2995"/>
      <c r="F22" s="2996"/>
      <c r="G22" s="2886"/>
      <c r="H22" s="2887"/>
      <c r="I22" s="2887"/>
      <c r="J22" s="2887"/>
      <c r="K22" s="2887"/>
      <c r="L22" s="2887"/>
      <c r="M22" s="2887"/>
      <c r="N22" s="2887"/>
      <c r="O22" s="2887"/>
      <c r="P22" s="2887"/>
      <c r="Q22" s="2887"/>
      <c r="R22" s="2887"/>
      <c r="S22" s="2887"/>
      <c r="T22" s="2887"/>
      <c r="U22" s="2887"/>
      <c r="V22" s="2887"/>
      <c r="W22" s="2887"/>
      <c r="X22" s="2887"/>
      <c r="Y22" s="2887"/>
      <c r="Z22" s="2888"/>
    </row>
    <row r="23" spans="3:26">
      <c r="C23" s="2988" t="s">
        <v>732</v>
      </c>
      <c r="D23" s="2989"/>
      <c r="E23" s="2989"/>
      <c r="F23" s="2990"/>
      <c r="G23" s="2880"/>
      <c r="H23" s="2881"/>
      <c r="I23" s="2881"/>
      <c r="J23" s="2881"/>
      <c r="K23" s="2881"/>
      <c r="L23" s="2881"/>
      <c r="M23" s="2881"/>
      <c r="N23" s="2881"/>
      <c r="O23" s="2881"/>
      <c r="P23" s="2881"/>
      <c r="Q23" s="2881"/>
      <c r="R23" s="2881"/>
      <c r="S23" s="2881"/>
      <c r="T23" s="2881"/>
      <c r="U23" s="2881"/>
      <c r="V23" s="2881"/>
      <c r="W23" s="2881"/>
      <c r="X23" s="2881"/>
      <c r="Y23" s="2881"/>
      <c r="Z23" s="2882"/>
    </row>
    <row r="24" spans="3:26">
      <c r="C24" s="2991"/>
      <c r="D24" s="2992"/>
      <c r="E24" s="2992"/>
      <c r="F24" s="2993"/>
      <c r="G24" s="2883"/>
      <c r="H24" s="2884"/>
      <c r="I24" s="2884"/>
      <c r="J24" s="2884"/>
      <c r="K24" s="2884"/>
      <c r="L24" s="2884"/>
      <c r="M24" s="2884"/>
      <c r="N24" s="2884"/>
      <c r="O24" s="2884"/>
      <c r="P24" s="2884"/>
      <c r="Q24" s="2884"/>
      <c r="R24" s="2884"/>
      <c r="S24" s="2884"/>
      <c r="T24" s="2884"/>
      <c r="U24" s="2884"/>
      <c r="V24" s="2884"/>
      <c r="W24" s="2884"/>
      <c r="X24" s="2884"/>
      <c r="Y24" s="2884"/>
      <c r="Z24" s="2885"/>
    </row>
    <row r="25" spans="3:26">
      <c r="C25" s="2994"/>
      <c r="D25" s="2995"/>
      <c r="E25" s="2995"/>
      <c r="F25" s="2996"/>
      <c r="G25" s="2886"/>
      <c r="H25" s="2887"/>
      <c r="I25" s="2887"/>
      <c r="J25" s="2887"/>
      <c r="K25" s="2887"/>
      <c r="L25" s="2887"/>
      <c r="M25" s="2887"/>
      <c r="N25" s="2887"/>
      <c r="O25" s="2887"/>
      <c r="P25" s="2887"/>
      <c r="Q25" s="2887"/>
      <c r="R25" s="2887"/>
      <c r="S25" s="2887"/>
      <c r="T25" s="2887"/>
      <c r="U25" s="2887"/>
      <c r="V25" s="2887"/>
      <c r="W25" s="2887"/>
      <c r="X25" s="2887"/>
      <c r="Y25" s="2887"/>
      <c r="Z25" s="2888"/>
    </row>
    <row r="26" spans="3:26">
      <c r="C26" s="2988" t="s">
        <v>733</v>
      </c>
      <c r="D26" s="2989"/>
      <c r="E26" s="2989"/>
      <c r="F26" s="2990"/>
      <c r="G26" s="2880"/>
      <c r="H26" s="2881"/>
      <c r="I26" s="2881"/>
      <c r="J26" s="2881"/>
      <c r="K26" s="2881"/>
      <c r="L26" s="2881"/>
      <c r="M26" s="2881"/>
      <c r="N26" s="2881"/>
      <c r="O26" s="2881"/>
      <c r="P26" s="2881"/>
      <c r="Q26" s="2881"/>
      <c r="R26" s="2881"/>
      <c r="S26" s="2881"/>
      <c r="T26" s="2881"/>
      <c r="U26" s="2881"/>
      <c r="V26" s="2881"/>
      <c r="W26" s="2881"/>
      <c r="X26" s="2881"/>
      <c r="Y26" s="2881"/>
      <c r="Z26" s="2882"/>
    </row>
    <row r="27" spans="3:26">
      <c r="C27" s="2991"/>
      <c r="D27" s="2992"/>
      <c r="E27" s="2992"/>
      <c r="F27" s="2993"/>
      <c r="G27" s="2883"/>
      <c r="H27" s="2884"/>
      <c r="I27" s="2884"/>
      <c r="J27" s="2884"/>
      <c r="K27" s="2884"/>
      <c r="L27" s="2884"/>
      <c r="M27" s="2884"/>
      <c r="N27" s="2884"/>
      <c r="O27" s="2884"/>
      <c r="P27" s="2884"/>
      <c r="Q27" s="2884"/>
      <c r="R27" s="2884"/>
      <c r="S27" s="2884"/>
      <c r="T27" s="2884"/>
      <c r="U27" s="2884"/>
      <c r="V27" s="2884"/>
      <c r="W27" s="2884"/>
      <c r="X27" s="2884"/>
      <c r="Y27" s="2884"/>
      <c r="Z27" s="2885"/>
    </row>
    <row r="28" spans="3:26">
      <c r="C28" s="2994"/>
      <c r="D28" s="2995"/>
      <c r="E28" s="2995"/>
      <c r="F28" s="2996"/>
      <c r="G28" s="2886"/>
      <c r="H28" s="2887"/>
      <c r="I28" s="2887"/>
      <c r="J28" s="2887"/>
      <c r="K28" s="2887"/>
      <c r="L28" s="2887"/>
      <c r="M28" s="2887"/>
      <c r="N28" s="2887"/>
      <c r="O28" s="2887"/>
      <c r="P28" s="2887"/>
      <c r="Q28" s="2887"/>
      <c r="R28" s="2887"/>
      <c r="S28" s="2887"/>
      <c r="T28" s="2887"/>
      <c r="U28" s="2887"/>
      <c r="V28" s="2887"/>
      <c r="W28" s="2887"/>
      <c r="X28" s="2887"/>
      <c r="Y28" s="2887"/>
      <c r="Z28" s="2888"/>
    </row>
  </sheetData>
  <mergeCells count="28">
    <mergeCell ref="C3:Z3"/>
    <mergeCell ref="C5:F5"/>
    <mergeCell ref="G5:H8"/>
    <mergeCell ref="I5:J6"/>
    <mergeCell ref="L5:N6"/>
    <mergeCell ref="Q5:R8"/>
    <mergeCell ref="S5:T6"/>
    <mergeCell ref="V5:X6"/>
    <mergeCell ref="C6:F6"/>
    <mergeCell ref="C7:F7"/>
    <mergeCell ref="I7:J8"/>
    <mergeCell ref="L7:N8"/>
    <mergeCell ref="S7:T8"/>
    <mergeCell ref="V7:X8"/>
    <mergeCell ref="C9:J11"/>
    <mergeCell ref="Q10:V10"/>
    <mergeCell ref="W10:Z10"/>
    <mergeCell ref="C23:F25"/>
    <mergeCell ref="G23:Z25"/>
    <mergeCell ref="C26:F28"/>
    <mergeCell ref="G26:Z28"/>
    <mergeCell ref="C12:Z13"/>
    <mergeCell ref="C14:F16"/>
    <mergeCell ref="G14:Z16"/>
    <mergeCell ref="C17:F19"/>
    <mergeCell ref="G17:Z19"/>
    <mergeCell ref="C20:F22"/>
    <mergeCell ref="G20:Z22"/>
  </mergeCells>
  <phoneticPr fontId="3"/>
  <printOptions horizontalCentered="1"/>
  <pageMargins left="0.59055118110236227" right="0.19685039370078741" top="0.19685039370078741" bottom="0.19685039370078741" header="0.31496062992125984" footer="0.31496062992125984"/>
  <pageSetup paperSize="9" scale="98" fitToHeight="0" orientation="portrait" blackAndWhite="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0E6AA-A9FF-47F8-9255-A577F4222851}">
  <sheetPr>
    <tabColor rgb="FFFFFF00"/>
    <pageSetUpPr fitToPage="1"/>
  </sheetPr>
  <dimension ref="A2:AL1110"/>
  <sheetViews>
    <sheetView tabSelected="1" view="pageBreakPreview" zoomScale="70" zoomScaleNormal="75" zoomScaleSheetLayoutView="70" workbookViewId="0">
      <selection activeCell="AM112" sqref="AM112"/>
    </sheetView>
  </sheetViews>
  <sheetFormatPr defaultColWidth="9" defaultRowHeight="13.2"/>
  <cols>
    <col min="1" max="2" width="4.21875" style="1406" customWidth="1"/>
    <col min="3" max="3" width="25" style="1412" customWidth="1"/>
    <col min="4" max="4" width="4.88671875" style="1412" customWidth="1"/>
    <col min="5" max="5" width="41.6640625" style="1412" customWidth="1"/>
    <col min="6" max="6" width="4.88671875" style="1412" customWidth="1"/>
    <col min="7" max="7" width="19.6640625" style="1412" customWidth="1"/>
    <col min="8" max="8" width="33.88671875" style="1412" customWidth="1"/>
    <col min="9" max="24" width="5.33203125" style="1412" customWidth="1"/>
    <col min="25" max="32" width="4.88671875" style="1412" customWidth="1"/>
    <col min="33" max="37" width="0" style="3056" hidden="1" customWidth="1"/>
    <col min="38" max="38" width="9" style="3056"/>
    <col min="39" max="16384" width="9" style="1412"/>
  </cols>
  <sheetData>
    <row r="2" spans="1:37" ht="20.25" customHeight="1">
      <c r="A2" s="1267" t="s">
        <v>2224</v>
      </c>
      <c r="B2" s="1397"/>
    </row>
    <row r="3" spans="1:37" ht="20.25" customHeight="1">
      <c r="A3" s="1571" t="s">
        <v>1210</v>
      </c>
      <c r="B3" s="1571"/>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row>
    <row r="4" spans="1:37" ht="20.25" customHeight="1"/>
    <row r="5" spans="1:37" ht="30" customHeight="1">
      <c r="S5" s="1572" t="s">
        <v>1211</v>
      </c>
      <c r="T5" s="1573"/>
      <c r="U5" s="1573"/>
      <c r="V5" s="1574"/>
      <c r="W5" s="3229"/>
      <c r="X5" s="3228"/>
      <c r="Y5" s="3228"/>
      <c r="Z5" s="3228"/>
      <c r="AA5" s="3228"/>
      <c r="AB5" s="3228"/>
      <c r="AC5" s="3228"/>
      <c r="AD5" s="3228"/>
      <c r="AE5" s="3228"/>
      <c r="AF5" s="3227"/>
      <c r="AG5" s="3056" t="str">
        <f>"kaigo_num='" &amp;W5&amp;X5&amp;Y5&amp;Z5&amp;AA5&amp;AB5&amp;AC5&amp;AD5&amp;AE5&amp;AF5&amp; "'"</f>
        <v>kaigo_num=''</v>
      </c>
    </row>
    <row r="6" spans="1:37" ht="20.25" customHeight="1"/>
    <row r="7" spans="1:37" ht="17.25" customHeight="1">
      <c r="A7" s="1572" t="s">
        <v>1212</v>
      </c>
      <c r="B7" s="1573"/>
      <c r="C7" s="1574"/>
      <c r="D7" s="1572" t="s">
        <v>1</v>
      </c>
      <c r="E7" s="1574"/>
      <c r="F7" s="1572" t="s">
        <v>1213</v>
      </c>
      <c r="G7" s="1574"/>
      <c r="H7" s="1572" t="s">
        <v>1214</v>
      </c>
      <c r="I7" s="1573"/>
      <c r="J7" s="1573"/>
      <c r="K7" s="1573"/>
      <c r="L7" s="1573"/>
      <c r="M7" s="1573"/>
      <c r="N7" s="1573"/>
      <c r="O7" s="1573"/>
      <c r="P7" s="1573"/>
      <c r="Q7" s="1573"/>
      <c r="R7" s="1573"/>
      <c r="S7" s="1573"/>
      <c r="T7" s="1573"/>
      <c r="U7" s="1573"/>
      <c r="V7" s="1573"/>
      <c r="W7" s="1573"/>
      <c r="X7" s="1574"/>
      <c r="Y7" s="1572" t="s">
        <v>1006</v>
      </c>
      <c r="Z7" s="1573"/>
      <c r="AA7" s="1573"/>
      <c r="AB7" s="1574"/>
      <c r="AC7" s="1572" t="s">
        <v>1215</v>
      </c>
      <c r="AD7" s="1573"/>
      <c r="AE7" s="1573"/>
      <c r="AF7" s="1574"/>
    </row>
    <row r="8" spans="1:37" ht="18.75" customHeight="1">
      <c r="A8" s="1565" t="s">
        <v>1216</v>
      </c>
      <c r="B8" s="1566"/>
      <c r="C8" s="1567"/>
      <c r="D8" s="1565"/>
      <c r="E8" s="1567"/>
      <c r="F8" s="1565"/>
      <c r="G8" s="1567"/>
      <c r="H8" s="1545" t="s">
        <v>1217</v>
      </c>
      <c r="I8" s="3122" t="s">
        <v>121</v>
      </c>
      <c r="J8" s="1270" t="s">
        <v>1218</v>
      </c>
      <c r="K8" s="1271"/>
      <c r="L8" s="1271"/>
      <c r="M8" s="3122" t="s">
        <v>121</v>
      </c>
      <c r="N8" s="1270" t="s">
        <v>1219</v>
      </c>
      <c r="O8" s="1271"/>
      <c r="P8" s="1271"/>
      <c r="Q8" s="3122" t="s">
        <v>121</v>
      </c>
      <c r="R8" s="1270" t="s">
        <v>1220</v>
      </c>
      <c r="S8" s="1271"/>
      <c r="T8" s="1271"/>
      <c r="U8" s="3122" t="s">
        <v>121</v>
      </c>
      <c r="V8" s="1270" t="s">
        <v>1221</v>
      </c>
      <c r="W8" s="1271"/>
      <c r="X8" s="1272"/>
      <c r="Y8" s="1530"/>
      <c r="Z8" s="1531"/>
      <c r="AA8" s="1531"/>
      <c r="AB8" s="1532"/>
      <c r="AC8" s="1530"/>
      <c r="AD8" s="1531"/>
      <c r="AE8" s="1531"/>
      <c r="AF8" s="1532"/>
      <c r="AG8" s="3056" t="str">
        <f>"tiikikbn_code:"&amp; IF(I8="■",1,IF(M8="■",6,IF(Q8="■",7,IF(U8="■",2,IF(I9="■",3,IF(M9="■",4,IF(Q9="■",9,IF(U9="■",5,0))))))))</f>
        <v>tiikikbn_code:0</v>
      </c>
    </row>
    <row r="9" spans="1:37" ht="18.75" customHeight="1">
      <c r="A9" s="1568"/>
      <c r="B9" s="1569"/>
      <c r="C9" s="1570"/>
      <c r="D9" s="1568"/>
      <c r="E9" s="1570"/>
      <c r="F9" s="1568"/>
      <c r="G9" s="1570"/>
      <c r="H9" s="1546"/>
      <c r="I9" s="3069" t="s">
        <v>121</v>
      </c>
      <c r="J9" s="1273" t="s">
        <v>1222</v>
      </c>
      <c r="K9" s="1274"/>
      <c r="L9" s="1274"/>
      <c r="M9" s="3122" t="s">
        <v>121</v>
      </c>
      <c r="N9" s="1273" t="s">
        <v>1223</v>
      </c>
      <c r="O9" s="1274"/>
      <c r="P9" s="1274"/>
      <c r="Q9" s="3122" t="s">
        <v>121</v>
      </c>
      <c r="R9" s="1273" t="s">
        <v>1224</v>
      </c>
      <c r="S9" s="1274"/>
      <c r="T9" s="1274"/>
      <c r="U9" s="3122" t="s">
        <v>121</v>
      </c>
      <c r="V9" s="1273" t="s">
        <v>1225</v>
      </c>
      <c r="W9" s="1274"/>
      <c r="X9" s="1275"/>
      <c r="Y9" s="1533"/>
      <c r="Z9" s="1534"/>
      <c r="AA9" s="1534"/>
      <c r="AB9" s="1535"/>
      <c r="AC9" s="1533"/>
      <c r="AD9" s="1534"/>
      <c r="AE9" s="1534"/>
      <c r="AF9" s="1535"/>
    </row>
    <row r="10" spans="1:37" ht="18.75" hidden="1" customHeight="1">
      <c r="A10" s="1276"/>
      <c r="B10" s="1405"/>
      <c r="C10" s="1333"/>
      <c r="D10" s="1335"/>
      <c r="E10" s="1272"/>
      <c r="F10" s="1279"/>
      <c r="G10" s="1351"/>
      <c r="H10" s="3168" t="s">
        <v>2280</v>
      </c>
      <c r="I10" s="3138" t="s">
        <v>121</v>
      </c>
      <c r="J10" s="1270" t="s">
        <v>2279</v>
      </c>
      <c r="K10" s="3139"/>
      <c r="L10" s="3139"/>
      <c r="M10" s="3139"/>
      <c r="N10" s="3139"/>
      <c r="O10" s="3139"/>
      <c r="P10" s="3139"/>
      <c r="Q10" s="3139"/>
      <c r="R10" s="3139"/>
      <c r="S10" s="3139"/>
      <c r="T10" s="3139"/>
      <c r="U10" s="3139"/>
      <c r="V10" s="3139"/>
      <c r="W10" s="3139"/>
      <c r="X10" s="3164"/>
      <c r="Y10" s="3138" t="s">
        <v>121</v>
      </c>
      <c r="Z10" s="1270" t="s">
        <v>1229</v>
      </c>
      <c r="AA10" s="1270"/>
      <c r="AB10" s="1286"/>
      <c r="AC10" s="3119" t="s">
        <v>121</v>
      </c>
      <c r="AD10" s="1270" t="s">
        <v>1229</v>
      </c>
      <c r="AE10" s="1270"/>
      <c r="AF10" s="1286"/>
      <c r="AG10" s="3056" t="str">
        <f>"ser_code = '" &amp; IF(A22="■",11,"") &amp; "'"</f>
        <v>ser_code = ''</v>
      </c>
      <c r="AI10" s="3056" t="str">
        <f>"11:sintaikaigo_taisei_code:" &amp; IF(Y10="■",1,IF(Y11="■",2,IF(I12="■",3,0)))</f>
        <v>11:sintaikaigo_taisei_code:0</v>
      </c>
      <c r="AJ10" s="3056" t="str">
        <f>"11:field203:" &amp; IF(Y10="■",1,IF(Y11="■",2,0))</f>
        <v>11:field203:0</v>
      </c>
      <c r="AK10" s="3056" t="str">
        <f>"11:waribiki_code:" &amp; IF(AC10="■",1,IF(AC11="■",2,0))</f>
        <v>11:waribiki_code:0</v>
      </c>
    </row>
    <row r="11" spans="1:37" ht="18.75" hidden="1" customHeight="1">
      <c r="A11" s="735"/>
      <c r="B11" s="1407"/>
      <c r="C11" s="1303"/>
      <c r="D11" s="1304"/>
      <c r="E11" s="1275"/>
      <c r="F11" s="1289"/>
      <c r="G11" s="1305"/>
      <c r="H11" s="1564"/>
      <c r="I11" s="3122" t="s">
        <v>121</v>
      </c>
      <c r="J11" s="1412" t="s">
        <v>2278</v>
      </c>
      <c r="K11" s="3100"/>
      <c r="L11" s="3100"/>
      <c r="M11" s="3100"/>
      <c r="N11" s="3100"/>
      <c r="O11" s="3100"/>
      <c r="P11" s="3100"/>
      <c r="Q11" s="3100"/>
      <c r="R11" s="3100"/>
      <c r="S11" s="3100"/>
      <c r="T11" s="3100"/>
      <c r="U11" s="3100"/>
      <c r="V11" s="3100"/>
      <c r="W11" s="3100"/>
      <c r="X11" s="3099"/>
      <c r="Y11" s="3122" t="s">
        <v>121</v>
      </c>
      <c r="Z11" s="1273" t="s">
        <v>1234</v>
      </c>
      <c r="AA11" s="1292"/>
      <c r="AB11" s="1293"/>
      <c r="AC11" s="3069" t="s">
        <v>121</v>
      </c>
      <c r="AD11" s="1273" t="s">
        <v>1234</v>
      </c>
      <c r="AE11" s="1292"/>
      <c r="AF11" s="1293"/>
      <c r="AG11" s="3056" t="str">
        <f>"11:sisetukbn_code:" &amp; IF(AND(D21="■",D22="■",D23="■"),"1;2;3",IF(AND(D21="■",D22="■"),"1;2",0))</f>
        <v>11:sisetukbn_code:0</v>
      </c>
    </row>
    <row r="12" spans="1:37" ht="18.75" hidden="1" customHeight="1">
      <c r="A12" s="735"/>
      <c r="B12" s="1407"/>
      <c r="C12" s="1303"/>
      <c r="D12" s="1304"/>
      <c r="E12" s="1275"/>
      <c r="F12" s="1289"/>
      <c r="G12" s="1305"/>
      <c r="H12" s="1540"/>
      <c r="I12" s="3063" t="s">
        <v>121</v>
      </c>
      <c r="J12" s="1403" t="s">
        <v>2277</v>
      </c>
      <c r="K12" s="1330"/>
      <c r="L12" s="1330"/>
      <c r="M12" s="1330"/>
      <c r="N12" s="1330"/>
      <c r="O12" s="1330"/>
      <c r="P12" s="1330"/>
      <c r="Q12" s="1330"/>
      <c r="R12" s="1330"/>
      <c r="S12" s="1330"/>
      <c r="T12" s="1330"/>
      <c r="U12" s="1330"/>
      <c r="V12" s="1330"/>
      <c r="W12" s="1330"/>
      <c r="X12" s="1356"/>
      <c r="Y12" s="1295"/>
      <c r="Z12" s="1292"/>
      <c r="AA12" s="1292"/>
      <c r="AB12" s="1293"/>
      <c r="AC12" s="1295"/>
      <c r="AD12" s="1292"/>
      <c r="AE12" s="1292"/>
      <c r="AF12" s="1293"/>
    </row>
    <row r="13" spans="1:37" s="3056" customFormat="1" ht="19.5" hidden="1" customHeight="1">
      <c r="A13" s="735"/>
      <c r="B13" s="1407"/>
      <c r="C13" s="1303"/>
      <c r="D13" s="1304"/>
      <c r="E13" s="1275"/>
      <c r="F13" s="1289"/>
      <c r="G13" s="1305"/>
      <c r="H13" s="1306" t="s">
        <v>1244</v>
      </c>
      <c r="I13" s="3066" t="s">
        <v>121</v>
      </c>
      <c r="J13" s="1298" t="s">
        <v>1242</v>
      </c>
      <c r="K13" s="1299"/>
      <c r="L13" s="1300"/>
      <c r="M13" s="3065" t="s">
        <v>121</v>
      </c>
      <c r="N13" s="1298" t="s">
        <v>1245</v>
      </c>
      <c r="O13" s="1301"/>
      <c r="P13" s="1298"/>
      <c r="Q13" s="1307"/>
      <c r="R13" s="1307"/>
      <c r="S13" s="1307"/>
      <c r="T13" s="1307"/>
      <c r="U13" s="1307"/>
      <c r="V13" s="1307"/>
      <c r="W13" s="1307"/>
      <c r="X13" s="1308"/>
      <c r="Y13" s="1292"/>
      <c r="Z13" s="1292"/>
      <c r="AA13" s="1292"/>
      <c r="AB13" s="1293"/>
      <c r="AC13" s="1295"/>
      <c r="AD13" s="1292"/>
      <c r="AE13" s="1292"/>
      <c r="AF13" s="1293"/>
      <c r="AI13" s="3056" t="str">
        <f>"11:field223:" &amp; IF(I13="■",1,IF(M13="■",2,0))</f>
        <v>11:field223:0</v>
      </c>
    </row>
    <row r="14" spans="1:37" s="3056" customFormat="1" ht="19.5" hidden="1" customHeight="1">
      <c r="A14" s="735"/>
      <c r="B14" s="1407"/>
      <c r="C14" s="1303"/>
      <c r="D14" s="1304"/>
      <c r="E14" s="1275"/>
      <c r="F14" s="1289"/>
      <c r="G14" s="1305"/>
      <c r="H14" s="3097" t="s">
        <v>1246</v>
      </c>
      <c r="I14" s="3096" t="s">
        <v>121</v>
      </c>
      <c r="J14" s="3091" t="s">
        <v>1242</v>
      </c>
      <c r="K14" s="3095"/>
      <c r="L14" s="3094"/>
      <c r="M14" s="3093" t="s">
        <v>121</v>
      </c>
      <c r="N14" s="3091" t="s">
        <v>1245</v>
      </c>
      <c r="O14" s="3224"/>
      <c r="P14" s="3223"/>
      <c r="Q14" s="3222"/>
      <c r="R14" s="3222"/>
      <c r="S14" s="3222"/>
      <c r="T14" s="3222"/>
      <c r="U14" s="3222"/>
      <c r="V14" s="3222"/>
      <c r="W14" s="3222"/>
      <c r="X14" s="3221"/>
      <c r="Y14" s="1292"/>
      <c r="Z14" s="1292"/>
      <c r="AA14" s="1292"/>
      <c r="AB14" s="1293"/>
      <c r="AC14" s="3226"/>
      <c r="AD14" s="2"/>
      <c r="AE14" s="626"/>
      <c r="AF14" s="627"/>
      <c r="AI14" s="3056" t="str">
        <f>"11:field232:" &amp; IF(I14="■",1,IF(M14="■",2,0))</f>
        <v>11:field232:0</v>
      </c>
    </row>
    <row r="15" spans="1:37" s="3056" customFormat="1" ht="18.75" hidden="1" customHeight="1">
      <c r="A15" s="735"/>
      <c r="B15" s="1407"/>
      <c r="C15" s="1303"/>
      <c r="D15" s="1304"/>
      <c r="E15" s="1275"/>
      <c r="F15" s="1289"/>
      <c r="G15" s="1305"/>
      <c r="H15" s="1410" t="s">
        <v>2482</v>
      </c>
      <c r="I15" s="3066" t="s">
        <v>121</v>
      </c>
      <c r="J15" s="1298" t="s">
        <v>1230</v>
      </c>
      <c r="K15" s="1298"/>
      <c r="L15" s="3065" t="s">
        <v>121</v>
      </c>
      <c r="M15" s="1298" t="s">
        <v>1256</v>
      </c>
      <c r="N15" s="1298"/>
      <c r="O15" s="3065" t="s">
        <v>121</v>
      </c>
      <c r="P15" s="1298" t="s">
        <v>1257</v>
      </c>
      <c r="Q15" s="1298"/>
      <c r="R15" s="3065" t="s">
        <v>121</v>
      </c>
      <c r="S15" s="1298" t="s">
        <v>2366</v>
      </c>
      <c r="T15" s="1298"/>
      <c r="U15" s="3065" t="s">
        <v>121</v>
      </c>
      <c r="V15" s="1298" t="s">
        <v>2481</v>
      </c>
      <c r="W15" s="1298"/>
      <c r="X15" s="1310"/>
      <c r="Y15" s="1295"/>
      <c r="Z15" s="1292"/>
      <c r="AA15" s="1292"/>
      <c r="AB15" s="1293"/>
      <c r="AC15" s="1295"/>
      <c r="AD15" s="1292"/>
      <c r="AE15" s="1292"/>
      <c r="AF15" s="1293"/>
      <c r="AI15" s="3056" t="str">
        <f>"11:tokujigyou_code:" &amp; IF(I15="■",1,IF(L15="■",2,IF(O15="■",3,IF(R15="■",4,IF(U15="■",5,0)))))</f>
        <v>11:tokujigyou_code:0</v>
      </c>
    </row>
    <row r="16" spans="1:37" s="3056" customFormat="1" ht="18.75" hidden="1" customHeight="1">
      <c r="A16" s="735"/>
      <c r="B16" s="1407"/>
      <c r="C16" s="1303"/>
      <c r="D16" s="1304"/>
      <c r="E16" s="1275"/>
      <c r="F16" s="1289"/>
      <c r="G16" s="1305"/>
      <c r="H16" s="1410" t="s">
        <v>2480</v>
      </c>
      <c r="I16" s="3066" t="s">
        <v>121</v>
      </c>
      <c r="J16" s="1298" t="s">
        <v>1230</v>
      </c>
      <c r="K16" s="1299"/>
      <c r="L16" s="3065" t="s">
        <v>121</v>
      </c>
      <c r="M16" s="1298" t="s">
        <v>1248</v>
      </c>
      <c r="N16" s="1299"/>
      <c r="O16" s="1299"/>
      <c r="P16" s="1299"/>
      <c r="Q16" s="1299"/>
      <c r="R16" s="1299"/>
      <c r="S16" s="1299"/>
      <c r="T16" s="1299"/>
      <c r="U16" s="1299"/>
      <c r="V16" s="1299"/>
      <c r="W16" s="1299"/>
      <c r="X16" s="1302"/>
      <c r="Y16" s="1295"/>
      <c r="Z16" s="1292"/>
      <c r="AA16" s="1292"/>
      <c r="AB16" s="1293"/>
      <c r="AC16" s="1295"/>
      <c r="AD16" s="1292"/>
      <c r="AE16" s="1292"/>
      <c r="AF16" s="1293"/>
      <c r="AI16" s="3056" t="str">
        <f>"11:field220:" &amp; IF(I16="■",1,IF(L16="■",2,0))</f>
        <v>11:field220:0</v>
      </c>
    </row>
    <row r="17" spans="1:35" s="3056" customFormat="1" ht="18.75" hidden="1" customHeight="1">
      <c r="A17" s="735"/>
      <c r="B17" s="1407"/>
      <c r="C17" s="1303"/>
      <c r="D17" s="1304"/>
      <c r="E17" s="1275"/>
      <c r="F17" s="1289"/>
      <c r="G17" s="1305"/>
      <c r="H17" s="1539" t="s">
        <v>2276</v>
      </c>
      <c r="I17" s="3071" t="s">
        <v>121</v>
      </c>
      <c r="J17" s="1559" t="s">
        <v>1230</v>
      </c>
      <c r="K17" s="1559"/>
      <c r="L17" s="3071" t="s">
        <v>121</v>
      </c>
      <c r="M17" s="1559" t="s">
        <v>1248</v>
      </c>
      <c r="N17" s="1559"/>
      <c r="O17" s="1273"/>
      <c r="P17" s="1273"/>
      <c r="Q17" s="1273"/>
      <c r="R17" s="1273"/>
      <c r="S17" s="1290"/>
      <c r="T17" s="1273"/>
      <c r="U17" s="1273"/>
      <c r="V17" s="1290"/>
      <c r="W17" s="1273"/>
      <c r="X17" s="1305"/>
      <c r="Y17" s="1295"/>
      <c r="Z17" s="1292"/>
      <c r="AA17" s="1292"/>
      <c r="AB17" s="1293"/>
      <c r="AC17" s="1295"/>
      <c r="AD17" s="1292"/>
      <c r="AE17" s="1292"/>
      <c r="AF17" s="1293"/>
      <c r="AI17" s="3056" t="str">
        <f>"11:field179:" &amp; IF(I17="■",1,IF(L17="■",2,0))</f>
        <v>11:field179:0</v>
      </c>
    </row>
    <row r="18" spans="1:35" s="3056" customFormat="1" ht="18.75" hidden="1" customHeight="1">
      <c r="A18" s="735"/>
      <c r="B18" s="1407"/>
      <c r="C18" s="1303"/>
      <c r="D18" s="1304"/>
      <c r="E18" s="1275"/>
      <c r="F18" s="1289"/>
      <c r="G18" s="1305"/>
      <c r="H18" s="1540"/>
      <c r="I18" s="3070"/>
      <c r="J18" s="1529"/>
      <c r="K18" s="1529"/>
      <c r="L18" s="3070"/>
      <c r="M18" s="1529"/>
      <c r="N18" s="1529"/>
      <c r="O18" s="1296"/>
      <c r="P18" s="1296"/>
      <c r="Q18" s="1296"/>
      <c r="R18" s="1296"/>
      <c r="S18" s="1296"/>
      <c r="T18" s="1296"/>
      <c r="U18" s="1296"/>
      <c r="V18" s="1296"/>
      <c r="W18" s="1296"/>
      <c r="X18" s="1332"/>
      <c r="Y18" s="1295"/>
      <c r="Z18" s="1292"/>
      <c r="AA18" s="1292"/>
      <c r="AB18" s="1293"/>
      <c r="AC18" s="1295"/>
      <c r="AD18" s="1292"/>
      <c r="AE18" s="1292"/>
      <c r="AF18" s="1293"/>
    </row>
    <row r="19" spans="1:35" s="3056" customFormat="1" ht="18.75" hidden="1" customHeight="1">
      <c r="A19" s="735"/>
      <c r="B19" s="1407"/>
      <c r="C19" s="1303"/>
      <c r="D19" s="1413"/>
      <c r="E19" s="1275"/>
      <c r="F19" s="1289"/>
      <c r="G19" s="1305"/>
      <c r="H19" s="1539" t="s">
        <v>2275</v>
      </c>
      <c r="I19" s="3086" t="s">
        <v>121</v>
      </c>
      <c r="J19" s="1528" t="s">
        <v>1230</v>
      </c>
      <c r="K19" s="1528"/>
      <c r="L19" s="3086" t="s">
        <v>121</v>
      </c>
      <c r="M19" s="1528" t="s">
        <v>1248</v>
      </c>
      <c r="N19" s="1528"/>
      <c r="O19" s="1290"/>
      <c r="P19" s="1290"/>
      <c r="Q19" s="1290"/>
      <c r="R19" s="1290"/>
      <c r="S19" s="1290"/>
      <c r="T19" s="1290"/>
      <c r="U19" s="1290"/>
      <c r="V19" s="1290"/>
      <c r="W19" s="1290"/>
      <c r="X19" s="1331"/>
      <c r="Y19" s="1295"/>
      <c r="Z19" s="1292"/>
      <c r="AA19" s="1292"/>
      <c r="AB19" s="1293"/>
      <c r="AC19" s="1295"/>
      <c r="AD19" s="1292"/>
      <c r="AE19" s="1292"/>
      <c r="AF19" s="1293"/>
      <c r="AI19" s="3056" t="str">
        <f>"11:field180:" &amp; IF(I19="■",1,IF(L19="■",2,0))</f>
        <v>11:field180:0</v>
      </c>
    </row>
    <row r="20" spans="1:35" s="3056" customFormat="1" ht="18.75" hidden="1" customHeight="1">
      <c r="A20" s="735"/>
      <c r="B20" s="1407"/>
      <c r="C20" s="1303"/>
      <c r="D20" s="1413"/>
      <c r="E20" s="1275"/>
      <c r="F20" s="1289"/>
      <c r="G20" s="1305"/>
      <c r="H20" s="1540"/>
      <c r="I20" s="3070"/>
      <c r="J20" s="1529"/>
      <c r="K20" s="1529"/>
      <c r="L20" s="3070"/>
      <c r="M20" s="1529"/>
      <c r="N20" s="1529"/>
      <c r="O20" s="1296"/>
      <c r="P20" s="1296"/>
      <c r="Q20" s="1296"/>
      <c r="R20" s="1296"/>
      <c r="S20" s="1296"/>
      <c r="T20" s="1296"/>
      <c r="U20" s="1296"/>
      <c r="V20" s="1296"/>
      <c r="W20" s="1296"/>
      <c r="X20" s="1332"/>
      <c r="Y20" s="1295"/>
      <c r="Z20" s="1292"/>
      <c r="AA20" s="1292"/>
      <c r="AB20" s="1293"/>
      <c r="AC20" s="1295"/>
      <c r="AD20" s="1292"/>
      <c r="AE20" s="1292"/>
      <c r="AF20" s="1293"/>
    </row>
    <row r="21" spans="1:35" s="3056" customFormat="1" ht="18.75" hidden="1" customHeight="1">
      <c r="A21" s="1411"/>
      <c r="B21" s="1407"/>
      <c r="C21" s="1303"/>
      <c r="D21" s="3122" t="s">
        <v>121</v>
      </c>
      <c r="E21" s="1275" t="s">
        <v>2273</v>
      </c>
      <c r="F21" s="1289"/>
      <c r="G21" s="1305"/>
      <c r="H21" s="1539" t="s">
        <v>2274</v>
      </c>
      <c r="I21" s="3115" t="s">
        <v>121</v>
      </c>
      <c r="J21" s="1528" t="s">
        <v>1343</v>
      </c>
      <c r="K21" s="1528"/>
      <c r="L21" s="1528"/>
      <c r="M21" s="3086" t="s">
        <v>121</v>
      </c>
      <c r="N21" s="1528" t="s">
        <v>1344</v>
      </c>
      <c r="O21" s="1528"/>
      <c r="P21" s="1528"/>
      <c r="Q21" s="1526"/>
      <c r="R21" s="1526"/>
      <c r="S21" s="1526"/>
      <c r="T21" s="1526"/>
      <c r="U21" s="1526"/>
      <c r="V21" s="1526"/>
      <c r="W21" s="1526"/>
      <c r="X21" s="1526"/>
      <c r="Y21" s="1295"/>
      <c r="Z21" s="1292"/>
      <c r="AA21" s="1292"/>
      <c r="AB21" s="1293"/>
      <c r="AC21" s="1295"/>
      <c r="AD21" s="1292"/>
      <c r="AE21" s="1292"/>
      <c r="AF21" s="1293"/>
      <c r="AI21" s="3056" t="str">
        <f>"11:field233:" &amp; IF(I21="■",1,IF(M21="■",2,0))</f>
        <v>11:field233:0</v>
      </c>
    </row>
    <row r="22" spans="1:35" s="3056" customFormat="1" ht="19.5" hidden="1" customHeight="1">
      <c r="A22" s="3069" t="s">
        <v>121</v>
      </c>
      <c r="B22" s="1407">
        <v>11</v>
      </c>
      <c r="C22" s="1303" t="s">
        <v>2</v>
      </c>
      <c r="D22" s="3122" t="s">
        <v>121</v>
      </c>
      <c r="E22" s="1275" t="s">
        <v>2272</v>
      </c>
      <c r="F22" s="1289"/>
      <c r="G22" s="1305"/>
      <c r="H22" s="1540"/>
      <c r="I22" s="3081"/>
      <c r="J22" s="1529"/>
      <c r="K22" s="1529"/>
      <c r="L22" s="1529"/>
      <c r="M22" s="3070"/>
      <c r="N22" s="1529"/>
      <c r="O22" s="1529"/>
      <c r="P22" s="1529"/>
      <c r="Q22" s="1527"/>
      <c r="R22" s="1527"/>
      <c r="S22" s="1527"/>
      <c r="T22" s="1527"/>
      <c r="U22" s="1527"/>
      <c r="V22" s="1527"/>
      <c r="W22" s="1527"/>
      <c r="X22" s="1527"/>
      <c r="Y22" s="1295"/>
      <c r="Z22" s="1292"/>
      <c r="AA22" s="1292"/>
      <c r="AB22" s="1293"/>
      <c r="AC22" s="1295"/>
      <c r="AD22" s="1292"/>
      <c r="AE22" s="1292"/>
      <c r="AF22" s="1293"/>
    </row>
    <row r="23" spans="1:35" s="3056" customFormat="1" ht="19.5" hidden="1" customHeight="1">
      <c r="A23" s="735"/>
      <c r="B23" s="1407"/>
      <c r="C23" s="1303"/>
      <c r="D23" s="3122" t="s">
        <v>121</v>
      </c>
      <c r="E23" s="1275" t="s">
        <v>2479</v>
      </c>
      <c r="F23" s="1289"/>
      <c r="G23" s="1305"/>
      <c r="H23" s="1539" t="s">
        <v>2271</v>
      </c>
      <c r="I23" s="3115" t="s">
        <v>121</v>
      </c>
      <c r="J23" s="1528" t="s">
        <v>1343</v>
      </c>
      <c r="K23" s="1528"/>
      <c r="L23" s="1528"/>
      <c r="M23" s="3086" t="s">
        <v>121</v>
      </c>
      <c r="N23" s="1528" t="s">
        <v>1344</v>
      </c>
      <c r="O23" s="1528"/>
      <c r="P23" s="1528"/>
      <c r="Q23" s="1526"/>
      <c r="R23" s="1526"/>
      <c r="S23" s="1526"/>
      <c r="T23" s="1526"/>
      <c r="U23" s="1526"/>
      <c r="V23" s="1526"/>
      <c r="W23" s="1526"/>
      <c r="X23" s="1526"/>
      <c r="Y23" s="1295"/>
      <c r="Z23" s="1292"/>
      <c r="AA23" s="1292"/>
      <c r="AB23" s="1293"/>
      <c r="AC23" s="1295"/>
      <c r="AD23" s="1292"/>
      <c r="AE23" s="1292"/>
      <c r="AF23" s="1293"/>
      <c r="AI23" s="3056" t="str">
        <f>"11:field234:" &amp; IF(I23="■",1,IF(M23="■",2,0))</f>
        <v>11:field234:0</v>
      </c>
    </row>
    <row r="24" spans="1:35" s="3056" customFormat="1" ht="19.5" hidden="1" customHeight="1">
      <c r="A24" s="735"/>
      <c r="B24" s="1407"/>
      <c r="C24" s="1303"/>
      <c r="D24" s="1412"/>
      <c r="E24" s="1275"/>
      <c r="F24" s="1289"/>
      <c r="G24" s="1305"/>
      <c r="H24" s="1540"/>
      <c r="I24" s="3081"/>
      <c r="J24" s="1529"/>
      <c r="K24" s="1529"/>
      <c r="L24" s="1529"/>
      <c r="M24" s="3070"/>
      <c r="N24" s="1529"/>
      <c r="O24" s="1529"/>
      <c r="P24" s="1529"/>
      <c r="Q24" s="1527"/>
      <c r="R24" s="1527"/>
      <c r="S24" s="1527"/>
      <c r="T24" s="1527"/>
      <c r="U24" s="1527"/>
      <c r="V24" s="1527"/>
      <c r="W24" s="1527"/>
      <c r="X24" s="1527"/>
      <c r="Y24" s="1295"/>
      <c r="Z24" s="1292"/>
      <c r="AA24" s="1292"/>
      <c r="AB24" s="1293"/>
      <c r="AC24" s="1295"/>
      <c r="AD24" s="1292"/>
      <c r="AE24" s="1292"/>
      <c r="AF24" s="1293"/>
    </row>
    <row r="25" spans="1:35" s="3056" customFormat="1" ht="19.5" hidden="1" customHeight="1">
      <c r="A25" s="735"/>
      <c r="B25" s="1407"/>
      <c r="C25" s="1303"/>
      <c r="D25" s="1412"/>
      <c r="E25" s="1275"/>
      <c r="F25" s="1289"/>
      <c r="G25" s="1305"/>
      <c r="H25" s="1539" t="s">
        <v>2269</v>
      </c>
      <c r="I25" s="3115" t="s">
        <v>121</v>
      </c>
      <c r="J25" s="1528" t="s">
        <v>1343</v>
      </c>
      <c r="K25" s="1528"/>
      <c r="L25" s="1528"/>
      <c r="M25" s="3086" t="s">
        <v>121</v>
      </c>
      <c r="N25" s="1528" t="s">
        <v>1344</v>
      </c>
      <c r="O25" s="1528"/>
      <c r="P25" s="1528"/>
      <c r="Q25" s="1526"/>
      <c r="R25" s="1526"/>
      <c r="S25" s="1526"/>
      <c r="T25" s="1526"/>
      <c r="U25" s="1526"/>
      <c r="V25" s="1526"/>
      <c r="W25" s="1526"/>
      <c r="X25" s="1526"/>
      <c r="Y25" s="1295"/>
      <c r="Z25" s="1292"/>
      <c r="AA25" s="1292"/>
      <c r="AB25" s="1293"/>
      <c r="AC25" s="1295"/>
      <c r="AD25" s="1292"/>
      <c r="AE25" s="1292"/>
      <c r="AF25" s="1293"/>
      <c r="AI25" s="3056" t="str">
        <f>"11:field235:" &amp; IF(I25="■",1,IF(M25="■",2,0))</f>
        <v>11:field235:0</v>
      </c>
    </row>
    <row r="26" spans="1:35" s="3056" customFormat="1" ht="19.5" hidden="1" customHeight="1">
      <c r="A26" s="735"/>
      <c r="B26" s="1407"/>
      <c r="C26" s="1303"/>
      <c r="D26" s="1412"/>
      <c r="E26" s="1275"/>
      <c r="F26" s="1289"/>
      <c r="G26" s="1305"/>
      <c r="H26" s="1540"/>
      <c r="I26" s="3081"/>
      <c r="J26" s="1529"/>
      <c r="K26" s="1529"/>
      <c r="L26" s="1529"/>
      <c r="M26" s="3070"/>
      <c r="N26" s="1529"/>
      <c r="O26" s="1529"/>
      <c r="P26" s="1529"/>
      <c r="Q26" s="1527"/>
      <c r="R26" s="1527"/>
      <c r="S26" s="1527"/>
      <c r="T26" s="1527"/>
      <c r="U26" s="1527"/>
      <c r="V26" s="1527"/>
      <c r="W26" s="1527"/>
      <c r="X26" s="1527"/>
      <c r="Y26" s="1295"/>
      <c r="Z26" s="1292"/>
      <c r="AA26" s="1292"/>
      <c r="AB26" s="1293"/>
      <c r="AC26" s="1295"/>
      <c r="AD26" s="1292"/>
      <c r="AE26" s="1292"/>
      <c r="AF26" s="1293"/>
    </row>
    <row r="27" spans="1:35" s="3056" customFormat="1" ht="19.5" hidden="1" customHeight="1">
      <c r="A27" s="735"/>
      <c r="B27" s="1407"/>
      <c r="C27" s="1305"/>
      <c r="D27" s="1412"/>
      <c r="E27" s="1275"/>
      <c r="F27" s="1289"/>
      <c r="G27" s="1305"/>
      <c r="H27" s="1410" t="s">
        <v>2478</v>
      </c>
      <c r="I27" s="3122" t="s">
        <v>121</v>
      </c>
      <c r="J27" s="1298" t="s">
        <v>1230</v>
      </c>
      <c r="K27" s="1299"/>
      <c r="L27" s="3122" t="s">
        <v>121</v>
      </c>
      <c r="M27" s="1298" t="s">
        <v>1248</v>
      </c>
      <c r="N27" s="1298"/>
      <c r="O27" s="1298"/>
      <c r="P27" s="1298"/>
      <c r="Q27" s="1298"/>
      <c r="R27" s="1298"/>
      <c r="S27" s="1298"/>
      <c r="T27" s="1298"/>
      <c r="U27" s="1298"/>
      <c r="V27" s="1298"/>
      <c r="W27" s="1298"/>
      <c r="X27" s="1310"/>
      <c r="Y27" s="1295"/>
      <c r="Z27" s="1292"/>
      <c r="AA27" s="1292"/>
      <c r="AB27" s="1293"/>
      <c r="AC27" s="1295"/>
      <c r="AD27" s="1292"/>
      <c r="AE27" s="1292"/>
      <c r="AF27" s="1293"/>
      <c r="AI27" s="3056" t="str">
        <f>"11:tokutiiki_code:" &amp; IF(I27="■",1,IF(L27="■",2,0))</f>
        <v>11:tokutiiki_code:0</v>
      </c>
    </row>
    <row r="28" spans="1:35" s="3056" customFormat="1" ht="19.5" hidden="1" customHeight="1">
      <c r="A28" s="735"/>
      <c r="B28" s="1294"/>
      <c r="C28" s="1294"/>
      <c r="D28" s="1412"/>
      <c r="E28" s="1412"/>
      <c r="F28" s="1289"/>
      <c r="G28" s="1305"/>
      <c r="H28" s="1539" t="s">
        <v>2474</v>
      </c>
      <c r="I28" s="3086" t="s">
        <v>121</v>
      </c>
      <c r="J28" s="1528" t="s">
        <v>1343</v>
      </c>
      <c r="K28" s="1528"/>
      <c r="L28" s="1528"/>
      <c r="M28" s="3086" t="s">
        <v>121</v>
      </c>
      <c r="N28" s="1528" t="s">
        <v>1344</v>
      </c>
      <c r="O28" s="1528"/>
      <c r="P28" s="1528"/>
      <c r="Q28" s="1290"/>
      <c r="R28" s="1290"/>
      <c r="S28" s="1290"/>
      <c r="T28" s="1290"/>
      <c r="U28" s="1290"/>
      <c r="V28" s="1290"/>
      <c r="W28" s="1290"/>
      <c r="X28" s="1331"/>
      <c r="Y28" s="1295"/>
      <c r="Z28" s="1292"/>
      <c r="AA28" s="1292"/>
      <c r="AB28" s="1293"/>
      <c r="AC28" s="1295"/>
      <c r="AD28" s="1292"/>
      <c r="AE28" s="1292"/>
      <c r="AF28" s="1293"/>
      <c r="AI28" s="3056" t="str">
        <f>"11:chuusankanti_tiiki_code:" &amp; IF(I28="■",1,IF(M28="■",2,0))</f>
        <v>11:chuusankanti_tiiki_code:0</v>
      </c>
    </row>
    <row r="29" spans="1:35" s="3056" customFormat="1" ht="18.75" hidden="1" customHeight="1">
      <c r="A29" s="1411"/>
      <c r="B29" s="1294"/>
      <c r="C29" s="1294"/>
      <c r="D29" s="1412"/>
      <c r="E29" s="1412"/>
      <c r="F29" s="1289"/>
      <c r="G29" s="1305"/>
      <c r="H29" s="1540"/>
      <c r="I29" s="3070"/>
      <c r="J29" s="1529"/>
      <c r="K29" s="1529"/>
      <c r="L29" s="1529"/>
      <c r="M29" s="3070"/>
      <c r="N29" s="1529"/>
      <c r="O29" s="1529"/>
      <c r="P29" s="1529"/>
      <c r="Q29" s="1309"/>
      <c r="R29" s="1309"/>
      <c r="S29" s="1309"/>
      <c r="T29" s="1309"/>
      <c r="U29" s="1309"/>
      <c r="V29" s="1309"/>
      <c r="W29" s="1309"/>
      <c r="X29" s="3087"/>
      <c r="Y29" s="1295"/>
      <c r="Z29" s="1292"/>
      <c r="AA29" s="1292"/>
      <c r="AB29" s="1293"/>
      <c r="AC29" s="1295"/>
      <c r="AD29" s="1292"/>
      <c r="AE29" s="1292"/>
      <c r="AF29" s="1293"/>
    </row>
    <row r="30" spans="1:35" s="3056" customFormat="1" ht="18.75" hidden="1" customHeight="1">
      <c r="A30" s="735"/>
      <c r="B30" s="1294"/>
      <c r="C30" s="1294"/>
      <c r="D30" s="1412"/>
      <c r="E30" s="1412"/>
      <c r="F30" s="1289"/>
      <c r="G30" s="1305"/>
      <c r="H30" s="1539" t="s">
        <v>2473</v>
      </c>
      <c r="I30" s="3086" t="s">
        <v>121</v>
      </c>
      <c r="J30" s="1528" t="s">
        <v>1343</v>
      </c>
      <c r="K30" s="1528"/>
      <c r="L30" s="1528"/>
      <c r="M30" s="3086" t="s">
        <v>121</v>
      </c>
      <c r="N30" s="1528" t="s">
        <v>1344</v>
      </c>
      <c r="O30" s="1528"/>
      <c r="P30" s="1528"/>
      <c r="Q30" s="1328"/>
      <c r="R30" s="1328"/>
      <c r="S30" s="1328"/>
      <c r="T30" s="1328"/>
      <c r="U30" s="1328"/>
      <c r="V30" s="1328"/>
      <c r="W30" s="1328"/>
      <c r="X30" s="1368"/>
      <c r="Y30" s="1295"/>
      <c r="Z30" s="1292"/>
      <c r="AA30" s="1292"/>
      <c r="AB30" s="1293"/>
      <c r="AC30" s="1295"/>
      <c r="AD30" s="1292"/>
      <c r="AE30" s="1292"/>
      <c r="AF30" s="1293"/>
      <c r="AI30" s="3056" t="str">
        <f>"11:chuusankanti_kibo_code:" &amp; IF(I30="■",1,IF(M30="■",2,0))</f>
        <v>11:chuusankanti_kibo_code:0</v>
      </c>
    </row>
    <row r="31" spans="1:35" s="3056" customFormat="1" ht="18.75" hidden="1" customHeight="1">
      <c r="A31" s="735"/>
      <c r="B31" s="1407"/>
      <c r="C31" s="1303"/>
      <c r="D31" s="1304"/>
      <c r="E31" s="1275"/>
      <c r="F31" s="1289"/>
      <c r="G31" s="1305"/>
      <c r="H31" s="1540"/>
      <c r="I31" s="3070"/>
      <c r="J31" s="1529"/>
      <c r="K31" s="1529"/>
      <c r="L31" s="1529"/>
      <c r="M31" s="3070"/>
      <c r="N31" s="1529"/>
      <c r="O31" s="1529"/>
      <c r="P31" s="1529"/>
      <c r="Q31" s="1309"/>
      <c r="R31" s="1309"/>
      <c r="S31" s="1309"/>
      <c r="T31" s="1309"/>
      <c r="U31" s="1309"/>
      <c r="V31" s="1309"/>
      <c r="W31" s="1309"/>
      <c r="X31" s="3087"/>
      <c r="Y31" s="1295"/>
      <c r="Z31" s="1292"/>
      <c r="AA31" s="1292"/>
      <c r="AB31" s="1293"/>
      <c r="AC31" s="1295"/>
      <c r="AD31" s="1292"/>
      <c r="AE31" s="1292"/>
      <c r="AF31" s="1293"/>
    </row>
    <row r="32" spans="1:35" s="3056" customFormat="1" ht="19.5" hidden="1" customHeight="1">
      <c r="A32" s="735"/>
      <c r="B32" s="1407"/>
      <c r="C32" s="1303"/>
      <c r="D32" s="1304"/>
      <c r="E32" s="1275"/>
      <c r="F32" s="1289"/>
      <c r="G32" s="1305"/>
      <c r="H32" s="1306" t="s">
        <v>1325</v>
      </c>
      <c r="I32" s="3066" t="s">
        <v>121</v>
      </c>
      <c r="J32" s="1298" t="s">
        <v>1230</v>
      </c>
      <c r="K32" s="1298"/>
      <c r="L32" s="3065" t="s">
        <v>121</v>
      </c>
      <c r="M32" s="1298" t="s">
        <v>1248</v>
      </c>
      <c r="N32" s="1298"/>
      <c r="O32" s="1307"/>
      <c r="P32" s="1298"/>
      <c r="Q32" s="1307"/>
      <c r="R32" s="1307"/>
      <c r="S32" s="1307"/>
      <c r="T32" s="1307"/>
      <c r="U32" s="1307"/>
      <c r="V32" s="1307"/>
      <c r="W32" s="1307"/>
      <c r="X32" s="1308"/>
      <c r="Y32" s="1292"/>
      <c r="Z32" s="1292"/>
      <c r="AA32" s="1292"/>
      <c r="AB32" s="1293"/>
      <c r="AC32" s="1295"/>
      <c r="AD32" s="1292"/>
      <c r="AE32" s="1292"/>
      <c r="AF32" s="1293"/>
      <c r="AI32" s="3056" t="str">
        <f>"11:field224:" &amp; IF(I32="■",1,IF(L32="■",2,0))</f>
        <v>11:field224:0</v>
      </c>
    </row>
    <row r="33" spans="1:37" s="3056" customFormat="1" ht="19.5" hidden="1" customHeight="1">
      <c r="A33" s="735"/>
      <c r="B33" s="1407"/>
      <c r="C33" s="1303"/>
      <c r="D33" s="1304"/>
      <c r="E33" s="1275"/>
      <c r="F33" s="1289"/>
      <c r="G33" s="1305"/>
      <c r="H33" s="1306" t="s">
        <v>1260</v>
      </c>
      <c r="I33" s="3066" t="s">
        <v>121</v>
      </c>
      <c r="J33" s="1298" t="s">
        <v>1230</v>
      </c>
      <c r="K33" s="1298"/>
      <c r="L33" s="3065" t="s">
        <v>121</v>
      </c>
      <c r="M33" s="1298" t="s">
        <v>1256</v>
      </c>
      <c r="N33" s="1298"/>
      <c r="O33" s="3065" t="s">
        <v>121</v>
      </c>
      <c r="P33" s="1298" t="s">
        <v>1257</v>
      </c>
      <c r="Q33" s="1307"/>
      <c r="R33" s="1307"/>
      <c r="S33" s="1307"/>
      <c r="T33" s="1307"/>
      <c r="U33" s="1307"/>
      <c r="V33" s="1307"/>
      <c r="W33" s="1307"/>
      <c r="X33" s="1308"/>
      <c r="Y33" s="1292"/>
      <c r="Z33" s="1292"/>
      <c r="AA33" s="1292"/>
      <c r="AB33" s="1293"/>
      <c r="AC33" s="1295"/>
      <c r="AD33" s="1292"/>
      <c r="AE33" s="1292"/>
      <c r="AF33" s="1293"/>
      <c r="AI33" s="3056" t="str">
        <f>"11:ninti_senmoncare_code:" &amp; IF(I33="■",1,IF(O33="■",3,IF(L33="■",2,0)))</f>
        <v>11:ninti_senmoncare_code:0</v>
      </c>
    </row>
    <row r="34" spans="1:37" s="3056" customFormat="1" ht="18.75" hidden="1" customHeight="1">
      <c r="A34" s="736"/>
      <c r="B34" s="1316"/>
      <c r="C34" s="1346"/>
      <c r="D34" s="1348"/>
      <c r="E34" s="1317"/>
      <c r="F34" s="1318"/>
      <c r="G34" s="1361"/>
      <c r="H34" s="3134" t="s">
        <v>2288</v>
      </c>
      <c r="I34" s="3060" t="s">
        <v>121</v>
      </c>
      <c r="J34" s="3130" t="s">
        <v>1230</v>
      </c>
      <c r="K34" s="3130"/>
      <c r="L34" s="3059" t="s">
        <v>121</v>
      </c>
      <c r="M34" s="3130" t="s">
        <v>2287</v>
      </c>
      <c r="N34" s="3133"/>
      <c r="O34" s="3059" t="s">
        <v>121</v>
      </c>
      <c r="P34" s="3132" t="s">
        <v>2286</v>
      </c>
      <c r="Q34" s="3131"/>
      <c r="R34" s="3059" t="s">
        <v>121</v>
      </c>
      <c r="S34" s="3130" t="s">
        <v>2285</v>
      </c>
      <c r="T34" s="3131"/>
      <c r="U34" s="3059" t="s">
        <v>121</v>
      </c>
      <c r="V34" s="3130" t="s">
        <v>2284</v>
      </c>
      <c r="W34" s="3129"/>
      <c r="X34" s="3128"/>
      <c r="Y34" s="1323"/>
      <c r="Z34" s="1323"/>
      <c r="AA34" s="1323"/>
      <c r="AB34" s="1324"/>
      <c r="AC34" s="1322"/>
      <c r="AD34" s="1323"/>
      <c r="AE34" s="1323"/>
      <c r="AF34" s="1324"/>
      <c r="AI34" s="3056" t="str">
        <f>"11:shoguukaizen_code:"&amp;IF(I34="■",1,IF(L34="■",7,IF(O34="■",8,IF(R34="■",9,IF(U34="■","A",0)))))</f>
        <v>11:shoguukaizen_code:0</v>
      </c>
    </row>
    <row r="35" spans="1:37" s="3056" customFormat="1" ht="19.5" hidden="1" customHeight="1">
      <c r="A35" s="1276"/>
      <c r="B35" s="1405"/>
      <c r="C35" s="1333"/>
      <c r="D35" s="1335"/>
      <c r="E35" s="1272"/>
      <c r="F35" s="1279"/>
      <c r="G35" s="1351"/>
      <c r="H35" s="1367" t="s">
        <v>1244</v>
      </c>
      <c r="I35" s="3074" t="s">
        <v>121</v>
      </c>
      <c r="J35" s="1280" t="s">
        <v>1242</v>
      </c>
      <c r="K35" s="1281"/>
      <c r="L35" s="1282"/>
      <c r="M35" s="3073" t="s">
        <v>121</v>
      </c>
      <c r="N35" s="1280" t="s">
        <v>1245</v>
      </c>
      <c r="O35" s="1284"/>
      <c r="P35" s="1280"/>
      <c r="Q35" s="1284"/>
      <c r="R35" s="1284"/>
      <c r="S35" s="1284"/>
      <c r="T35" s="1284"/>
      <c r="U35" s="1284"/>
      <c r="V35" s="1284"/>
      <c r="W35" s="1284"/>
      <c r="X35" s="1325"/>
      <c r="Y35" s="3119" t="s">
        <v>121</v>
      </c>
      <c r="Z35" s="1270" t="s">
        <v>1229</v>
      </c>
      <c r="AA35" s="1270"/>
      <c r="AB35" s="1286"/>
      <c r="AC35" s="3119" t="s">
        <v>121</v>
      </c>
      <c r="AD35" s="1270" t="s">
        <v>1229</v>
      </c>
      <c r="AE35" s="1270"/>
      <c r="AF35" s="1286"/>
      <c r="AG35" s="3056" t="str">
        <f>"ser_code = '" &amp; IF(A40="■",12,"") &amp; "'"</f>
        <v>ser_code = ''</v>
      </c>
      <c r="AI35" s="3056" t="str">
        <f>"12:field223:" &amp; IF(I35="■",1,IF(M35="■",2,0))</f>
        <v>12:field223:0</v>
      </c>
      <c r="AJ35" s="3056" t="str">
        <f>"12:field203:" &amp; IF(Y35="■",1,IF(Y36="■",2,0))</f>
        <v>12:field203:0</v>
      </c>
      <c r="AK35" s="3056" t="str">
        <f>"12:waribiki_code:" &amp; IF(AC35="■",1,IF(AC36="■",2,0))</f>
        <v>12:waribiki_code:0</v>
      </c>
    </row>
    <row r="36" spans="1:37" s="3056" customFormat="1" ht="19.5" hidden="1" customHeight="1">
      <c r="A36" s="735"/>
      <c r="B36" s="1407"/>
      <c r="C36" s="1303"/>
      <c r="D36" s="1304"/>
      <c r="E36" s="1275"/>
      <c r="F36" s="1289"/>
      <c r="G36" s="1305"/>
      <c r="H36" s="3097" t="s">
        <v>1246</v>
      </c>
      <c r="I36" s="3096" t="s">
        <v>121</v>
      </c>
      <c r="J36" s="3091" t="s">
        <v>1242</v>
      </c>
      <c r="K36" s="3095"/>
      <c r="L36" s="3094"/>
      <c r="M36" s="3093" t="s">
        <v>121</v>
      </c>
      <c r="N36" s="3091" t="s">
        <v>1245</v>
      </c>
      <c r="O36" s="3224"/>
      <c r="P36" s="3223"/>
      <c r="Q36" s="3222"/>
      <c r="R36" s="3222"/>
      <c r="S36" s="3222"/>
      <c r="T36" s="3222"/>
      <c r="U36" s="3222"/>
      <c r="V36" s="3222"/>
      <c r="W36" s="3222"/>
      <c r="X36" s="3221"/>
      <c r="Y36" s="3122" t="s">
        <v>121</v>
      </c>
      <c r="Z36" s="1273" t="s">
        <v>1234</v>
      </c>
      <c r="AA36" s="1292"/>
      <c r="AB36" s="1293"/>
      <c r="AC36" s="3069" t="s">
        <v>121</v>
      </c>
      <c r="AD36" s="1273" t="s">
        <v>1234</v>
      </c>
      <c r="AE36" s="626"/>
      <c r="AF36" s="627"/>
      <c r="AI36" s="3056" t="str">
        <f>"12:field232:" &amp; IF(I36="■",1,IF(M36="■",2,0))</f>
        <v>12:field232:0</v>
      </c>
    </row>
    <row r="37" spans="1:37" s="3056" customFormat="1" ht="19.5" hidden="1" customHeight="1">
      <c r="A37" s="735"/>
      <c r="B37" s="1407"/>
      <c r="C37" s="1303"/>
      <c r="D37" s="1304"/>
      <c r="E37" s="1275"/>
      <c r="F37" s="1289"/>
      <c r="G37" s="1305"/>
      <c r="H37" s="1401" t="s">
        <v>2475</v>
      </c>
      <c r="I37" s="3063" t="s">
        <v>121</v>
      </c>
      <c r="J37" s="1296" t="s">
        <v>1230</v>
      </c>
      <c r="K37" s="1309"/>
      <c r="L37" s="3062" t="s">
        <v>121</v>
      </c>
      <c r="M37" s="1296" t="s">
        <v>1248</v>
      </c>
      <c r="N37" s="1296"/>
      <c r="O37" s="1296"/>
      <c r="P37" s="1296"/>
      <c r="Q37" s="1296"/>
      <c r="R37" s="1296"/>
      <c r="S37" s="1296"/>
      <c r="T37" s="1296"/>
      <c r="U37" s="1296"/>
      <c r="V37" s="1296"/>
      <c r="W37" s="1296"/>
      <c r="X37" s="1332"/>
      <c r="Y37" s="1412"/>
      <c r="Z37" s="1273"/>
      <c r="AA37" s="1292"/>
      <c r="AB37" s="1293"/>
      <c r="AC37" s="1304"/>
      <c r="AD37" s="1273"/>
      <c r="AE37" s="1292"/>
      <c r="AF37" s="1293"/>
      <c r="AI37" s="3056" t="str">
        <f>"12:tokutiiki_code:" &amp; IF(I37="■",1,IF(L37="■",2,0))</f>
        <v>12:tokutiiki_code:0</v>
      </c>
    </row>
    <row r="38" spans="1:37" s="3056" customFormat="1" ht="18.75" hidden="1" customHeight="1">
      <c r="A38" s="735"/>
      <c r="B38" s="1407"/>
      <c r="C38" s="1303"/>
      <c r="D38" s="1304"/>
      <c r="E38" s="1275"/>
      <c r="F38" s="1289"/>
      <c r="G38" s="1305"/>
      <c r="H38" s="1539" t="s">
        <v>2474</v>
      </c>
      <c r="I38" s="3086" t="s">
        <v>121</v>
      </c>
      <c r="J38" s="1528" t="s">
        <v>1343</v>
      </c>
      <c r="K38" s="1528"/>
      <c r="L38" s="1528"/>
      <c r="M38" s="3086" t="s">
        <v>121</v>
      </c>
      <c r="N38" s="1528" t="s">
        <v>1344</v>
      </c>
      <c r="O38" s="1528"/>
      <c r="P38" s="1528"/>
      <c r="Q38" s="1328"/>
      <c r="R38" s="1328"/>
      <c r="S38" s="1328"/>
      <c r="T38" s="1328"/>
      <c r="U38" s="1328"/>
      <c r="V38" s="1328"/>
      <c r="W38" s="1328"/>
      <c r="X38" s="1368"/>
      <c r="Y38" s="1412"/>
      <c r="Z38" s="1412"/>
      <c r="AA38" s="1412"/>
      <c r="AB38" s="1293"/>
      <c r="AC38" s="1304"/>
      <c r="AD38" s="1412"/>
      <c r="AE38" s="1412"/>
      <c r="AF38" s="1293"/>
      <c r="AI38" s="3056" t="str">
        <f>"12:chuusankanti_tiiki_code:" &amp; IF(I38="■",1,IF(M38="■",2,0))</f>
        <v>12:chuusankanti_tiiki_code:0</v>
      </c>
    </row>
    <row r="39" spans="1:37" s="3056" customFormat="1" ht="18.75" hidden="1" customHeight="1">
      <c r="A39" s="735"/>
      <c r="B39" s="1407"/>
      <c r="C39" s="1303"/>
      <c r="D39" s="1304"/>
      <c r="E39" s="1275"/>
      <c r="F39" s="1289"/>
      <c r="G39" s="1305"/>
      <c r="H39" s="1540"/>
      <c r="I39" s="3070"/>
      <c r="J39" s="1529"/>
      <c r="K39" s="1529"/>
      <c r="L39" s="1529"/>
      <c r="M39" s="3070"/>
      <c r="N39" s="1529"/>
      <c r="O39" s="1529"/>
      <c r="P39" s="1529"/>
      <c r="Q39" s="1330"/>
      <c r="R39" s="1330"/>
      <c r="S39" s="1330"/>
      <c r="T39" s="1330"/>
      <c r="U39" s="1330"/>
      <c r="V39" s="1330"/>
      <c r="W39" s="1330"/>
      <c r="X39" s="1356"/>
      <c r="Y39" s="1295"/>
      <c r="Z39" s="1292"/>
      <c r="AA39" s="1292"/>
      <c r="AB39" s="1293"/>
      <c r="AC39" s="1295"/>
      <c r="AD39" s="1292"/>
      <c r="AE39" s="1292"/>
      <c r="AF39" s="1293"/>
    </row>
    <row r="40" spans="1:37" s="3056" customFormat="1" ht="18.75" hidden="1" customHeight="1">
      <c r="A40" s="3069" t="s">
        <v>121</v>
      </c>
      <c r="B40" s="1407">
        <v>12</v>
      </c>
      <c r="C40" s="1303" t="s">
        <v>482</v>
      </c>
      <c r="D40" s="1304"/>
      <c r="E40" s="1275"/>
      <c r="F40" s="1289"/>
      <c r="G40" s="1305"/>
      <c r="H40" s="1539" t="s">
        <v>2473</v>
      </c>
      <c r="I40" s="3086" t="s">
        <v>121</v>
      </c>
      <c r="J40" s="1528" t="s">
        <v>1343</v>
      </c>
      <c r="K40" s="1528"/>
      <c r="L40" s="1528"/>
      <c r="M40" s="3086" t="s">
        <v>121</v>
      </c>
      <c r="N40" s="1528" t="s">
        <v>1344</v>
      </c>
      <c r="O40" s="1528"/>
      <c r="P40" s="1528"/>
      <c r="Q40" s="1328"/>
      <c r="R40" s="1328"/>
      <c r="S40" s="1328"/>
      <c r="T40" s="1328"/>
      <c r="U40" s="1328"/>
      <c r="V40" s="1328"/>
      <c r="W40" s="1328"/>
      <c r="X40" s="1368"/>
      <c r="Y40" s="1295"/>
      <c r="Z40" s="1292"/>
      <c r="AA40" s="1292"/>
      <c r="AB40" s="1293"/>
      <c r="AC40" s="1295"/>
      <c r="AD40" s="1292"/>
      <c r="AE40" s="1292"/>
      <c r="AF40" s="1293"/>
      <c r="AI40" s="3056" t="str">
        <f>"12:chuusankanti_kibo_code:" &amp; IF(I40="■",1,IF(M40="■",2,0))</f>
        <v>12:chuusankanti_kibo_code:0</v>
      </c>
    </row>
    <row r="41" spans="1:37" s="3056" customFormat="1" ht="18.75" hidden="1" customHeight="1">
      <c r="A41" s="735"/>
      <c r="B41" s="1407"/>
      <c r="C41" s="1303"/>
      <c r="D41" s="1304"/>
      <c r="E41" s="1275"/>
      <c r="F41" s="1289"/>
      <c r="G41" s="1305"/>
      <c r="H41" s="1540"/>
      <c r="I41" s="3071"/>
      <c r="J41" s="1559"/>
      <c r="K41" s="1559"/>
      <c r="L41" s="1559"/>
      <c r="M41" s="3071"/>
      <c r="N41" s="1529"/>
      <c r="O41" s="1529"/>
      <c r="P41" s="1529"/>
      <c r="Q41" s="1330"/>
      <c r="R41" s="1330"/>
      <c r="S41" s="1330"/>
      <c r="T41" s="1330"/>
      <c r="U41" s="1330"/>
      <c r="V41" s="1330"/>
      <c r="W41" s="1330"/>
      <c r="X41" s="1356"/>
      <c r="Y41" s="1295"/>
      <c r="Z41" s="1292"/>
      <c r="AA41" s="1292"/>
      <c r="AB41" s="1293"/>
      <c r="AC41" s="1295"/>
      <c r="AD41" s="1292"/>
      <c r="AE41" s="1292"/>
      <c r="AF41" s="1293"/>
    </row>
    <row r="42" spans="1:37" s="3056" customFormat="1" ht="19.5" hidden="1" customHeight="1">
      <c r="A42" s="735"/>
      <c r="B42" s="1407"/>
      <c r="C42" s="1303"/>
      <c r="D42" s="1304"/>
      <c r="E42" s="1275"/>
      <c r="F42" s="1289"/>
      <c r="G42" s="1305"/>
      <c r="H42" s="3112" t="s">
        <v>1260</v>
      </c>
      <c r="I42" s="3065" t="s">
        <v>121</v>
      </c>
      <c r="J42" s="1298" t="s">
        <v>1230</v>
      </c>
      <c r="K42" s="1298"/>
      <c r="L42" s="3065" t="s">
        <v>121</v>
      </c>
      <c r="M42" s="1298" t="s">
        <v>1256</v>
      </c>
      <c r="N42" s="1298"/>
      <c r="O42" s="3065" t="s">
        <v>121</v>
      </c>
      <c r="P42" s="1298" t="s">
        <v>1257</v>
      </c>
      <c r="Q42" s="1307"/>
      <c r="R42" s="1299"/>
      <c r="S42" s="1299"/>
      <c r="T42" s="1299"/>
      <c r="U42" s="1299"/>
      <c r="V42" s="1299"/>
      <c r="W42" s="1299"/>
      <c r="X42" s="1302"/>
      <c r="Y42" s="1295"/>
      <c r="Z42" s="1292"/>
      <c r="AA42" s="1292"/>
      <c r="AB42" s="1293"/>
      <c r="AC42" s="1295"/>
      <c r="AD42" s="1292"/>
      <c r="AE42" s="1292"/>
      <c r="AF42" s="1293"/>
      <c r="AI42" s="3056" t="str">
        <f>"12:ninti_senmoncare_code:" &amp; IF(I42="■",1,IF(O42="■",3,IF(L42="■",2,0)))</f>
        <v>12:ninti_senmoncare_code:0</v>
      </c>
    </row>
    <row r="43" spans="1:37" s="3056" customFormat="1" ht="18.75" hidden="1" customHeight="1">
      <c r="A43" s="1411"/>
      <c r="B43" s="1407"/>
      <c r="C43" s="1303"/>
      <c r="D43" s="1304"/>
      <c r="E43" s="1275"/>
      <c r="F43" s="1289"/>
      <c r="G43" s="1305"/>
      <c r="H43" s="1401" t="s">
        <v>2445</v>
      </c>
      <c r="I43" s="3066" t="s">
        <v>121</v>
      </c>
      <c r="J43" s="1298" t="s">
        <v>1230</v>
      </c>
      <c r="K43" s="1299"/>
      <c r="L43" s="3065" t="s">
        <v>121</v>
      </c>
      <c r="M43" s="1298" t="s">
        <v>1248</v>
      </c>
      <c r="N43" s="1403"/>
      <c r="O43" s="1403"/>
      <c r="P43" s="1403"/>
      <c r="Q43" s="1330"/>
      <c r="R43" s="1330"/>
      <c r="S43" s="1330"/>
      <c r="T43" s="1330"/>
      <c r="U43" s="1330"/>
      <c r="V43" s="1330"/>
      <c r="W43" s="1330"/>
      <c r="X43" s="1356"/>
      <c r="Y43" s="1295"/>
      <c r="Z43" s="1292"/>
      <c r="AA43" s="1292"/>
      <c r="AB43" s="1293"/>
      <c r="AC43" s="1295"/>
      <c r="AD43" s="1292"/>
      <c r="AE43" s="1292"/>
      <c r="AF43" s="1293"/>
      <c r="AI43" s="3056" t="str">
        <f>"12:field171:" &amp; IF(I43="■",1,IF(L43="■",2,0))</f>
        <v>12:field171:0</v>
      </c>
    </row>
    <row r="44" spans="1:37" s="3056" customFormat="1" ht="19.5" hidden="1" customHeight="1">
      <c r="A44" s="735"/>
      <c r="B44" s="1407"/>
      <c r="C44" s="1303"/>
      <c r="D44" s="1304"/>
      <c r="E44" s="1275"/>
      <c r="F44" s="1289"/>
      <c r="G44" s="1305"/>
      <c r="H44" s="1410" t="s">
        <v>1348</v>
      </c>
      <c r="I44" s="3066" t="s">
        <v>121</v>
      </c>
      <c r="J44" s="1296" t="s">
        <v>1230</v>
      </c>
      <c r="K44" s="1296"/>
      <c r="L44" s="3065" t="s">
        <v>121</v>
      </c>
      <c r="M44" s="1298" t="s">
        <v>2477</v>
      </c>
      <c r="N44" s="1298"/>
      <c r="O44" s="3065" t="s">
        <v>121</v>
      </c>
      <c r="P44" s="1298" t="s">
        <v>1257</v>
      </c>
      <c r="Q44" s="1298"/>
      <c r="R44" s="3065" t="s">
        <v>121</v>
      </c>
      <c r="S44" s="1296" t="s">
        <v>2476</v>
      </c>
      <c r="T44" s="1296"/>
      <c r="U44" s="1298"/>
      <c r="V44" s="1298"/>
      <c r="W44" s="1298"/>
      <c r="X44" s="1310"/>
      <c r="Y44" s="1295"/>
      <c r="Z44" s="1292"/>
      <c r="AA44" s="1292"/>
      <c r="AB44" s="1293"/>
      <c r="AC44" s="1295"/>
      <c r="AD44" s="1292"/>
      <c r="AE44" s="1292"/>
      <c r="AF44" s="1293"/>
      <c r="AI44" s="3056" t="str">
        <f>"12:serteikyo_kyoka_code:" &amp; IF(I44="■",1,IF(L44="■",4,IF(O44="■",3,IF(R44="■",5,0))))</f>
        <v>12:serteikyo_kyoka_code:0</v>
      </c>
    </row>
    <row r="45" spans="1:37" s="3056" customFormat="1" ht="18.75" hidden="1" customHeight="1">
      <c r="A45" s="736"/>
      <c r="B45" s="1316"/>
      <c r="C45" s="1346"/>
      <c r="D45" s="1348"/>
      <c r="E45" s="1317"/>
      <c r="F45" s="1318"/>
      <c r="G45" s="1361"/>
      <c r="H45" s="3134" t="s">
        <v>2288</v>
      </c>
      <c r="I45" s="3060" t="s">
        <v>121</v>
      </c>
      <c r="J45" s="3130" t="s">
        <v>1230</v>
      </c>
      <c r="K45" s="3130"/>
      <c r="L45" s="3059" t="s">
        <v>121</v>
      </c>
      <c r="M45" s="3130" t="s">
        <v>2287</v>
      </c>
      <c r="N45" s="3133"/>
      <c r="O45" s="3059" t="s">
        <v>121</v>
      </c>
      <c r="P45" s="3132" t="s">
        <v>2286</v>
      </c>
      <c r="Q45" s="3131"/>
      <c r="R45" s="3059" t="s">
        <v>121</v>
      </c>
      <c r="S45" s="3130" t="s">
        <v>2285</v>
      </c>
      <c r="T45" s="3131"/>
      <c r="U45" s="3059" t="s">
        <v>121</v>
      </c>
      <c r="V45" s="3130" t="s">
        <v>2284</v>
      </c>
      <c r="W45" s="3129"/>
      <c r="X45" s="3128"/>
      <c r="Y45" s="1323"/>
      <c r="Z45" s="1323"/>
      <c r="AA45" s="1323"/>
      <c r="AB45" s="1324"/>
      <c r="AC45" s="1322"/>
      <c r="AD45" s="1323"/>
      <c r="AE45" s="1323"/>
      <c r="AF45" s="1324"/>
      <c r="AI45" s="3056" t="str">
        <f>"12:shoguukaizen_code:"&amp;IF(I45="■",1,IF(L45="■",7,IF(O45="■",8,IF(R45="■",9,IF(U45="■","A",0)))))</f>
        <v>12:shoguukaizen_code:0</v>
      </c>
    </row>
    <row r="46" spans="1:37" s="3056" customFormat="1" ht="19.5" hidden="1" customHeight="1">
      <c r="A46" s="1276"/>
      <c r="B46" s="1405"/>
      <c r="C46" s="1333"/>
      <c r="D46" s="1335"/>
      <c r="E46" s="1272"/>
      <c r="F46" s="1279"/>
      <c r="G46" s="1351"/>
      <c r="H46" s="1367" t="s">
        <v>1244</v>
      </c>
      <c r="I46" s="3074" t="s">
        <v>121</v>
      </c>
      <c r="J46" s="1280" t="s">
        <v>1242</v>
      </c>
      <c r="K46" s="1281"/>
      <c r="L46" s="1282"/>
      <c r="M46" s="3073" t="s">
        <v>121</v>
      </c>
      <c r="N46" s="1280" t="s">
        <v>1245</v>
      </c>
      <c r="O46" s="1283"/>
      <c r="P46" s="1280"/>
      <c r="Q46" s="1284"/>
      <c r="R46" s="1284"/>
      <c r="S46" s="1284"/>
      <c r="T46" s="1284"/>
      <c r="U46" s="1284"/>
      <c r="V46" s="1284"/>
      <c r="W46" s="1284"/>
      <c r="X46" s="1325"/>
      <c r="Y46" s="3119" t="s">
        <v>121</v>
      </c>
      <c r="Z46" s="1270" t="s">
        <v>1229</v>
      </c>
      <c r="AA46" s="1270"/>
      <c r="AB46" s="1286"/>
      <c r="AC46" s="1530"/>
      <c r="AD46" s="1531"/>
      <c r="AE46" s="1531"/>
      <c r="AF46" s="1532"/>
      <c r="AG46" s="3056" t="str">
        <f>"ser_code = '" &amp; IF(A54="■",13,"") &amp; "'"</f>
        <v>ser_code = ''</v>
      </c>
      <c r="AI46" s="3056" t="str">
        <f>"13:field223:" &amp; IF(I46="■",1,IF(M46="■",2,0))</f>
        <v>13:field223:0</v>
      </c>
      <c r="AJ46" s="3056" t="str">
        <f>"13:field203:" &amp; IF(Y46="■",1,IF(Y47="■",2,0))</f>
        <v>13:field203:0</v>
      </c>
    </row>
    <row r="47" spans="1:37" s="3056" customFormat="1" ht="19.5" hidden="1" customHeight="1">
      <c r="A47" s="735"/>
      <c r="B47" s="1407"/>
      <c r="C47" s="1303"/>
      <c r="D47" s="1304"/>
      <c r="E47" s="1275"/>
      <c r="F47" s="1289"/>
      <c r="G47" s="1305"/>
      <c r="H47" s="3097" t="s">
        <v>1246</v>
      </c>
      <c r="I47" s="3096" t="s">
        <v>121</v>
      </c>
      <c r="J47" s="3091" t="s">
        <v>1242</v>
      </c>
      <c r="K47" s="3095"/>
      <c r="L47" s="3094"/>
      <c r="M47" s="3093" t="s">
        <v>121</v>
      </c>
      <c r="N47" s="3091" t="s">
        <v>1245</v>
      </c>
      <c r="O47" s="3224"/>
      <c r="P47" s="3223"/>
      <c r="Q47" s="3222"/>
      <c r="R47" s="3222"/>
      <c r="S47" s="3222"/>
      <c r="T47" s="3222"/>
      <c r="U47" s="3222"/>
      <c r="V47" s="3222"/>
      <c r="W47" s="3222"/>
      <c r="X47" s="3221"/>
      <c r="Y47" s="3122" t="s">
        <v>121</v>
      </c>
      <c r="Z47" s="1273" t="s">
        <v>1234</v>
      </c>
      <c r="AA47" s="1292"/>
      <c r="AB47" s="1293"/>
      <c r="AC47" s="1533"/>
      <c r="AD47" s="1534"/>
      <c r="AE47" s="1534"/>
      <c r="AF47" s="1535"/>
      <c r="AI47" s="3056" t="str">
        <f>"13:field232:" &amp; IF(I47="■",1,IF(M47="■",2,0))</f>
        <v>13:field232:0</v>
      </c>
    </row>
    <row r="48" spans="1:37" s="3056" customFormat="1" ht="18.75" hidden="1" customHeight="1">
      <c r="A48" s="735"/>
      <c r="B48" s="1407"/>
      <c r="C48" s="1303"/>
      <c r="D48" s="1304"/>
      <c r="E48" s="1275"/>
      <c r="F48" s="1289"/>
      <c r="G48" s="1305"/>
      <c r="H48" s="1401" t="s">
        <v>2475</v>
      </c>
      <c r="I48" s="3063" t="s">
        <v>121</v>
      </c>
      <c r="J48" s="1296" t="s">
        <v>1230</v>
      </c>
      <c r="K48" s="1309"/>
      <c r="L48" s="3062" t="s">
        <v>121</v>
      </c>
      <c r="M48" s="1296" t="s">
        <v>1248</v>
      </c>
      <c r="N48" s="1296"/>
      <c r="O48" s="1296"/>
      <c r="P48" s="1296"/>
      <c r="Q48" s="1330"/>
      <c r="R48" s="1330"/>
      <c r="S48" s="1330"/>
      <c r="T48" s="1330"/>
      <c r="U48" s="1330"/>
      <c r="V48" s="1330"/>
      <c r="W48" s="1330"/>
      <c r="X48" s="1356"/>
      <c r="Y48" s="1412"/>
      <c r="Z48" s="1273"/>
      <c r="AA48" s="1292"/>
      <c r="AB48" s="1293"/>
      <c r="AC48" s="1533"/>
      <c r="AD48" s="1534"/>
      <c r="AE48" s="1534"/>
      <c r="AF48" s="1535"/>
      <c r="AG48" s="3056" t="str">
        <f>"13:sisetukbn_code:" &amp; IF(D53="■",1,IF(D54="■",2,IF(D55="■",3,0)))</f>
        <v>13:sisetukbn_code:0</v>
      </c>
      <c r="AI48" s="3056" t="str">
        <f>"13:tokutiiki_code:" &amp; IF(I48="■",1,IF(L48="■",2,0))</f>
        <v>13:tokutiiki_code:0</v>
      </c>
    </row>
    <row r="49" spans="1:36" s="3056" customFormat="1" ht="18.75" hidden="1" customHeight="1">
      <c r="A49" s="735"/>
      <c r="B49" s="1407"/>
      <c r="C49" s="1303"/>
      <c r="D49" s="1304"/>
      <c r="E49" s="1275"/>
      <c r="F49" s="1289"/>
      <c r="G49" s="1305"/>
      <c r="H49" s="1539" t="s">
        <v>2474</v>
      </c>
      <c r="I49" s="3086" t="s">
        <v>121</v>
      </c>
      <c r="J49" s="1528" t="s">
        <v>1343</v>
      </c>
      <c r="K49" s="1528"/>
      <c r="L49" s="1528"/>
      <c r="M49" s="3086" t="s">
        <v>121</v>
      </c>
      <c r="N49" s="1528" t="s">
        <v>1344</v>
      </c>
      <c r="O49" s="1528"/>
      <c r="P49" s="1528"/>
      <c r="Q49" s="1328"/>
      <c r="R49" s="1328"/>
      <c r="S49" s="1328"/>
      <c r="T49" s="1328"/>
      <c r="U49" s="1328"/>
      <c r="V49" s="1328"/>
      <c r="W49" s="1328"/>
      <c r="X49" s="1368"/>
      <c r="Y49" s="1412"/>
      <c r="Z49" s="1412"/>
      <c r="AA49" s="1412"/>
      <c r="AB49" s="1293"/>
      <c r="AC49" s="1533"/>
      <c r="AD49" s="1534"/>
      <c r="AE49" s="1534"/>
      <c r="AF49" s="1535"/>
      <c r="AI49" s="3056" t="str">
        <f>"13:chuusankanti_tiiki_code:" &amp; IF(I49="■",1,IF(M49="■",2,0))</f>
        <v>13:chuusankanti_tiiki_code:0</v>
      </c>
    </row>
    <row r="50" spans="1:36" s="3056" customFormat="1" ht="18.75" hidden="1" customHeight="1">
      <c r="A50" s="735"/>
      <c r="B50" s="1407"/>
      <c r="C50" s="1303"/>
      <c r="D50" s="1304"/>
      <c r="E50" s="1275"/>
      <c r="F50" s="1289"/>
      <c r="G50" s="1305"/>
      <c r="H50" s="1540"/>
      <c r="I50" s="3070"/>
      <c r="J50" s="1529"/>
      <c r="K50" s="1529"/>
      <c r="L50" s="1529"/>
      <c r="M50" s="3070"/>
      <c r="N50" s="1529"/>
      <c r="O50" s="1529"/>
      <c r="P50" s="1529"/>
      <c r="Q50" s="1330"/>
      <c r="R50" s="1330"/>
      <c r="S50" s="1330"/>
      <c r="T50" s="1330"/>
      <c r="U50" s="1330"/>
      <c r="V50" s="1330"/>
      <c r="W50" s="1330"/>
      <c r="X50" s="1356"/>
      <c r="Y50" s="1295"/>
      <c r="Z50" s="1292"/>
      <c r="AA50" s="1292"/>
      <c r="AB50" s="1293"/>
      <c r="AC50" s="1533"/>
      <c r="AD50" s="1534"/>
      <c r="AE50" s="1534"/>
      <c r="AF50" s="1535"/>
    </row>
    <row r="51" spans="1:36" s="3056" customFormat="1" ht="18.75" hidden="1" customHeight="1">
      <c r="A51" s="735"/>
      <c r="B51" s="1407"/>
      <c r="C51" s="1303"/>
      <c r="D51" s="1304"/>
      <c r="E51" s="1275"/>
      <c r="F51" s="1289"/>
      <c r="G51" s="1305"/>
      <c r="H51" s="1539" t="s">
        <v>2473</v>
      </c>
      <c r="I51" s="3086" t="s">
        <v>121</v>
      </c>
      <c r="J51" s="1528" t="s">
        <v>1343</v>
      </c>
      <c r="K51" s="1528"/>
      <c r="L51" s="1528"/>
      <c r="M51" s="3086" t="s">
        <v>121</v>
      </c>
      <c r="N51" s="1528" t="s">
        <v>1344</v>
      </c>
      <c r="O51" s="1528"/>
      <c r="P51" s="1528"/>
      <c r="Q51" s="1328"/>
      <c r="R51" s="1328"/>
      <c r="S51" s="1328"/>
      <c r="T51" s="1328"/>
      <c r="U51" s="1328"/>
      <c r="V51" s="1328"/>
      <c r="W51" s="1328"/>
      <c r="X51" s="1368"/>
      <c r="Y51" s="1295"/>
      <c r="Z51" s="1292"/>
      <c r="AA51" s="1292"/>
      <c r="AB51" s="1293"/>
      <c r="AC51" s="1533"/>
      <c r="AD51" s="1534"/>
      <c r="AE51" s="1534"/>
      <c r="AF51" s="1535"/>
      <c r="AI51" s="3056" t="str">
        <f>"13:chuusankanti_kibo_code:" &amp; IF(I51="■",1,IF(M51="■",2,0))</f>
        <v>13:chuusankanti_kibo_code:0</v>
      </c>
    </row>
    <row r="52" spans="1:36" s="3056" customFormat="1" ht="18.75" hidden="1" customHeight="1">
      <c r="A52" s="735"/>
      <c r="B52" s="1407"/>
      <c r="C52" s="1303"/>
      <c r="D52" s="1304"/>
      <c r="E52" s="1275"/>
      <c r="F52" s="1289"/>
      <c r="G52" s="1305"/>
      <c r="H52" s="1540"/>
      <c r="I52" s="3070"/>
      <c r="J52" s="1529"/>
      <c r="K52" s="1529"/>
      <c r="L52" s="1529"/>
      <c r="M52" s="3070"/>
      <c r="N52" s="1529"/>
      <c r="O52" s="1529"/>
      <c r="P52" s="1529"/>
      <c r="Q52" s="1330"/>
      <c r="R52" s="1330"/>
      <c r="S52" s="1330"/>
      <c r="T52" s="1330"/>
      <c r="U52" s="1330"/>
      <c r="V52" s="1330"/>
      <c r="W52" s="1330"/>
      <c r="X52" s="1356"/>
      <c r="Y52" s="1295"/>
      <c r="Z52" s="1292"/>
      <c r="AA52" s="1292"/>
      <c r="AB52" s="1293"/>
      <c r="AC52" s="1533"/>
      <c r="AD52" s="1534"/>
      <c r="AE52" s="1534"/>
      <c r="AF52" s="1535"/>
    </row>
    <row r="53" spans="1:36" s="3056" customFormat="1" ht="18.75" hidden="1" customHeight="1">
      <c r="A53" s="735"/>
      <c r="B53" s="1407"/>
      <c r="C53" s="1303"/>
      <c r="D53" s="3122" t="s">
        <v>121</v>
      </c>
      <c r="E53" s="1275" t="s">
        <v>2268</v>
      </c>
      <c r="F53" s="1289"/>
      <c r="G53" s="1305"/>
      <c r="H53" s="1410" t="s">
        <v>2472</v>
      </c>
      <c r="I53" s="3137" t="s">
        <v>121</v>
      </c>
      <c r="J53" s="1298" t="s">
        <v>1230</v>
      </c>
      <c r="K53" s="1299"/>
      <c r="L53" s="3065" t="s">
        <v>121</v>
      </c>
      <c r="M53" s="1298" t="s">
        <v>1263</v>
      </c>
      <c r="N53" s="1298"/>
      <c r="O53" s="3136" t="s">
        <v>121</v>
      </c>
      <c r="P53" s="1290" t="s">
        <v>1287</v>
      </c>
      <c r="Q53" s="1326"/>
      <c r="R53" s="1326"/>
      <c r="S53" s="1326"/>
      <c r="T53" s="1326"/>
      <c r="U53" s="1326"/>
      <c r="V53" s="1326"/>
      <c r="W53" s="1326"/>
      <c r="X53" s="1327"/>
      <c r="Y53" s="1295"/>
      <c r="Z53" s="1292"/>
      <c r="AA53" s="1292"/>
      <c r="AB53" s="1293"/>
      <c r="AC53" s="1533"/>
      <c r="AD53" s="1534"/>
      <c r="AE53" s="1534"/>
      <c r="AF53" s="1535"/>
      <c r="AI53" s="3056" t="str">
        <f>"13:kinkyu_code:"&amp;IF(I53="■",1,IF(O53="■",3,IF(L53="■",2,0)))</f>
        <v>13:kinkyu_code:0</v>
      </c>
    </row>
    <row r="54" spans="1:36" s="3056" customFormat="1" ht="18.75" hidden="1" customHeight="1">
      <c r="A54" s="3069" t="s">
        <v>121</v>
      </c>
      <c r="B54" s="1407">
        <v>13</v>
      </c>
      <c r="C54" s="1303" t="s">
        <v>535</v>
      </c>
      <c r="D54" s="3122" t="s">
        <v>121</v>
      </c>
      <c r="E54" s="1275" t="s">
        <v>2267</v>
      </c>
      <c r="F54" s="1289"/>
      <c r="G54" s="1305"/>
      <c r="H54" s="1410" t="s">
        <v>2471</v>
      </c>
      <c r="I54" s="3137" t="s">
        <v>121</v>
      </c>
      <c r="J54" s="1298" t="s">
        <v>1239</v>
      </c>
      <c r="K54" s="1299"/>
      <c r="L54" s="1300"/>
      <c r="M54" s="3122" t="s">
        <v>121</v>
      </c>
      <c r="N54" s="1298" t="s">
        <v>1240</v>
      </c>
      <c r="O54" s="1307"/>
      <c r="P54" s="1307"/>
      <c r="Q54" s="1307"/>
      <c r="R54" s="1307"/>
      <c r="S54" s="1307"/>
      <c r="T54" s="1307"/>
      <c r="U54" s="1307"/>
      <c r="V54" s="1307"/>
      <c r="W54" s="1307"/>
      <c r="X54" s="1308"/>
      <c r="Y54" s="1295"/>
      <c r="Z54" s="1292"/>
      <c r="AA54" s="1292"/>
      <c r="AB54" s="1293"/>
      <c r="AC54" s="1533"/>
      <c r="AD54" s="1534"/>
      <c r="AE54" s="1534"/>
      <c r="AF54" s="1535"/>
      <c r="AI54" s="3056" t="str">
        <f>"13:tokukanri_code:" &amp; IF(I54="■",1,IF(M54="■",2,0))</f>
        <v>13:tokukanri_code:0</v>
      </c>
    </row>
    <row r="55" spans="1:36" s="3056" customFormat="1" ht="18.75" hidden="1" customHeight="1">
      <c r="A55" s="735"/>
      <c r="B55" s="1407"/>
      <c r="C55" s="1303"/>
      <c r="D55" s="3122" t="s">
        <v>121</v>
      </c>
      <c r="E55" s="1275" t="s">
        <v>2470</v>
      </c>
      <c r="F55" s="1289"/>
      <c r="G55" s="1305"/>
      <c r="H55" s="1410" t="s">
        <v>2469</v>
      </c>
      <c r="I55" s="3137" t="s">
        <v>121</v>
      </c>
      <c r="J55" s="1298" t="s">
        <v>1230</v>
      </c>
      <c r="K55" s="1299"/>
      <c r="L55" s="3065" t="s">
        <v>121</v>
      </c>
      <c r="M55" s="1298" t="s">
        <v>1248</v>
      </c>
      <c r="N55" s="1298"/>
      <c r="O55" s="1326"/>
      <c r="P55" s="1326"/>
      <c r="Q55" s="1326"/>
      <c r="R55" s="1326"/>
      <c r="S55" s="1326"/>
      <c r="T55" s="1326"/>
      <c r="U55" s="1326"/>
      <c r="V55" s="1326"/>
      <c r="W55" s="1326"/>
      <c r="X55" s="1327"/>
      <c r="Y55" s="1295"/>
      <c r="Z55" s="1292"/>
      <c r="AA55" s="1292"/>
      <c r="AB55" s="1293"/>
      <c r="AC55" s="1533"/>
      <c r="AD55" s="1534"/>
      <c r="AE55" s="1534"/>
      <c r="AF55" s="1535"/>
      <c r="AI55" s="3056" t="str">
        <f>"13:field230:" &amp; IF(I55="■",1,IF(L55="■",2,0))</f>
        <v>13:field230:0</v>
      </c>
    </row>
    <row r="56" spans="1:36" s="3056" customFormat="1" ht="18.75" hidden="1" customHeight="1">
      <c r="A56" s="735"/>
      <c r="B56" s="1407"/>
      <c r="C56" s="1303"/>
      <c r="D56" s="1304"/>
      <c r="E56" s="1275"/>
      <c r="F56" s="1289"/>
      <c r="G56" s="1305"/>
      <c r="H56" s="1410" t="s">
        <v>2468</v>
      </c>
      <c r="I56" s="3137" t="s">
        <v>121</v>
      </c>
      <c r="J56" s="1298" t="s">
        <v>1230</v>
      </c>
      <c r="K56" s="1299"/>
      <c r="L56" s="3065" t="s">
        <v>121</v>
      </c>
      <c r="M56" s="1298" t="s">
        <v>1248</v>
      </c>
      <c r="N56" s="1298"/>
      <c r="O56" s="1326"/>
      <c r="P56" s="1326"/>
      <c r="Q56" s="1326"/>
      <c r="R56" s="1326"/>
      <c r="S56" s="1326"/>
      <c r="T56" s="1326"/>
      <c r="U56" s="1326"/>
      <c r="V56" s="1326"/>
      <c r="W56" s="1326"/>
      <c r="X56" s="1327"/>
      <c r="Y56" s="1295"/>
      <c r="Z56" s="1292"/>
      <c r="AA56" s="1292"/>
      <c r="AB56" s="1293"/>
      <c r="AC56" s="1533"/>
      <c r="AD56" s="1534"/>
      <c r="AE56" s="1534"/>
      <c r="AF56" s="1535"/>
      <c r="AI56" s="3056" t="str">
        <f>"13:terminal_code:" &amp; IF(I56="■",1,IF(L56="■",2,0))</f>
        <v>13:terminal_code:0</v>
      </c>
    </row>
    <row r="57" spans="1:36" s="3056" customFormat="1" ht="18.75" hidden="1" customHeight="1">
      <c r="A57" s="735"/>
      <c r="B57" s="1407"/>
      <c r="C57" s="1303"/>
      <c r="D57" s="1304"/>
      <c r="E57" s="1275"/>
      <c r="F57" s="1289"/>
      <c r="G57" s="1305"/>
      <c r="H57" s="1410" t="s">
        <v>2467</v>
      </c>
      <c r="I57" s="3137" t="s">
        <v>121</v>
      </c>
      <c r="J57" s="1298" t="s">
        <v>1230</v>
      </c>
      <c r="K57" s="1299"/>
      <c r="L57" s="3065" t="s">
        <v>121</v>
      </c>
      <c r="M57" s="1298" t="s">
        <v>1248</v>
      </c>
      <c r="N57" s="1298"/>
      <c r="O57" s="1326"/>
      <c r="P57" s="1326"/>
      <c r="Q57" s="1326"/>
      <c r="R57" s="1326"/>
      <c r="S57" s="1326"/>
      <c r="T57" s="1326"/>
      <c r="U57" s="1326"/>
      <c r="V57" s="1326"/>
      <c r="W57" s="1326"/>
      <c r="X57" s="1327"/>
      <c r="Y57" s="1295"/>
      <c r="Z57" s="1292"/>
      <c r="AA57" s="1292"/>
      <c r="AB57" s="1293"/>
      <c r="AC57" s="1533"/>
      <c r="AD57" s="1534"/>
      <c r="AE57" s="1534"/>
      <c r="AF57" s="1535"/>
      <c r="AI57" s="3056" t="str">
        <f>"13:field231:" &amp; IF(I57="■",1,IF(L57="■",2,0))</f>
        <v>13:field231:0</v>
      </c>
    </row>
    <row r="58" spans="1:36" s="3056" customFormat="1" ht="18.75" hidden="1" customHeight="1">
      <c r="A58" s="735"/>
      <c r="B58" s="1407"/>
      <c r="C58" s="1303"/>
      <c r="D58" s="1304"/>
      <c r="E58" s="1275"/>
      <c r="F58" s="1289"/>
      <c r="G58" s="1305"/>
      <c r="H58" s="1410" t="s">
        <v>2466</v>
      </c>
      <c r="I58" s="3137" t="s">
        <v>121</v>
      </c>
      <c r="J58" s="1298" t="s">
        <v>1230</v>
      </c>
      <c r="K58" s="1298"/>
      <c r="L58" s="3065" t="s">
        <v>121</v>
      </c>
      <c r="M58" s="1298" t="s">
        <v>1263</v>
      </c>
      <c r="N58" s="1298"/>
      <c r="O58" s="3122" t="s">
        <v>121</v>
      </c>
      <c r="P58" s="1298" t="s">
        <v>1287</v>
      </c>
      <c r="Q58" s="1326"/>
      <c r="R58" s="1326"/>
      <c r="S58" s="1326"/>
      <c r="T58" s="1326"/>
      <c r="U58" s="1326"/>
      <c r="V58" s="1326"/>
      <c r="W58" s="1326"/>
      <c r="X58" s="1327"/>
      <c r="Y58" s="1295"/>
      <c r="Z58" s="1292"/>
      <c r="AA58" s="1292"/>
      <c r="AB58" s="1293"/>
      <c r="AC58" s="1533"/>
      <c r="AD58" s="1534"/>
      <c r="AE58" s="1534"/>
      <c r="AF58" s="1535"/>
      <c r="AI58" s="3056" t="str">
        <f>"13:field169:" &amp; IF(I58="■",1,IF(L58="■",3,IF(O58="■",2,0)))</f>
        <v>13:field169:0</v>
      </c>
    </row>
    <row r="59" spans="1:36" s="3056" customFormat="1" ht="19.5" hidden="1" customHeight="1">
      <c r="A59" s="735"/>
      <c r="B59" s="1407"/>
      <c r="C59" s="1303"/>
      <c r="D59" s="1304"/>
      <c r="E59" s="1275"/>
      <c r="F59" s="1289"/>
      <c r="G59" s="1305"/>
      <c r="H59" s="1306" t="s">
        <v>1325</v>
      </c>
      <c r="I59" s="3066" t="s">
        <v>121</v>
      </c>
      <c r="J59" s="1298" t="s">
        <v>1230</v>
      </c>
      <c r="K59" s="1298"/>
      <c r="L59" s="3065" t="s">
        <v>121</v>
      </c>
      <c r="M59" s="1298" t="s">
        <v>1248</v>
      </c>
      <c r="N59" s="1298"/>
      <c r="O59" s="1307"/>
      <c r="P59" s="1298"/>
      <c r="Q59" s="1307"/>
      <c r="R59" s="1307"/>
      <c r="S59" s="1307"/>
      <c r="T59" s="1307"/>
      <c r="U59" s="1307"/>
      <c r="V59" s="1307"/>
      <c r="W59" s="1307"/>
      <c r="X59" s="1308"/>
      <c r="Y59" s="1292"/>
      <c r="Z59" s="1292"/>
      <c r="AA59" s="1292"/>
      <c r="AB59" s="1293"/>
      <c r="AC59" s="1533"/>
      <c r="AD59" s="1534"/>
      <c r="AE59" s="1534"/>
      <c r="AF59" s="1535"/>
      <c r="AI59" s="3056" t="str">
        <f>"13:field224:" &amp; IF(I59="■",1,IF(L59="■",2,0))</f>
        <v>13:field224:0</v>
      </c>
    </row>
    <row r="60" spans="1:36" s="3056" customFormat="1" ht="18.75" hidden="1" customHeight="1">
      <c r="A60" s="735"/>
      <c r="B60" s="1407"/>
      <c r="C60" s="1303"/>
      <c r="D60" s="1304"/>
      <c r="E60" s="1275"/>
      <c r="F60" s="1289"/>
      <c r="G60" s="1305"/>
      <c r="H60" s="1539" t="s">
        <v>1348</v>
      </c>
      <c r="I60" s="3137" t="s">
        <v>121</v>
      </c>
      <c r="J60" s="1290" t="s">
        <v>1230</v>
      </c>
      <c r="K60" s="1402"/>
      <c r="L60" s="1412"/>
      <c r="M60" s="1412"/>
      <c r="N60" s="1402"/>
      <c r="O60" s="1402"/>
      <c r="P60" s="1402"/>
      <c r="Q60" s="3136" t="s">
        <v>121</v>
      </c>
      <c r="R60" s="1290" t="s">
        <v>2465</v>
      </c>
      <c r="S60" s="1413"/>
      <c r="T60" s="1273"/>
      <c r="U60" s="1402"/>
      <c r="V60" s="1402"/>
      <c r="W60" s="1402"/>
      <c r="X60" s="1291"/>
      <c r="Y60" s="1295"/>
      <c r="Z60" s="1292"/>
      <c r="AA60" s="1292"/>
      <c r="AB60" s="1293"/>
      <c r="AC60" s="1533"/>
      <c r="AD60" s="1534"/>
      <c r="AE60" s="1534"/>
      <c r="AF60" s="1535"/>
      <c r="AI60" s="3056" t="str">
        <f>"13:serteikyo_kyoka_code:"&amp;IF(I60="■",1,IF(I61="■",2,IF(I62="■",3,IF(Q60="■",4,IF(Q61="■",5,0)))))</f>
        <v>13:serteikyo_kyoka_code:0</v>
      </c>
    </row>
    <row r="61" spans="1:36" s="3056" customFormat="1" ht="18.75" hidden="1" customHeight="1">
      <c r="A61" s="735"/>
      <c r="B61" s="1407"/>
      <c r="C61" s="1303"/>
      <c r="D61" s="1304"/>
      <c r="E61" s="1275"/>
      <c r="F61" s="1289"/>
      <c r="G61" s="1305"/>
      <c r="H61" s="1564"/>
      <c r="I61" s="3069" t="s">
        <v>121</v>
      </c>
      <c r="J61" s="1273" t="s">
        <v>2464</v>
      </c>
      <c r="K61" s="1412"/>
      <c r="L61" s="1412"/>
      <c r="M61" s="1273"/>
      <c r="N61" s="1412"/>
      <c r="O61" s="1412"/>
      <c r="P61" s="1412"/>
      <c r="Q61" s="3122" t="s">
        <v>121</v>
      </c>
      <c r="R61" s="1412" t="s">
        <v>2463</v>
      </c>
      <c r="S61" s="1413"/>
      <c r="T61" s="1273"/>
      <c r="U61" s="1412"/>
      <c r="V61" s="1412"/>
      <c r="W61" s="1412"/>
      <c r="X61" s="1294"/>
      <c r="Y61" s="1295"/>
      <c r="Z61" s="1292"/>
      <c r="AA61" s="1292"/>
      <c r="AB61" s="1293"/>
      <c r="AC61" s="1533"/>
      <c r="AD61" s="1534"/>
      <c r="AE61" s="1534"/>
      <c r="AF61" s="1535"/>
    </row>
    <row r="62" spans="1:36" s="3056" customFormat="1" ht="18.75" hidden="1" customHeight="1">
      <c r="A62" s="736"/>
      <c r="B62" s="1316"/>
      <c r="C62" s="1346"/>
      <c r="D62" s="1348"/>
      <c r="E62" s="1317"/>
      <c r="F62" s="1318"/>
      <c r="G62" s="1361"/>
      <c r="H62" s="3175"/>
      <c r="I62" s="3077" t="s">
        <v>121</v>
      </c>
      <c r="J62" s="3225" t="s">
        <v>2462</v>
      </c>
      <c r="K62" s="3109"/>
      <c r="L62" s="3109"/>
      <c r="M62" s="3109"/>
      <c r="N62" s="3109"/>
      <c r="O62" s="3225"/>
      <c r="P62" s="3225"/>
      <c r="Q62" s="3109"/>
      <c r="R62" s="3109"/>
      <c r="S62" s="3109"/>
      <c r="T62" s="3109"/>
      <c r="U62" s="3109"/>
      <c r="V62" s="3109"/>
      <c r="W62" s="3109"/>
      <c r="X62" s="3108"/>
      <c r="Y62" s="1322"/>
      <c r="Z62" s="1323"/>
      <c r="AA62" s="1323"/>
      <c r="AB62" s="1324"/>
      <c r="AC62" s="1536"/>
      <c r="AD62" s="1537"/>
      <c r="AE62" s="1537"/>
      <c r="AF62" s="1538"/>
    </row>
    <row r="63" spans="1:36" s="3056" customFormat="1" ht="19.5" customHeight="1">
      <c r="A63" s="1276"/>
      <c r="B63" s="1405"/>
      <c r="C63" s="1333"/>
      <c r="D63" s="1335"/>
      <c r="E63" s="1272"/>
      <c r="F63" s="1279"/>
      <c r="G63" s="1351"/>
      <c r="H63" s="1367" t="s">
        <v>1244</v>
      </c>
      <c r="I63" s="3074" t="s">
        <v>121</v>
      </c>
      <c r="J63" s="1280" t="s">
        <v>1242</v>
      </c>
      <c r="K63" s="1281"/>
      <c r="L63" s="1282"/>
      <c r="M63" s="3073" t="s">
        <v>121</v>
      </c>
      <c r="N63" s="1280" t="s">
        <v>1245</v>
      </c>
      <c r="O63" s="1283"/>
      <c r="P63" s="1280"/>
      <c r="Q63" s="1284"/>
      <c r="R63" s="1284"/>
      <c r="S63" s="1284"/>
      <c r="T63" s="1284"/>
      <c r="U63" s="1284"/>
      <c r="V63" s="1284"/>
      <c r="W63" s="1284"/>
      <c r="X63" s="1325"/>
      <c r="Y63" s="3138" t="s">
        <v>121</v>
      </c>
      <c r="Z63" s="1270" t="s">
        <v>1229</v>
      </c>
      <c r="AA63" s="1270"/>
      <c r="AB63" s="1286"/>
      <c r="AC63" s="1530"/>
      <c r="AD63" s="1531"/>
      <c r="AE63" s="1531"/>
      <c r="AF63" s="1532"/>
      <c r="AG63" s="3056" t="str">
        <f>"ser_code = '" &amp; IF(A69="■",14,"") &amp; "'"</f>
        <v>ser_code = ''</v>
      </c>
      <c r="AI63" s="3056" t="str">
        <f>"14:field223:" &amp; IF(I63="■",1,IF(M63="■",2,0))</f>
        <v>14:field223:0</v>
      </c>
      <c r="AJ63" s="3056" t="str">
        <f>"14:field203:" &amp; IF(Y63="■",1,IF(Y64="■",2,0))</f>
        <v>14:field203:0</v>
      </c>
    </row>
    <row r="64" spans="1:36" s="3056" customFormat="1" ht="19.5" customHeight="1">
      <c r="A64" s="735"/>
      <c r="B64" s="1407"/>
      <c r="C64" s="1303"/>
      <c r="D64" s="1304"/>
      <c r="E64" s="1275"/>
      <c r="F64" s="1289"/>
      <c r="G64" s="1305"/>
      <c r="H64" s="3097" t="s">
        <v>1246</v>
      </c>
      <c r="I64" s="3096" t="s">
        <v>121</v>
      </c>
      <c r="J64" s="3091" t="s">
        <v>1242</v>
      </c>
      <c r="K64" s="3095"/>
      <c r="L64" s="3094"/>
      <c r="M64" s="3093" t="s">
        <v>121</v>
      </c>
      <c r="N64" s="3091" t="s">
        <v>1245</v>
      </c>
      <c r="O64" s="3224"/>
      <c r="P64" s="3223"/>
      <c r="Q64" s="3222"/>
      <c r="R64" s="3222"/>
      <c r="S64" s="3222"/>
      <c r="T64" s="3222"/>
      <c r="U64" s="3222"/>
      <c r="V64" s="3222"/>
      <c r="W64" s="3222"/>
      <c r="X64" s="3221"/>
      <c r="Y64" s="3122" t="s">
        <v>121</v>
      </c>
      <c r="Z64" s="1273" t="s">
        <v>1234</v>
      </c>
      <c r="AA64" s="1292"/>
      <c r="AB64" s="1293"/>
      <c r="AC64" s="1533"/>
      <c r="AD64" s="1534"/>
      <c r="AE64" s="1534"/>
      <c r="AF64" s="1535"/>
      <c r="AG64" s="3056" t="str">
        <f>"14:sisetukbn_code:" &amp; IF(D68="■",1,IF(D69="■",2,IF(D70="■",3,0)))</f>
        <v>14:sisetukbn_code:0</v>
      </c>
      <c r="AI64" s="3056" t="str">
        <f>"14:field232:" &amp; IF(I64="■",1,IF(M64="■",2,0))</f>
        <v>14:field232:0</v>
      </c>
    </row>
    <row r="65" spans="1:36" s="3056" customFormat="1" ht="19.5" customHeight="1">
      <c r="A65" s="735"/>
      <c r="B65" s="1407"/>
      <c r="C65" s="1303"/>
      <c r="D65" s="1304"/>
      <c r="E65" s="1275"/>
      <c r="F65" s="1289"/>
      <c r="G65" s="1305"/>
      <c r="H65" s="1401" t="s">
        <v>1341</v>
      </c>
      <c r="I65" s="3069" t="s">
        <v>121</v>
      </c>
      <c r="J65" s="1296" t="s">
        <v>1230</v>
      </c>
      <c r="K65" s="1309"/>
      <c r="L65" s="3122" t="s">
        <v>121</v>
      </c>
      <c r="M65" s="1296" t="s">
        <v>1248</v>
      </c>
      <c r="N65" s="1296"/>
      <c r="O65" s="1296"/>
      <c r="P65" s="1296"/>
      <c r="Q65" s="1330"/>
      <c r="R65" s="1330"/>
      <c r="S65" s="1330"/>
      <c r="T65" s="1330"/>
      <c r="U65" s="1330"/>
      <c r="V65" s="1330"/>
      <c r="W65" s="1330"/>
      <c r="X65" s="1356"/>
      <c r="Y65" s="1412"/>
      <c r="Z65" s="1273"/>
      <c r="AA65" s="1292"/>
      <c r="AB65" s="1293"/>
      <c r="AC65" s="1533"/>
      <c r="AD65" s="1534"/>
      <c r="AE65" s="1534"/>
      <c r="AF65" s="1535"/>
      <c r="AI65" s="3056" t="str">
        <f>"14:tokutiiki_code:" &amp; IF(I65="■",1,IF(L65="■",2,0))</f>
        <v>14:tokutiiki_code:0</v>
      </c>
    </row>
    <row r="66" spans="1:36" s="3056" customFormat="1" ht="18.75" customHeight="1">
      <c r="A66" s="735"/>
      <c r="B66" s="1407"/>
      <c r="C66" s="1303"/>
      <c r="D66" s="1304"/>
      <c r="E66" s="1275"/>
      <c r="F66" s="1289"/>
      <c r="G66" s="1305"/>
      <c r="H66" s="1539" t="s">
        <v>1342</v>
      </c>
      <c r="I66" s="3179" t="s">
        <v>121</v>
      </c>
      <c r="J66" s="1528" t="s">
        <v>1343</v>
      </c>
      <c r="K66" s="1528"/>
      <c r="L66" s="1528"/>
      <c r="M66" s="3086" t="s">
        <v>121</v>
      </c>
      <c r="N66" s="1528" t="s">
        <v>1344</v>
      </c>
      <c r="O66" s="1528"/>
      <c r="P66" s="1528"/>
      <c r="Q66" s="1328"/>
      <c r="R66" s="1328"/>
      <c r="S66" s="1328"/>
      <c r="T66" s="1328"/>
      <c r="U66" s="1328"/>
      <c r="V66" s="1328"/>
      <c r="W66" s="1328"/>
      <c r="X66" s="1368"/>
      <c r="Y66" s="1412"/>
      <c r="Z66" s="1412"/>
      <c r="AA66" s="1412"/>
      <c r="AB66" s="1293"/>
      <c r="AC66" s="1533"/>
      <c r="AD66" s="1534"/>
      <c r="AE66" s="1534"/>
      <c r="AF66" s="1535"/>
      <c r="AI66" s="3056" t="str">
        <f>"14:chuusankanti_tiiki_code:" &amp; IF(I66="■",1,IF(M66="■",2,0))</f>
        <v>14:chuusankanti_tiiki_code:0</v>
      </c>
    </row>
    <row r="67" spans="1:36" s="3056" customFormat="1" ht="18.75" customHeight="1">
      <c r="A67" s="735"/>
      <c r="B67" s="1407"/>
      <c r="C67" s="1303"/>
      <c r="D67" s="1304"/>
      <c r="E67" s="1275"/>
      <c r="F67" s="1289"/>
      <c r="G67" s="1305"/>
      <c r="H67" s="1540"/>
      <c r="I67" s="3220"/>
      <c r="J67" s="1529"/>
      <c r="K67" s="1529"/>
      <c r="L67" s="1529"/>
      <c r="M67" s="3070"/>
      <c r="N67" s="1529"/>
      <c r="O67" s="1529"/>
      <c r="P67" s="1529"/>
      <c r="Q67" s="1330"/>
      <c r="R67" s="1330"/>
      <c r="S67" s="1330"/>
      <c r="T67" s="1330"/>
      <c r="U67" s="1330"/>
      <c r="V67" s="1330"/>
      <c r="W67" s="1330"/>
      <c r="X67" s="1356"/>
      <c r="Y67" s="1295"/>
      <c r="Z67" s="1292"/>
      <c r="AA67" s="1292"/>
      <c r="AB67" s="1293"/>
      <c r="AC67" s="1533"/>
      <c r="AD67" s="1534"/>
      <c r="AE67" s="1534"/>
      <c r="AF67" s="1535"/>
    </row>
    <row r="68" spans="1:36" s="3056" customFormat="1" ht="18.75" customHeight="1">
      <c r="A68" s="735"/>
      <c r="B68" s="1407"/>
      <c r="C68" s="1303"/>
      <c r="D68" s="3122" t="s">
        <v>121</v>
      </c>
      <c r="E68" s="1275" t="s">
        <v>1346</v>
      </c>
      <c r="F68" s="1289"/>
      <c r="G68" s="1305"/>
      <c r="H68" s="1539" t="s">
        <v>1345</v>
      </c>
      <c r="I68" s="3179" t="s">
        <v>121</v>
      </c>
      <c r="J68" s="1528" t="s">
        <v>1343</v>
      </c>
      <c r="K68" s="1528"/>
      <c r="L68" s="1528"/>
      <c r="M68" s="3086" t="s">
        <v>121</v>
      </c>
      <c r="N68" s="1528" t="s">
        <v>1344</v>
      </c>
      <c r="O68" s="1528"/>
      <c r="P68" s="1528"/>
      <c r="Q68" s="1328"/>
      <c r="R68" s="1328"/>
      <c r="S68" s="1328"/>
      <c r="T68" s="1328"/>
      <c r="U68" s="1328"/>
      <c r="V68" s="1328"/>
      <c r="W68" s="1328"/>
      <c r="X68" s="1368"/>
      <c r="Y68" s="1295"/>
      <c r="Z68" s="1292"/>
      <c r="AA68" s="1292"/>
      <c r="AB68" s="1293"/>
      <c r="AC68" s="1533"/>
      <c r="AD68" s="1534"/>
      <c r="AE68" s="1534"/>
      <c r="AF68" s="1535"/>
      <c r="AI68" s="3056" t="str">
        <f>"14:chuusankanti_kibo_code:" &amp; IF(I68="■",1,IF(M68="■",2,0))</f>
        <v>14:chuusankanti_kibo_code:0</v>
      </c>
    </row>
    <row r="69" spans="1:36" s="3056" customFormat="1" ht="18.75" customHeight="1">
      <c r="A69" s="3069" t="s">
        <v>121</v>
      </c>
      <c r="B69" s="1407">
        <v>14</v>
      </c>
      <c r="C69" s="1303" t="s">
        <v>1347</v>
      </c>
      <c r="D69" s="3122" t="s">
        <v>121</v>
      </c>
      <c r="E69" s="1275" t="s">
        <v>1317</v>
      </c>
      <c r="F69" s="1289"/>
      <c r="G69" s="1305"/>
      <c r="H69" s="1540"/>
      <c r="I69" s="3220"/>
      <c r="J69" s="1529"/>
      <c r="K69" s="1529"/>
      <c r="L69" s="1529"/>
      <c r="M69" s="3070"/>
      <c r="N69" s="1529"/>
      <c r="O69" s="1529"/>
      <c r="P69" s="1529"/>
      <c r="Q69" s="1330"/>
      <c r="R69" s="1330"/>
      <c r="S69" s="1330"/>
      <c r="T69" s="1330"/>
      <c r="U69" s="1330"/>
      <c r="V69" s="1330"/>
      <c r="W69" s="1330"/>
      <c r="X69" s="1356"/>
      <c r="Y69" s="1295"/>
      <c r="Z69" s="1292"/>
      <c r="AA69" s="1292"/>
      <c r="AB69" s="1293"/>
      <c r="AC69" s="1533"/>
      <c r="AD69" s="1534"/>
      <c r="AE69" s="1534"/>
      <c r="AF69" s="1535"/>
    </row>
    <row r="70" spans="1:36" s="3056" customFormat="1" ht="19.5" customHeight="1">
      <c r="A70" s="735"/>
      <c r="B70" s="1407"/>
      <c r="C70" s="1303"/>
      <c r="D70" s="3122" t="s">
        <v>121</v>
      </c>
      <c r="E70" s="1275" t="s">
        <v>1319</v>
      </c>
      <c r="F70" s="1289"/>
      <c r="G70" s="1305"/>
      <c r="H70" s="1400" t="s">
        <v>1298</v>
      </c>
      <c r="I70" s="3137" t="s">
        <v>121</v>
      </c>
      <c r="J70" s="1290" t="s">
        <v>1230</v>
      </c>
      <c r="K70" s="1290"/>
      <c r="L70" s="1329"/>
      <c r="M70" s="3136" t="s">
        <v>121</v>
      </c>
      <c r="N70" s="1290" t="s">
        <v>2216</v>
      </c>
      <c r="O70" s="1339"/>
      <c r="P70" s="1340"/>
      <c r="Q70" s="3216" t="s">
        <v>121</v>
      </c>
      <c r="R70" s="1342" t="s">
        <v>2217</v>
      </c>
      <c r="S70" s="1342"/>
      <c r="T70" s="1342"/>
      <c r="U70" s="1341"/>
      <c r="V70" s="1342"/>
      <c r="W70" s="1342"/>
      <c r="X70" s="1343"/>
      <c r="Y70" s="1295"/>
      <c r="Z70" s="1292"/>
      <c r="AA70" s="1292"/>
      <c r="AB70" s="1293"/>
      <c r="AC70" s="1533"/>
      <c r="AD70" s="1534"/>
      <c r="AE70" s="1534"/>
      <c r="AF70" s="1535"/>
      <c r="AI70" s="3056" t="str">
        <f>"14:field149:" &amp; IF(I70="■",1,IF(Q70="■",6,IF(M70="■",3,0)))</f>
        <v>14:field149:0</v>
      </c>
    </row>
    <row r="71" spans="1:36" s="3056" customFormat="1" ht="19.5" customHeight="1">
      <c r="A71" s="735"/>
      <c r="B71" s="1407"/>
      <c r="C71" s="1303"/>
      <c r="D71" s="1413"/>
      <c r="E71" s="1275"/>
      <c r="F71" s="1289"/>
      <c r="G71" s="1305"/>
      <c r="H71" s="1539" t="s">
        <v>1300</v>
      </c>
      <c r="I71" s="3115" t="s">
        <v>121</v>
      </c>
      <c r="J71" s="1528" t="s">
        <v>1230</v>
      </c>
      <c r="K71" s="1528"/>
      <c r="L71" s="3135" t="s">
        <v>121</v>
      </c>
      <c r="M71" s="1528" t="s">
        <v>1248</v>
      </c>
      <c r="N71" s="1528"/>
      <c r="O71" s="1273"/>
      <c r="P71" s="1344"/>
      <c r="Q71" s="1344"/>
      <c r="R71" s="1344"/>
      <c r="S71" s="1412"/>
      <c r="T71" s="1412"/>
      <c r="U71" s="1344"/>
      <c r="V71" s="1344"/>
      <c r="W71" s="1412"/>
      <c r="X71" s="1294"/>
      <c r="Y71" s="1295"/>
      <c r="Z71" s="1292"/>
      <c r="AA71" s="1292"/>
      <c r="AB71" s="1293"/>
      <c r="AC71" s="1533"/>
      <c r="AD71" s="1534"/>
      <c r="AE71" s="1534"/>
      <c r="AF71" s="1535"/>
      <c r="AI71" s="3056" t="str">
        <f>"14:field239:" &amp; IF(I71="■",1,IF(L71="■",2,0))</f>
        <v>14:field239:0</v>
      </c>
    </row>
    <row r="72" spans="1:36" s="3056" customFormat="1" ht="19.5" customHeight="1">
      <c r="A72" s="735"/>
      <c r="B72" s="1407"/>
      <c r="C72" s="1303"/>
      <c r="D72" s="1413"/>
      <c r="E72" s="1275"/>
      <c r="F72" s="1289"/>
      <c r="G72" s="1305"/>
      <c r="H72" s="1540"/>
      <c r="I72" s="3081"/>
      <c r="J72" s="1529"/>
      <c r="K72" s="1529"/>
      <c r="L72" s="3080"/>
      <c r="M72" s="1529"/>
      <c r="N72" s="1529"/>
      <c r="O72" s="1273"/>
      <c r="P72" s="1344"/>
      <c r="Q72" s="1403"/>
      <c r="R72" s="1403"/>
      <c r="S72" s="1412"/>
      <c r="T72" s="1412"/>
      <c r="U72" s="1403"/>
      <c r="V72" s="1403"/>
      <c r="W72" s="1412"/>
      <c r="X72" s="1294"/>
      <c r="Y72" s="1295"/>
      <c r="Z72" s="1292"/>
      <c r="AA72" s="1292"/>
      <c r="AB72" s="1293"/>
      <c r="AC72" s="1533"/>
      <c r="AD72" s="1534"/>
      <c r="AE72" s="1534"/>
      <c r="AF72" s="1535"/>
    </row>
    <row r="73" spans="1:36" s="3056" customFormat="1" ht="19.5" customHeight="1">
      <c r="A73" s="735"/>
      <c r="B73" s="1407"/>
      <c r="C73" s="1303"/>
      <c r="D73" s="1304"/>
      <c r="E73" s="1275"/>
      <c r="F73" s="1289"/>
      <c r="G73" s="1305"/>
      <c r="H73" s="1306" t="s">
        <v>1325</v>
      </c>
      <c r="I73" s="3066" t="s">
        <v>121</v>
      </c>
      <c r="J73" s="1298" t="s">
        <v>1230</v>
      </c>
      <c r="K73" s="1298"/>
      <c r="L73" s="3065" t="s">
        <v>121</v>
      </c>
      <c r="M73" s="1298" t="s">
        <v>1248</v>
      </c>
      <c r="N73" s="1298"/>
      <c r="O73" s="1307"/>
      <c r="P73" s="1298"/>
      <c r="Q73" s="1307"/>
      <c r="R73" s="1307"/>
      <c r="S73" s="1307"/>
      <c r="T73" s="1307"/>
      <c r="U73" s="1307"/>
      <c r="V73" s="1307"/>
      <c r="W73" s="1307"/>
      <c r="X73" s="1308"/>
      <c r="Y73" s="1292"/>
      <c r="Z73" s="1292"/>
      <c r="AA73" s="1292"/>
      <c r="AB73" s="1293"/>
      <c r="AC73" s="1533"/>
      <c r="AD73" s="1534"/>
      <c r="AE73" s="1534"/>
      <c r="AF73" s="1535"/>
      <c r="AI73" s="3056" t="str">
        <f>"14:field224:" &amp; IF(I73="■",1,IF(L73="■",2,0))</f>
        <v>14:field224:0</v>
      </c>
    </row>
    <row r="74" spans="1:36" s="3056" customFormat="1" ht="19.5" customHeight="1">
      <c r="A74" s="735"/>
      <c r="B74" s="1407"/>
      <c r="C74" s="1303"/>
      <c r="D74" s="1304"/>
      <c r="E74" s="1275"/>
      <c r="F74" s="1289"/>
      <c r="G74" s="1305"/>
      <c r="H74" s="1410" t="s">
        <v>1309</v>
      </c>
      <c r="I74" s="3137" t="s">
        <v>121</v>
      </c>
      <c r="J74" s="1298" t="s">
        <v>1230</v>
      </c>
      <c r="K74" s="1299"/>
      <c r="L74" s="3065" t="s">
        <v>121</v>
      </c>
      <c r="M74" s="1298" t="s">
        <v>1248</v>
      </c>
      <c r="N74" s="1298"/>
      <c r="O74" s="1307"/>
      <c r="P74" s="1307"/>
      <c r="Q74" s="1307"/>
      <c r="R74" s="1307"/>
      <c r="S74" s="1307"/>
      <c r="T74" s="1307"/>
      <c r="U74" s="1307"/>
      <c r="V74" s="1307"/>
      <c r="W74" s="1307"/>
      <c r="X74" s="1308"/>
      <c r="Y74" s="1295"/>
      <c r="Z74" s="1292"/>
      <c r="AA74" s="1292"/>
      <c r="AB74" s="1293"/>
      <c r="AC74" s="1533"/>
      <c r="AD74" s="1534"/>
      <c r="AE74" s="1534"/>
      <c r="AF74" s="1535"/>
      <c r="AI74" s="3056" t="str">
        <f>"14:field150:" &amp; IF(I74="■",1,IF(L74="■",2,0))</f>
        <v>14:field150:0</v>
      </c>
    </row>
    <row r="75" spans="1:36" s="3056" customFormat="1" ht="19.5" customHeight="1">
      <c r="A75" s="736"/>
      <c r="B75" s="1316"/>
      <c r="C75" s="1346"/>
      <c r="D75" s="1348"/>
      <c r="E75" s="1317"/>
      <c r="F75" s="1318"/>
      <c r="G75" s="1361"/>
      <c r="H75" s="1369" t="s">
        <v>1348</v>
      </c>
      <c r="I75" s="3060" t="s">
        <v>121</v>
      </c>
      <c r="J75" s="1320" t="s">
        <v>1230</v>
      </c>
      <c r="K75" s="1320"/>
      <c r="L75" s="3059" t="s">
        <v>121</v>
      </c>
      <c r="M75" s="1320" t="s">
        <v>1263</v>
      </c>
      <c r="N75" s="1320"/>
      <c r="O75" s="3059" t="s">
        <v>121</v>
      </c>
      <c r="P75" s="1320" t="s">
        <v>1311</v>
      </c>
      <c r="Q75" s="1370"/>
      <c r="R75" s="1370"/>
      <c r="S75" s="1370"/>
      <c r="T75" s="1370"/>
      <c r="U75" s="1370"/>
      <c r="V75" s="1370"/>
      <c r="W75" s="1370"/>
      <c r="X75" s="1371"/>
      <c r="Y75" s="1322"/>
      <c r="Z75" s="1323"/>
      <c r="AA75" s="1323"/>
      <c r="AB75" s="1324"/>
      <c r="AC75" s="1536"/>
      <c r="AD75" s="1537"/>
      <c r="AE75" s="1537"/>
      <c r="AF75" s="1538"/>
      <c r="AI75" s="3056" t="str">
        <f>"14:serteikyo_kyoka_code:" &amp; IF(I75="■",1,IF(L75="■",3,IF(O75="■",4,0)))</f>
        <v>14:serteikyo_kyoka_code:0</v>
      </c>
    </row>
    <row r="76" spans="1:36" s="3056" customFormat="1" ht="18.75" hidden="1" customHeight="1">
      <c r="A76" s="1276"/>
      <c r="B76" s="1405"/>
      <c r="C76" s="1333"/>
      <c r="D76" s="1335"/>
      <c r="E76" s="1336"/>
      <c r="F76" s="1335"/>
      <c r="G76" s="1405"/>
      <c r="H76" s="1408" t="s">
        <v>1341</v>
      </c>
      <c r="I76" s="3074" t="s">
        <v>121</v>
      </c>
      <c r="J76" s="1280" t="s">
        <v>1230</v>
      </c>
      <c r="K76" s="1281"/>
      <c r="L76" s="3073" t="s">
        <v>121</v>
      </c>
      <c r="M76" s="1280" t="s">
        <v>1248</v>
      </c>
      <c r="N76" s="1280"/>
      <c r="O76" s="1280"/>
      <c r="P76" s="1280"/>
      <c r="Q76" s="1284"/>
      <c r="R76" s="1284"/>
      <c r="S76" s="1284"/>
      <c r="T76" s="1284"/>
      <c r="U76" s="1284"/>
      <c r="V76" s="1284"/>
      <c r="W76" s="1284"/>
      <c r="X76" s="1325"/>
      <c r="Y76" s="3138" t="s">
        <v>121</v>
      </c>
      <c r="Z76" s="1270" t="s">
        <v>1229</v>
      </c>
      <c r="AA76" s="1270"/>
      <c r="AB76" s="1286"/>
      <c r="AC76" s="1530"/>
      <c r="AD76" s="1531"/>
      <c r="AE76" s="1531"/>
      <c r="AF76" s="1532"/>
      <c r="AG76" s="3056" t="str">
        <f>"ser_code = '" &amp; IF(A79="■",31,"") &amp; "'"</f>
        <v>ser_code = ''</v>
      </c>
      <c r="AI76" s="3056" t="str">
        <f>"31:tokutiiki_code:" &amp; IF(I76="■",1,IF(L76="■",2,0))</f>
        <v>31:tokutiiki_code:0</v>
      </c>
      <c r="AJ76" s="3056" t="str">
        <f>"31:field203:" &amp; IF(Y76="■",1,IF(Y77="■",2,0))</f>
        <v>31:field203:0</v>
      </c>
    </row>
    <row r="77" spans="1:36" s="3056" customFormat="1" ht="18.75" hidden="1" customHeight="1">
      <c r="A77" s="1411"/>
      <c r="B77" s="1407"/>
      <c r="C77" s="1303"/>
      <c r="D77" s="1304"/>
      <c r="E77" s="1294"/>
      <c r="F77" s="1304"/>
      <c r="G77" s="1407"/>
      <c r="H77" s="1539" t="s">
        <v>1342</v>
      </c>
      <c r="I77" s="3086" t="s">
        <v>121</v>
      </c>
      <c r="J77" s="1528" t="s">
        <v>1343</v>
      </c>
      <c r="K77" s="1528"/>
      <c r="L77" s="1528"/>
      <c r="M77" s="3086" t="s">
        <v>121</v>
      </c>
      <c r="N77" s="1528" t="s">
        <v>1344</v>
      </c>
      <c r="O77" s="1528"/>
      <c r="P77" s="1528"/>
      <c r="Q77" s="1328"/>
      <c r="R77" s="1328"/>
      <c r="S77" s="1328"/>
      <c r="T77" s="1328"/>
      <c r="U77" s="1328"/>
      <c r="V77" s="1328"/>
      <c r="W77" s="1328"/>
      <c r="X77" s="1368"/>
      <c r="Y77" s="3122" t="s">
        <v>121</v>
      </c>
      <c r="Z77" s="1273" t="s">
        <v>1234</v>
      </c>
      <c r="AA77" s="1273"/>
      <c r="AB77" s="1293"/>
      <c r="AC77" s="1533"/>
      <c r="AD77" s="1534"/>
      <c r="AE77" s="1534"/>
      <c r="AF77" s="1535"/>
      <c r="AI77" s="3056" t="str">
        <f>"31:chuusankanti_tiiki_code:" &amp; IF(I77="■",1,IF(M77="■",2,0))</f>
        <v>31:chuusankanti_tiiki_code:0</v>
      </c>
    </row>
    <row r="78" spans="1:36" s="3056" customFormat="1" ht="18.75" hidden="1" customHeight="1">
      <c r="A78" s="1411"/>
      <c r="B78" s="1407"/>
      <c r="C78" s="1303"/>
      <c r="D78" s="1304"/>
      <c r="E78" s="1294"/>
      <c r="F78" s="1304"/>
      <c r="G78" s="1407"/>
      <c r="H78" s="1540"/>
      <c r="I78" s="3070"/>
      <c r="J78" s="1529"/>
      <c r="K78" s="1529"/>
      <c r="L78" s="1529"/>
      <c r="M78" s="3070"/>
      <c r="N78" s="1529"/>
      <c r="O78" s="1529"/>
      <c r="P78" s="1529"/>
      <c r="Q78" s="1330"/>
      <c r="R78" s="1330"/>
      <c r="S78" s="1330"/>
      <c r="T78" s="1330"/>
      <c r="U78" s="1330"/>
      <c r="V78" s="1330"/>
      <c r="W78" s="1330"/>
      <c r="X78" s="1356"/>
      <c r="Y78" s="1295"/>
      <c r="Z78" s="1292"/>
      <c r="AA78" s="1292"/>
      <c r="AB78" s="1293"/>
      <c r="AC78" s="1533"/>
      <c r="AD78" s="1534"/>
      <c r="AE78" s="1534"/>
      <c r="AF78" s="1535"/>
    </row>
    <row r="79" spans="1:36" s="3056" customFormat="1" ht="18.75" hidden="1" customHeight="1">
      <c r="A79" s="3069" t="s">
        <v>121</v>
      </c>
      <c r="B79" s="1407">
        <v>31</v>
      </c>
      <c r="C79" s="1303" t="s">
        <v>2461</v>
      </c>
      <c r="D79" s="1304"/>
      <c r="E79" s="1294"/>
      <c r="F79" s="1304"/>
      <c r="G79" s="1407"/>
      <c r="H79" s="1539" t="s">
        <v>1345</v>
      </c>
      <c r="I79" s="3179" t="s">
        <v>121</v>
      </c>
      <c r="J79" s="1528" t="s">
        <v>1343</v>
      </c>
      <c r="K79" s="1528"/>
      <c r="L79" s="1528"/>
      <c r="M79" s="3086" t="s">
        <v>121</v>
      </c>
      <c r="N79" s="1528" t="s">
        <v>1344</v>
      </c>
      <c r="O79" s="1528"/>
      <c r="P79" s="1528"/>
      <c r="Q79" s="1328"/>
      <c r="R79" s="1328"/>
      <c r="S79" s="1328"/>
      <c r="T79" s="1328"/>
      <c r="U79" s="1328"/>
      <c r="V79" s="1328"/>
      <c r="W79" s="1328"/>
      <c r="X79" s="1368"/>
      <c r="Y79" s="1295"/>
      <c r="Z79" s="1292"/>
      <c r="AA79" s="1292"/>
      <c r="AB79" s="1293"/>
      <c r="AC79" s="1533"/>
      <c r="AD79" s="1534"/>
      <c r="AE79" s="1534"/>
      <c r="AF79" s="1535"/>
      <c r="AI79" s="3056" t="str">
        <f>"31:chuusankanti_kibo_code:" &amp; IF(I79="■",1,IF(M79="■",2,0))</f>
        <v>31:chuusankanti_kibo_code:0</v>
      </c>
    </row>
    <row r="80" spans="1:36" s="3056" customFormat="1" ht="18.75" hidden="1" customHeight="1">
      <c r="A80" s="735"/>
      <c r="B80" s="1407"/>
      <c r="C80" s="1303"/>
      <c r="D80" s="1304"/>
      <c r="E80" s="1294"/>
      <c r="F80" s="1304"/>
      <c r="G80" s="1407"/>
      <c r="H80" s="1540"/>
      <c r="I80" s="3220"/>
      <c r="J80" s="1529"/>
      <c r="K80" s="1529"/>
      <c r="L80" s="1529"/>
      <c r="M80" s="3070"/>
      <c r="N80" s="1529"/>
      <c r="O80" s="1529"/>
      <c r="P80" s="1529"/>
      <c r="Q80" s="1330"/>
      <c r="R80" s="1330"/>
      <c r="S80" s="1330"/>
      <c r="T80" s="1330"/>
      <c r="U80" s="1330"/>
      <c r="V80" s="1330"/>
      <c r="W80" s="1330"/>
      <c r="X80" s="1356"/>
      <c r="Y80" s="1295"/>
      <c r="Z80" s="1292"/>
      <c r="AA80" s="1292"/>
      <c r="AB80" s="1293"/>
      <c r="AC80" s="1533"/>
      <c r="AD80" s="1534"/>
      <c r="AE80" s="1534"/>
      <c r="AF80" s="1535"/>
    </row>
    <row r="81" spans="1:37" s="3056" customFormat="1" ht="18.75" hidden="1" customHeight="1">
      <c r="A81" s="735"/>
      <c r="B81" s="1407"/>
      <c r="C81" s="1303"/>
      <c r="D81" s="1304"/>
      <c r="E81" s="1294"/>
      <c r="F81" s="1304"/>
      <c r="G81" s="1407"/>
      <c r="H81" s="1399" t="s">
        <v>2460</v>
      </c>
      <c r="I81" s="3069" t="s">
        <v>121</v>
      </c>
      <c r="J81" s="1296" t="s">
        <v>1230</v>
      </c>
      <c r="K81" s="1309"/>
      <c r="L81" s="3062" t="s">
        <v>121</v>
      </c>
      <c r="M81" s="1296" t="s">
        <v>1248</v>
      </c>
      <c r="N81" s="1296"/>
      <c r="O81" s="1296"/>
      <c r="P81" s="1296"/>
      <c r="Q81" s="1330"/>
      <c r="R81" s="1330"/>
      <c r="S81" s="1330"/>
      <c r="T81" s="1330"/>
      <c r="U81" s="1330"/>
      <c r="V81" s="1330"/>
      <c r="W81" s="1330"/>
      <c r="X81" s="1356"/>
      <c r="Y81" s="1295"/>
      <c r="Z81" s="1292"/>
      <c r="AA81" s="1292"/>
      <c r="AB81" s="1293"/>
      <c r="AC81" s="1533"/>
      <c r="AD81" s="1534"/>
      <c r="AE81" s="1534"/>
      <c r="AF81" s="1535"/>
      <c r="AI81" s="3056" t="str">
        <f>"31:field240:" &amp; IF(I81="■",1,IF(L81="■",2,0))</f>
        <v>31:field240:0</v>
      </c>
    </row>
    <row r="82" spans="1:37" s="3056" customFormat="1" ht="18.75" hidden="1" customHeight="1">
      <c r="A82" s="736"/>
      <c r="B82" s="1316"/>
      <c r="C82" s="1346"/>
      <c r="D82" s="1348"/>
      <c r="E82" s="1349"/>
      <c r="F82" s="1348"/>
      <c r="G82" s="1316"/>
      <c r="H82" s="3219" t="s">
        <v>2459</v>
      </c>
      <c r="I82" s="3060" t="s">
        <v>121</v>
      </c>
      <c r="J82" s="1320" t="s">
        <v>1230</v>
      </c>
      <c r="K82" s="1373"/>
      <c r="L82" s="3059" t="s">
        <v>121</v>
      </c>
      <c r="M82" s="1320" t="s">
        <v>1248</v>
      </c>
      <c r="N82" s="3075"/>
      <c r="O82" s="3075"/>
      <c r="P82" s="3075"/>
      <c r="Q82" s="3109"/>
      <c r="R82" s="3109"/>
      <c r="S82" s="3109"/>
      <c r="T82" s="3109"/>
      <c r="U82" s="3109"/>
      <c r="V82" s="3109"/>
      <c r="W82" s="3109"/>
      <c r="X82" s="3108"/>
      <c r="Y82" s="1366"/>
      <c r="Z82" s="3075"/>
      <c r="AA82" s="3075"/>
      <c r="AB82" s="1324"/>
      <c r="AC82" s="1536"/>
      <c r="AD82" s="1537"/>
      <c r="AE82" s="1537"/>
      <c r="AF82" s="1538"/>
      <c r="AI82" s="3056" t="str">
        <f>"31:field241:" &amp; IF(I82="■",1,IF(L82="■",2,0))</f>
        <v>31:field241:0</v>
      </c>
    </row>
    <row r="83" spans="1:37" s="3056" customFormat="1" ht="18.75" hidden="1" customHeight="1">
      <c r="A83" s="1276"/>
      <c r="B83" s="1405"/>
      <c r="C83" s="1350"/>
      <c r="D83" s="1279"/>
      <c r="E83" s="1272"/>
      <c r="F83" s="1279"/>
      <c r="G83" s="1351"/>
      <c r="H83" s="3218" t="s">
        <v>90</v>
      </c>
      <c r="I83" s="3074" t="s">
        <v>121</v>
      </c>
      <c r="J83" s="1280" t="s">
        <v>1230</v>
      </c>
      <c r="K83" s="1280"/>
      <c r="L83" s="1282"/>
      <c r="M83" s="3073" t="s">
        <v>121</v>
      </c>
      <c r="N83" s="1280" t="s">
        <v>2262</v>
      </c>
      <c r="O83" s="1280"/>
      <c r="P83" s="1282"/>
      <c r="Q83" s="3073" t="s">
        <v>121</v>
      </c>
      <c r="R83" s="1365" t="s">
        <v>2261</v>
      </c>
      <c r="S83" s="1365"/>
      <c r="T83" s="1365"/>
      <c r="U83" s="1365"/>
      <c r="V83" s="1365"/>
      <c r="W83" s="1365"/>
      <c r="X83" s="3215"/>
      <c r="Y83" s="3119" t="s">
        <v>121</v>
      </c>
      <c r="Z83" s="1270" t="s">
        <v>1229</v>
      </c>
      <c r="AA83" s="1270"/>
      <c r="AB83" s="1286"/>
      <c r="AC83" s="3119" t="s">
        <v>121</v>
      </c>
      <c r="AD83" s="1270" t="s">
        <v>1229</v>
      </c>
      <c r="AE83" s="1270"/>
      <c r="AF83" s="1286"/>
      <c r="AG83" s="3056" t="str">
        <f>"ser_code = '" &amp; IF(A97="■",15,"") &amp; "'"</f>
        <v>ser_code = ''</v>
      </c>
      <c r="AI83" s="3056" t="str">
        <f>"15:"&amp;IF(AND(I83="□",M83="□",Q83="□"),"ketu_kangos_code:0",IF(I83="■","ketu_kangos_code:1:ketu_kshoku_code:1",IF(M83="■","ketu_kangos_code:2","ketu_kangos_code:1")&amp;IF(Q83="■",":ketu_kshoku_code:2",":ketu_kshoku_code:1")))</f>
        <v>15:ketu_kangos_code:0</v>
      </c>
      <c r="AJ83" s="3056" t="str">
        <f>"15:field203:" &amp; IF(Y83="■",1,IF(Y84="■",2,0))</f>
        <v>15:field203:0</v>
      </c>
      <c r="AK83" s="3056" t="str">
        <f>"15:waribiki_code:" &amp; IF(AC83="■",1,IF(AC84="■",2,0))</f>
        <v>15:waribiki_code:0</v>
      </c>
    </row>
    <row r="84" spans="1:37" s="3056" customFormat="1" ht="19.5" hidden="1" customHeight="1">
      <c r="A84" s="735"/>
      <c r="B84" s="1407"/>
      <c r="C84" s="1303"/>
      <c r="D84" s="1304"/>
      <c r="E84" s="1275"/>
      <c r="F84" s="1289"/>
      <c r="G84" s="1305"/>
      <c r="H84" s="1306" t="s">
        <v>1244</v>
      </c>
      <c r="I84" s="3066" t="s">
        <v>121</v>
      </c>
      <c r="J84" s="1298" t="s">
        <v>1242</v>
      </c>
      <c r="K84" s="1299"/>
      <c r="L84" s="1300"/>
      <c r="M84" s="3065" t="s">
        <v>121</v>
      </c>
      <c r="N84" s="1298" t="s">
        <v>1245</v>
      </c>
      <c r="O84" s="1301"/>
      <c r="P84" s="1298"/>
      <c r="Q84" s="1307"/>
      <c r="R84" s="1307"/>
      <c r="S84" s="1307"/>
      <c r="T84" s="1307"/>
      <c r="U84" s="1307"/>
      <c r="V84" s="1307"/>
      <c r="W84" s="1307"/>
      <c r="X84" s="1308"/>
      <c r="Y84" s="3122" t="s">
        <v>121</v>
      </c>
      <c r="Z84" s="1273" t="s">
        <v>1234</v>
      </c>
      <c r="AA84" s="1292"/>
      <c r="AB84" s="1293"/>
      <c r="AC84" s="3069" t="s">
        <v>121</v>
      </c>
      <c r="AD84" s="1273" t="s">
        <v>1234</v>
      </c>
      <c r="AE84" s="1292"/>
      <c r="AF84" s="1293"/>
      <c r="AG84" s="3056" t="str">
        <f>"15:sisetukbn_code:" &amp; IF(D96="■",4,IF(D97="■",6,IF(D98="■",7,0)))</f>
        <v>15:sisetukbn_code:0</v>
      </c>
      <c r="AI84" s="3056" t="str">
        <f>"15:field223:" &amp; IF(I84="■",1,IF(M84="■",2,0))</f>
        <v>15:field223:0</v>
      </c>
    </row>
    <row r="85" spans="1:37" s="3056" customFormat="1" ht="19.5" hidden="1" customHeight="1">
      <c r="A85" s="735"/>
      <c r="B85" s="1407"/>
      <c r="C85" s="1303"/>
      <c r="D85" s="1304"/>
      <c r="E85" s="1275"/>
      <c r="F85" s="1289"/>
      <c r="G85" s="1305"/>
      <c r="H85" s="1306" t="s">
        <v>1246</v>
      </c>
      <c r="I85" s="3066" t="s">
        <v>121</v>
      </c>
      <c r="J85" s="1298" t="s">
        <v>1242</v>
      </c>
      <c r="K85" s="1299"/>
      <c r="L85" s="1300"/>
      <c r="M85" s="3065" t="s">
        <v>121</v>
      </c>
      <c r="N85" s="1298" t="s">
        <v>1245</v>
      </c>
      <c r="O85" s="1298"/>
      <c r="P85" s="1298"/>
      <c r="Q85" s="1307"/>
      <c r="R85" s="1307"/>
      <c r="S85" s="1307"/>
      <c r="T85" s="1307"/>
      <c r="U85" s="1307"/>
      <c r="V85" s="1307"/>
      <c r="W85" s="1307"/>
      <c r="X85" s="1308"/>
      <c r="Y85" s="1413"/>
      <c r="Z85" s="1273"/>
      <c r="AA85" s="1292"/>
      <c r="AB85" s="1293"/>
      <c r="AC85" s="1411"/>
      <c r="AD85" s="1273"/>
      <c r="AE85" s="1292"/>
      <c r="AF85" s="1293"/>
      <c r="AI85" s="3056" t="str">
        <f>"15:field232:" &amp; IF(I85="■",1,IF(M85="■",2,0))</f>
        <v>15:field232:0</v>
      </c>
    </row>
    <row r="86" spans="1:37" s="3056" customFormat="1" ht="18.75" hidden="1" customHeight="1">
      <c r="A86" s="735"/>
      <c r="B86" s="1407"/>
      <c r="C86" s="1353"/>
      <c r="D86" s="1289"/>
      <c r="E86" s="1275"/>
      <c r="F86" s="1289"/>
      <c r="G86" s="1305"/>
      <c r="H86" s="1539" t="s">
        <v>1292</v>
      </c>
      <c r="I86" s="3115" t="s">
        <v>121</v>
      </c>
      <c r="J86" s="1528" t="s">
        <v>1230</v>
      </c>
      <c r="K86" s="1528"/>
      <c r="L86" s="3135" t="s">
        <v>121</v>
      </c>
      <c r="M86" s="1528" t="s">
        <v>1248</v>
      </c>
      <c r="N86" s="1528"/>
      <c r="O86" s="1402"/>
      <c r="P86" s="1402"/>
      <c r="Q86" s="1402"/>
      <c r="R86" s="1402"/>
      <c r="S86" s="1402"/>
      <c r="T86" s="1402"/>
      <c r="U86" s="1402"/>
      <c r="V86" s="1402"/>
      <c r="W86" s="1402"/>
      <c r="X86" s="1291"/>
      <c r="Y86" s="1412"/>
      <c r="Z86" s="1412"/>
      <c r="AA86" s="1412"/>
      <c r="AB86" s="1293"/>
      <c r="AC86" s="1304"/>
      <c r="AD86" s="1412"/>
      <c r="AE86" s="1292"/>
      <c r="AF86" s="1293"/>
      <c r="AI86" s="3056" t="str">
        <f>"15:field204:" &amp; IF(I86="■",1,IF(L86="■",2,0))</f>
        <v>15:field204:0</v>
      </c>
    </row>
    <row r="87" spans="1:37" s="3056" customFormat="1" ht="18.75" hidden="1" customHeight="1">
      <c r="A87" s="735"/>
      <c r="B87" s="1407"/>
      <c r="C87" s="1353"/>
      <c r="D87" s="1289"/>
      <c r="E87" s="1275"/>
      <c r="F87" s="1289"/>
      <c r="G87" s="1305"/>
      <c r="H87" s="1564"/>
      <c r="I87" s="3083"/>
      <c r="J87" s="1559"/>
      <c r="K87" s="1559"/>
      <c r="L87" s="3082"/>
      <c r="M87" s="1559"/>
      <c r="N87" s="1559"/>
      <c r="O87" s="1412"/>
      <c r="P87" s="1412"/>
      <c r="Q87" s="1412"/>
      <c r="R87" s="1412"/>
      <c r="S87" s="1412"/>
      <c r="T87" s="1412"/>
      <c r="U87" s="1412"/>
      <c r="V87" s="1412"/>
      <c r="W87" s="1412"/>
      <c r="X87" s="1294"/>
      <c r="Y87" s="1295"/>
      <c r="Z87" s="1292"/>
      <c r="AA87" s="1292"/>
      <c r="AB87" s="1293"/>
      <c r="AC87" s="1295"/>
      <c r="AD87" s="1292"/>
      <c r="AE87" s="1292"/>
      <c r="AF87" s="1293"/>
    </row>
    <row r="88" spans="1:37" s="3056" customFormat="1" ht="18.75" hidden="1" customHeight="1">
      <c r="A88" s="735"/>
      <c r="B88" s="1407"/>
      <c r="C88" s="1353"/>
      <c r="D88" s="1289"/>
      <c r="E88" s="1275"/>
      <c r="F88" s="1289"/>
      <c r="G88" s="1305"/>
      <c r="H88" s="1540"/>
      <c r="I88" s="3081"/>
      <c r="J88" s="1529"/>
      <c r="K88" s="1529"/>
      <c r="L88" s="3080"/>
      <c r="M88" s="1529"/>
      <c r="N88" s="1529"/>
      <c r="O88" s="1403"/>
      <c r="P88" s="1403"/>
      <c r="Q88" s="1403"/>
      <c r="R88" s="1403"/>
      <c r="S88" s="1403"/>
      <c r="T88" s="1403"/>
      <c r="U88" s="1403"/>
      <c r="V88" s="1403"/>
      <c r="W88" s="1403"/>
      <c r="X88" s="1297"/>
      <c r="Y88" s="1295"/>
      <c r="Z88" s="1292"/>
      <c r="AA88" s="1292"/>
      <c r="AB88" s="1293"/>
      <c r="AC88" s="1295"/>
      <c r="AD88" s="1292"/>
      <c r="AE88" s="1292"/>
      <c r="AF88" s="1293"/>
    </row>
    <row r="89" spans="1:37" s="3056" customFormat="1" ht="18.75" hidden="1" customHeight="1">
      <c r="A89" s="735"/>
      <c r="B89" s="1407"/>
      <c r="C89" s="1353"/>
      <c r="D89" s="1289"/>
      <c r="E89" s="1275"/>
      <c r="F89" s="1289"/>
      <c r="G89" s="1305"/>
      <c r="H89" s="1410" t="s">
        <v>2260</v>
      </c>
      <c r="I89" s="3122" t="s">
        <v>121</v>
      </c>
      <c r="J89" s="1298" t="s">
        <v>1239</v>
      </c>
      <c r="K89" s="1299"/>
      <c r="L89" s="1300"/>
      <c r="M89" s="3122" t="s">
        <v>121</v>
      </c>
      <c r="N89" s="1298" t="s">
        <v>1240</v>
      </c>
      <c r="O89" s="1307"/>
      <c r="P89" s="1307"/>
      <c r="Q89" s="1307"/>
      <c r="R89" s="1307"/>
      <c r="S89" s="1307"/>
      <c r="T89" s="1307"/>
      <c r="U89" s="1307"/>
      <c r="V89" s="1307"/>
      <c r="W89" s="1307"/>
      <c r="X89" s="1308"/>
      <c r="Y89" s="1295"/>
      <c r="Z89" s="1292"/>
      <c r="AA89" s="1292"/>
      <c r="AB89" s="1293"/>
      <c r="AC89" s="1295"/>
      <c r="AD89" s="1292"/>
      <c r="AE89" s="1292"/>
      <c r="AF89" s="1293"/>
      <c r="AI89" s="3056" t="str">
        <f>"15:timeser_code:" &amp; IF(I89="■",1,IF(M89="■",2,0))</f>
        <v>15:timeser_code:0</v>
      </c>
    </row>
    <row r="90" spans="1:37" s="3056" customFormat="1" ht="18.75" hidden="1" customHeight="1">
      <c r="A90" s="735"/>
      <c r="B90" s="1407"/>
      <c r="C90" s="1353"/>
      <c r="D90" s="1289"/>
      <c r="E90" s="1275"/>
      <c r="F90" s="1289"/>
      <c r="G90" s="1305"/>
      <c r="H90" s="1539" t="s">
        <v>2259</v>
      </c>
      <c r="I90" s="3086" t="s">
        <v>121</v>
      </c>
      <c r="J90" s="1528" t="s">
        <v>1230</v>
      </c>
      <c r="K90" s="1528"/>
      <c r="L90" s="3086" t="s">
        <v>121</v>
      </c>
      <c r="M90" s="1528" t="s">
        <v>1248</v>
      </c>
      <c r="N90" s="1528"/>
      <c r="O90" s="1290"/>
      <c r="P90" s="1290"/>
      <c r="Q90" s="1290"/>
      <c r="R90" s="1290"/>
      <c r="S90" s="1290"/>
      <c r="T90" s="1290"/>
      <c r="U90" s="1290"/>
      <c r="V90" s="1290"/>
      <c r="W90" s="1290"/>
      <c r="X90" s="1331"/>
      <c r="Y90" s="1295"/>
      <c r="Z90" s="1292"/>
      <c r="AA90" s="1292"/>
      <c r="AB90" s="1293"/>
      <c r="AC90" s="1295"/>
      <c r="AD90" s="1292"/>
      <c r="AE90" s="1292"/>
      <c r="AF90" s="1293"/>
      <c r="AI90" s="3056" t="str">
        <f>"15:field181:" &amp; IF(I90="■",1,IF(L90="■",2,0))</f>
        <v>15:field181:0</v>
      </c>
    </row>
    <row r="91" spans="1:37" s="3056" customFormat="1" ht="18.75" hidden="1" customHeight="1">
      <c r="A91" s="735"/>
      <c r="B91" s="1407"/>
      <c r="C91" s="1353"/>
      <c r="D91" s="1289"/>
      <c r="E91" s="1275"/>
      <c r="F91" s="1289"/>
      <c r="G91" s="1305"/>
      <c r="H91" s="1540"/>
      <c r="I91" s="3070"/>
      <c r="J91" s="1529"/>
      <c r="K91" s="1529"/>
      <c r="L91" s="3070"/>
      <c r="M91" s="1529"/>
      <c r="N91" s="1529"/>
      <c r="O91" s="1296"/>
      <c r="P91" s="1296"/>
      <c r="Q91" s="1296"/>
      <c r="R91" s="1296"/>
      <c r="S91" s="1296"/>
      <c r="T91" s="1296"/>
      <c r="U91" s="1296"/>
      <c r="V91" s="1296"/>
      <c r="W91" s="1296"/>
      <c r="X91" s="1332"/>
      <c r="Y91" s="1295"/>
      <c r="Z91" s="1292"/>
      <c r="AA91" s="1292"/>
      <c r="AB91" s="1293"/>
      <c r="AC91" s="1295"/>
      <c r="AD91" s="1292"/>
      <c r="AE91" s="1292"/>
      <c r="AF91" s="1293"/>
    </row>
    <row r="92" spans="1:37" s="3056" customFormat="1" ht="18.75" hidden="1" customHeight="1">
      <c r="A92" s="735"/>
      <c r="B92" s="1407"/>
      <c r="C92" s="1353"/>
      <c r="D92" s="1289"/>
      <c r="E92" s="1275"/>
      <c r="F92" s="1289"/>
      <c r="G92" s="1305"/>
      <c r="H92" s="1539" t="s">
        <v>2258</v>
      </c>
      <c r="I92" s="3086" t="s">
        <v>121</v>
      </c>
      <c r="J92" s="1528" t="s">
        <v>1230</v>
      </c>
      <c r="K92" s="1528"/>
      <c r="L92" s="3086" t="s">
        <v>121</v>
      </c>
      <c r="M92" s="1528" t="s">
        <v>1248</v>
      </c>
      <c r="N92" s="1528"/>
      <c r="O92" s="1290"/>
      <c r="P92" s="1290"/>
      <c r="Q92" s="1290"/>
      <c r="R92" s="1290"/>
      <c r="S92" s="1290"/>
      <c r="T92" s="1290"/>
      <c r="U92" s="1290"/>
      <c r="V92" s="1290"/>
      <c r="W92" s="1290"/>
      <c r="X92" s="1331"/>
      <c r="Y92" s="1295"/>
      <c r="Z92" s="1292"/>
      <c r="AA92" s="1292"/>
      <c r="AB92" s="1293"/>
      <c r="AC92" s="1295"/>
      <c r="AD92" s="1292"/>
      <c r="AE92" s="1292"/>
      <c r="AF92" s="1293"/>
      <c r="AI92" s="3056" t="str">
        <f>"15:field182:" &amp; IF(I92="■",1,IF(L92="■",2,0))</f>
        <v>15:field182:0</v>
      </c>
    </row>
    <row r="93" spans="1:37" s="3056" customFormat="1" ht="18.75" hidden="1" customHeight="1">
      <c r="A93" s="735"/>
      <c r="B93" s="1407"/>
      <c r="C93" s="1353"/>
      <c r="D93" s="1289"/>
      <c r="E93" s="1275"/>
      <c r="F93" s="1289"/>
      <c r="G93" s="1305"/>
      <c r="H93" s="1540"/>
      <c r="I93" s="3070"/>
      <c r="J93" s="1529"/>
      <c r="K93" s="1529"/>
      <c r="L93" s="3070"/>
      <c r="M93" s="1529"/>
      <c r="N93" s="1529"/>
      <c r="O93" s="1296"/>
      <c r="P93" s="1296"/>
      <c r="Q93" s="1296"/>
      <c r="R93" s="1296"/>
      <c r="S93" s="1296"/>
      <c r="T93" s="1296"/>
      <c r="U93" s="1296"/>
      <c r="V93" s="1296"/>
      <c r="W93" s="1296"/>
      <c r="X93" s="1332"/>
      <c r="Y93" s="1295"/>
      <c r="Z93" s="1292"/>
      <c r="AA93" s="1292"/>
      <c r="AB93" s="1293"/>
      <c r="AC93" s="1295"/>
      <c r="AD93" s="1292"/>
      <c r="AE93" s="1292"/>
      <c r="AF93" s="1293"/>
    </row>
    <row r="94" spans="1:37" s="3056" customFormat="1" ht="18.75" hidden="1" customHeight="1">
      <c r="A94" s="735"/>
      <c r="B94" s="1407"/>
      <c r="C94" s="1353"/>
      <c r="D94" s="1289"/>
      <c r="E94" s="1275"/>
      <c r="F94" s="1289"/>
      <c r="G94" s="1305"/>
      <c r="H94" s="1539" t="s">
        <v>2257</v>
      </c>
      <c r="I94" s="3086" t="s">
        <v>121</v>
      </c>
      <c r="J94" s="1528" t="s">
        <v>1230</v>
      </c>
      <c r="K94" s="1528"/>
      <c r="L94" s="3086" t="s">
        <v>121</v>
      </c>
      <c r="M94" s="1528" t="s">
        <v>1248</v>
      </c>
      <c r="N94" s="1528"/>
      <c r="O94" s="1290"/>
      <c r="P94" s="1290"/>
      <c r="Q94" s="1290"/>
      <c r="R94" s="1290"/>
      <c r="S94" s="1290"/>
      <c r="T94" s="1290"/>
      <c r="U94" s="1290"/>
      <c r="V94" s="1290"/>
      <c r="W94" s="1290"/>
      <c r="X94" s="1331"/>
      <c r="Y94" s="1295"/>
      <c r="Z94" s="1292"/>
      <c r="AA94" s="1292"/>
      <c r="AB94" s="1293"/>
      <c r="AC94" s="1295"/>
      <c r="AD94" s="1292"/>
      <c r="AE94" s="1292"/>
      <c r="AF94" s="1293"/>
      <c r="AI94" s="3056" t="str">
        <f>"15:field183:" &amp; IF(I94="■",1,IF(L94="■",2,0))</f>
        <v>15:field183:0</v>
      </c>
    </row>
    <row r="95" spans="1:37" s="3056" customFormat="1" ht="18.75" hidden="1" customHeight="1">
      <c r="A95" s="735"/>
      <c r="B95" s="1407"/>
      <c r="C95" s="1353"/>
      <c r="D95" s="1289"/>
      <c r="E95" s="1275"/>
      <c r="F95" s="1289"/>
      <c r="G95" s="1305"/>
      <c r="H95" s="1540"/>
      <c r="I95" s="3070"/>
      <c r="J95" s="1529"/>
      <c r="K95" s="1529"/>
      <c r="L95" s="3070"/>
      <c r="M95" s="1529"/>
      <c r="N95" s="1529"/>
      <c r="O95" s="1296"/>
      <c r="P95" s="1296"/>
      <c r="Q95" s="1296"/>
      <c r="R95" s="1296"/>
      <c r="S95" s="1296"/>
      <c r="T95" s="1296"/>
      <c r="U95" s="1296"/>
      <c r="V95" s="1296"/>
      <c r="W95" s="1296"/>
      <c r="X95" s="1332"/>
      <c r="Y95" s="1295"/>
      <c r="Z95" s="1292"/>
      <c r="AA95" s="1292"/>
      <c r="AB95" s="1293"/>
      <c r="AC95" s="1295"/>
      <c r="AD95" s="1292"/>
      <c r="AE95" s="1292"/>
      <c r="AF95" s="1293"/>
    </row>
    <row r="96" spans="1:37" s="3056" customFormat="1" ht="18.75" hidden="1" customHeight="1">
      <c r="A96" s="735"/>
      <c r="B96" s="1407"/>
      <c r="C96" s="1353"/>
      <c r="D96" s="3122" t="s">
        <v>121</v>
      </c>
      <c r="E96" s="1275" t="s">
        <v>2255</v>
      </c>
      <c r="F96" s="1289"/>
      <c r="G96" s="1305"/>
      <c r="H96" s="1539" t="s">
        <v>2256</v>
      </c>
      <c r="I96" s="3086" t="s">
        <v>121</v>
      </c>
      <c r="J96" s="1528" t="s">
        <v>1230</v>
      </c>
      <c r="K96" s="1528"/>
      <c r="L96" s="3086" t="s">
        <v>121</v>
      </c>
      <c r="M96" s="1528" t="s">
        <v>1248</v>
      </c>
      <c r="N96" s="1528"/>
      <c r="O96" s="1290"/>
      <c r="P96" s="1290"/>
      <c r="Q96" s="1290"/>
      <c r="R96" s="1290"/>
      <c r="S96" s="1290"/>
      <c r="T96" s="1290"/>
      <c r="U96" s="1290"/>
      <c r="V96" s="1290"/>
      <c r="W96" s="1290"/>
      <c r="X96" s="1331"/>
      <c r="Y96" s="1295"/>
      <c r="Z96" s="1292"/>
      <c r="AA96" s="1292"/>
      <c r="AB96" s="1293"/>
      <c r="AC96" s="1295"/>
      <c r="AD96" s="1292"/>
      <c r="AE96" s="1292"/>
      <c r="AF96" s="1293"/>
      <c r="AI96" s="3056" t="str">
        <f>"15:field184:" &amp; IF(I96="■",1,IF(L96="■",2,0))</f>
        <v>15:field184:0</v>
      </c>
    </row>
    <row r="97" spans="1:36" s="3056" customFormat="1" ht="18.75" hidden="1" customHeight="1">
      <c r="A97" s="3069" t="s">
        <v>121</v>
      </c>
      <c r="B97" s="1407">
        <v>15</v>
      </c>
      <c r="C97" s="1353" t="s">
        <v>4</v>
      </c>
      <c r="D97" s="3122" t="s">
        <v>121</v>
      </c>
      <c r="E97" s="1275" t="s">
        <v>2254</v>
      </c>
      <c r="F97" s="1289"/>
      <c r="G97" s="1305"/>
      <c r="H97" s="1540"/>
      <c r="I97" s="3070"/>
      <c r="J97" s="1529"/>
      <c r="K97" s="1529"/>
      <c r="L97" s="3070"/>
      <c r="M97" s="1529"/>
      <c r="N97" s="1529"/>
      <c r="O97" s="1296"/>
      <c r="P97" s="1296"/>
      <c r="Q97" s="1296"/>
      <c r="R97" s="1296"/>
      <c r="S97" s="1296"/>
      <c r="T97" s="1296"/>
      <c r="U97" s="1296"/>
      <c r="V97" s="1296"/>
      <c r="W97" s="1296"/>
      <c r="X97" s="1332"/>
      <c r="Y97" s="1295"/>
      <c r="Z97" s="1292"/>
      <c r="AA97" s="1292"/>
      <c r="AB97" s="1293"/>
      <c r="AC97" s="1295"/>
      <c r="AD97" s="1292"/>
      <c r="AE97" s="1292"/>
      <c r="AF97" s="1293"/>
    </row>
    <row r="98" spans="1:36" s="3056" customFormat="1" ht="18.75" hidden="1" customHeight="1">
      <c r="A98" s="735"/>
      <c r="B98" s="1407"/>
      <c r="C98" s="1353"/>
      <c r="D98" s="3122" t="s">
        <v>121</v>
      </c>
      <c r="E98" s="1275" t="s">
        <v>2252</v>
      </c>
      <c r="F98" s="1289"/>
      <c r="G98" s="1305"/>
      <c r="H98" s="1312" t="s">
        <v>2253</v>
      </c>
      <c r="I98" s="3066" t="s">
        <v>121</v>
      </c>
      <c r="J98" s="1298" t="s">
        <v>1230</v>
      </c>
      <c r="K98" s="1299"/>
      <c r="L98" s="3065" t="s">
        <v>121</v>
      </c>
      <c r="M98" s="1298" t="s">
        <v>1248</v>
      </c>
      <c r="N98" s="1326"/>
      <c r="O98" s="1326"/>
      <c r="P98" s="1326"/>
      <c r="Q98" s="1326"/>
      <c r="R98" s="1326"/>
      <c r="S98" s="1326"/>
      <c r="T98" s="1326"/>
      <c r="U98" s="1326"/>
      <c r="V98" s="1326"/>
      <c r="W98" s="1326"/>
      <c r="X98" s="1327"/>
      <c r="Y98" s="1295"/>
      <c r="Z98" s="1292"/>
      <c r="AA98" s="1292"/>
      <c r="AB98" s="1293"/>
      <c r="AC98" s="1295"/>
      <c r="AD98" s="1292"/>
      <c r="AE98" s="1292"/>
      <c r="AF98" s="1293"/>
      <c r="AI98" s="3056" t="str">
        <f>"15:field151:" &amp; IF(I98="■",1,IF(L98="■",2,0))</f>
        <v>15:field151:0</v>
      </c>
    </row>
    <row r="99" spans="1:36" s="3056" customFormat="1" ht="18.75" hidden="1" customHeight="1">
      <c r="A99" s="735"/>
      <c r="B99" s="1407"/>
      <c r="C99" s="1353"/>
      <c r="D99" s="1289"/>
      <c r="E99" s="1275"/>
      <c r="F99" s="1289"/>
      <c r="G99" s="1305"/>
      <c r="H99" s="1410" t="s">
        <v>1297</v>
      </c>
      <c r="I99" s="3122" t="s">
        <v>121</v>
      </c>
      <c r="J99" s="1296" t="s">
        <v>1230</v>
      </c>
      <c r="K99" s="1296"/>
      <c r="L99" s="3065" t="s">
        <v>121</v>
      </c>
      <c r="M99" s="1296" t="s">
        <v>1256</v>
      </c>
      <c r="N99" s="1298"/>
      <c r="O99" s="3122" t="s">
        <v>121</v>
      </c>
      <c r="P99" s="1298" t="s">
        <v>1257</v>
      </c>
      <c r="Q99" s="1326"/>
      <c r="R99" s="1326"/>
      <c r="S99" s="1326"/>
      <c r="T99" s="1326"/>
      <c r="U99" s="1326"/>
      <c r="V99" s="1326"/>
      <c r="W99" s="1326"/>
      <c r="X99" s="1327"/>
      <c r="Y99" s="1295"/>
      <c r="Z99" s="1292"/>
      <c r="AA99" s="1292"/>
      <c r="AB99" s="1293"/>
      <c r="AC99" s="1295"/>
      <c r="AD99" s="1292"/>
      <c r="AE99" s="1292"/>
      <c r="AF99" s="1293"/>
      <c r="AI99" s="3056" t="str">
        <f>"15:nyukai_code:"&amp;IF(I99="■",1,IF(O99="■",3,IF(L99="■",2,0)))</f>
        <v>15:nyukai_code:0</v>
      </c>
    </row>
    <row r="100" spans="1:36" s="3056" customFormat="1" ht="18.75" hidden="1" customHeight="1">
      <c r="A100" s="735"/>
      <c r="B100" s="1407"/>
      <c r="C100" s="1353"/>
      <c r="D100" s="1289"/>
      <c r="E100" s="1275"/>
      <c r="F100" s="1289"/>
      <c r="G100" s="1305"/>
      <c r="H100" s="1410" t="s">
        <v>2251</v>
      </c>
      <c r="I100" s="3137" t="s">
        <v>121</v>
      </c>
      <c r="J100" s="1298" t="s">
        <v>1230</v>
      </c>
      <c r="K100" s="1299"/>
      <c r="L100" s="3122" t="s">
        <v>121</v>
      </c>
      <c r="M100" s="1298" t="s">
        <v>1248</v>
      </c>
      <c r="N100" s="1326"/>
      <c r="O100" s="1326"/>
      <c r="P100" s="1326"/>
      <c r="Q100" s="1326"/>
      <c r="R100" s="1326"/>
      <c r="S100" s="1326"/>
      <c r="T100" s="1326"/>
      <c r="U100" s="1326"/>
      <c r="V100" s="1326"/>
      <c r="W100" s="1326"/>
      <c r="X100" s="1327"/>
      <c r="Y100" s="1295"/>
      <c r="Z100" s="1292"/>
      <c r="AA100" s="1292"/>
      <c r="AB100" s="1293"/>
      <c r="AC100" s="1295"/>
      <c r="AD100" s="1292"/>
      <c r="AE100" s="1292"/>
      <c r="AF100" s="1293"/>
      <c r="AI100" s="3056" t="str">
        <f>"15:field153:" &amp; IF(I100="■",1,IF(L100="■",2,0))</f>
        <v>15:field153:0</v>
      </c>
    </row>
    <row r="101" spans="1:36" s="3056" customFormat="1" ht="18.75" hidden="1" customHeight="1">
      <c r="A101" s="735"/>
      <c r="B101" s="1407"/>
      <c r="C101" s="1353"/>
      <c r="D101" s="1289"/>
      <c r="E101" s="1275"/>
      <c r="F101" s="1289"/>
      <c r="G101" s="1305"/>
      <c r="H101" s="1410" t="s">
        <v>2250</v>
      </c>
      <c r="I101" s="3137" t="s">
        <v>121</v>
      </c>
      <c r="J101" s="1298" t="s">
        <v>1230</v>
      </c>
      <c r="K101" s="1298"/>
      <c r="L101" s="3136" t="s">
        <v>121</v>
      </c>
      <c r="M101" s="1298" t="s">
        <v>1263</v>
      </c>
      <c r="N101" s="1298"/>
      <c r="O101" s="3122" t="s">
        <v>121</v>
      </c>
      <c r="P101" s="1298" t="s">
        <v>1287</v>
      </c>
      <c r="Q101" s="1326"/>
      <c r="R101" s="1326"/>
      <c r="S101" s="1326"/>
      <c r="T101" s="1326"/>
      <c r="U101" s="1326"/>
      <c r="V101" s="1326"/>
      <c r="W101" s="1326"/>
      <c r="X101" s="1327"/>
      <c r="Y101" s="1295"/>
      <c r="Z101" s="1292"/>
      <c r="AA101" s="1292"/>
      <c r="AB101" s="1293"/>
      <c r="AC101" s="1295"/>
      <c r="AD101" s="1292"/>
      <c r="AE101" s="1292"/>
      <c r="AF101" s="1293"/>
      <c r="AI101" s="3056" t="str">
        <f>"15:field185:" &amp; IF(I101="■",1,IF(L101="■",3,IF(O101="■",2,0)))</f>
        <v>15:field185:0</v>
      </c>
    </row>
    <row r="102" spans="1:36" s="3056" customFormat="1" ht="18.75" hidden="1" customHeight="1">
      <c r="A102" s="735"/>
      <c r="B102" s="1407"/>
      <c r="C102" s="1353"/>
      <c r="D102" s="1289"/>
      <c r="E102" s="1275"/>
      <c r="F102" s="1289"/>
      <c r="G102" s="1305"/>
      <c r="H102" s="1410" t="s">
        <v>2458</v>
      </c>
      <c r="I102" s="3137" t="s">
        <v>121</v>
      </c>
      <c r="J102" s="1298" t="s">
        <v>1230</v>
      </c>
      <c r="K102" s="1298"/>
      <c r="L102" s="3136" t="s">
        <v>121</v>
      </c>
      <c r="M102" s="1298" t="s">
        <v>2248</v>
      </c>
      <c r="N102" s="3068"/>
      <c r="O102" s="3068"/>
      <c r="P102" s="3122" t="s">
        <v>121</v>
      </c>
      <c r="Q102" s="1298" t="s">
        <v>2247</v>
      </c>
      <c r="R102" s="3068"/>
      <c r="S102" s="3068"/>
      <c r="T102" s="3068"/>
      <c r="U102" s="3068"/>
      <c r="V102" s="3068"/>
      <c r="W102" s="3068"/>
      <c r="X102" s="3067"/>
      <c r="Y102" s="1295"/>
      <c r="Z102" s="1292"/>
      <c r="AA102" s="1292"/>
      <c r="AB102" s="1293"/>
      <c r="AC102" s="1295"/>
      <c r="AD102" s="1292"/>
      <c r="AE102" s="1292"/>
      <c r="AF102" s="1293"/>
      <c r="AI102" s="3056" t="str">
        <f>"15:field205:" &amp; IF(I102="■",1,IF(P102="■",3,IF(L102="■",2,0)))</f>
        <v>15:field205:0</v>
      </c>
    </row>
    <row r="103" spans="1:36" s="3056" customFormat="1" ht="18.75" hidden="1" customHeight="1">
      <c r="A103" s="735"/>
      <c r="B103" s="1407"/>
      <c r="C103" s="1353"/>
      <c r="D103" s="1289"/>
      <c r="E103" s="1275"/>
      <c r="F103" s="1289"/>
      <c r="G103" s="1305"/>
      <c r="H103" s="1410" t="s">
        <v>2344</v>
      </c>
      <c r="I103" s="3137" t="s">
        <v>121</v>
      </c>
      <c r="J103" s="1298" t="s">
        <v>1230</v>
      </c>
      <c r="K103" s="1299"/>
      <c r="L103" s="3065" t="s">
        <v>121</v>
      </c>
      <c r="M103" s="1298" t="s">
        <v>1248</v>
      </c>
      <c r="N103" s="1326"/>
      <c r="O103" s="1326"/>
      <c r="P103" s="1326"/>
      <c r="Q103" s="1326"/>
      <c r="R103" s="1326"/>
      <c r="S103" s="1326"/>
      <c r="T103" s="1326"/>
      <c r="U103" s="1326"/>
      <c r="V103" s="1326"/>
      <c r="W103" s="1326"/>
      <c r="X103" s="1327"/>
      <c r="Y103" s="1295"/>
      <c r="Z103" s="1292"/>
      <c r="AA103" s="1292"/>
      <c r="AB103" s="1293"/>
      <c r="AC103" s="1295"/>
      <c r="AD103" s="1292"/>
      <c r="AE103" s="1292"/>
      <c r="AF103" s="1293"/>
      <c r="AI103" s="3056" t="str">
        <f>"15:field186:" &amp; IF(I103="■",1,IF(L103="■",2,0))</f>
        <v>15:field186:0</v>
      </c>
    </row>
    <row r="104" spans="1:36" s="3056" customFormat="1" ht="18.75" hidden="1" customHeight="1">
      <c r="A104" s="735"/>
      <c r="B104" s="1407"/>
      <c r="C104" s="1353"/>
      <c r="D104" s="1289"/>
      <c r="E104" s="1275"/>
      <c r="F104" s="1289"/>
      <c r="G104" s="1305"/>
      <c r="H104" s="1409" t="s">
        <v>2245</v>
      </c>
      <c r="I104" s="3137" t="s">
        <v>121</v>
      </c>
      <c r="J104" s="1298" t="s">
        <v>1230</v>
      </c>
      <c r="K104" s="1299"/>
      <c r="L104" s="3122" t="s">
        <v>121</v>
      </c>
      <c r="M104" s="1298" t="s">
        <v>1248</v>
      </c>
      <c r="N104" s="1326"/>
      <c r="O104" s="1326"/>
      <c r="P104" s="1326"/>
      <c r="Q104" s="1326"/>
      <c r="R104" s="1326"/>
      <c r="S104" s="1326"/>
      <c r="T104" s="1326"/>
      <c r="U104" s="1326"/>
      <c r="V104" s="1326"/>
      <c r="W104" s="1326"/>
      <c r="X104" s="1327"/>
      <c r="Y104" s="1295"/>
      <c r="Z104" s="1292"/>
      <c r="AA104" s="1292"/>
      <c r="AB104" s="1293"/>
      <c r="AC104" s="1295"/>
      <c r="AD104" s="1292"/>
      <c r="AE104" s="1292"/>
      <c r="AF104" s="1293"/>
      <c r="AI104" s="3056" t="str">
        <f>"15:field167:" &amp; IF(I104="■",1,IF(L104="■",2,0))</f>
        <v>15:field167:0</v>
      </c>
    </row>
    <row r="105" spans="1:36" s="3056" customFormat="1" ht="18.75" hidden="1" customHeight="1">
      <c r="A105" s="735"/>
      <c r="B105" s="1407"/>
      <c r="C105" s="1353"/>
      <c r="D105" s="1289"/>
      <c r="E105" s="1275"/>
      <c r="F105" s="1289"/>
      <c r="G105" s="1305"/>
      <c r="H105" s="1409" t="s">
        <v>1305</v>
      </c>
      <c r="I105" s="3066" t="s">
        <v>121</v>
      </c>
      <c r="J105" s="1298" t="s">
        <v>1230</v>
      </c>
      <c r="K105" s="1299"/>
      <c r="L105" s="3065" t="s">
        <v>121</v>
      </c>
      <c r="M105" s="1298" t="s">
        <v>1248</v>
      </c>
      <c r="N105" s="1326"/>
      <c r="O105" s="1326"/>
      <c r="P105" s="1326"/>
      <c r="Q105" s="1326"/>
      <c r="R105" s="1326"/>
      <c r="S105" s="1326"/>
      <c r="T105" s="1326"/>
      <c r="U105" s="1326"/>
      <c r="V105" s="1326"/>
      <c r="W105" s="1326"/>
      <c r="X105" s="1327"/>
      <c r="Y105" s="1295"/>
      <c r="Z105" s="1292"/>
      <c r="AA105" s="1292"/>
      <c r="AB105" s="1293"/>
      <c r="AC105" s="1295"/>
      <c r="AD105" s="1292"/>
      <c r="AE105" s="1292"/>
      <c r="AF105" s="1293"/>
      <c r="AI105" s="3056" t="str">
        <f>"15:jyakuninti_uke_code:" &amp; IF(I105="■",1,IF(L105="■",2,0))</f>
        <v>15:jyakuninti_uke_code:0</v>
      </c>
    </row>
    <row r="106" spans="1:36" s="3056" customFormat="1" ht="18.75" hidden="1" customHeight="1">
      <c r="A106" s="735"/>
      <c r="B106" s="1407"/>
      <c r="C106" s="1353"/>
      <c r="D106" s="1289"/>
      <c r="E106" s="1275"/>
      <c r="F106" s="1289"/>
      <c r="G106" s="1305"/>
      <c r="H106" s="3112" t="s">
        <v>1306</v>
      </c>
      <c r="I106" s="3065" t="s">
        <v>121</v>
      </c>
      <c r="J106" s="1298" t="s">
        <v>1230</v>
      </c>
      <c r="K106" s="1299"/>
      <c r="L106" s="3062" t="s">
        <v>121</v>
      </c>
      <c r="M106" s="1298" t="s">
        <v>1248</v>
      </c>
      <c r="N106" s="1326"/>
      <c r="O106" s="1326"/>
      <c r="P106" s="1326"/>
      <c r="Q106" s="1326"/>
      <c r="R106" s="1326"/>
      <c r="S106" s="1326"/>
      <c r="T106" s="1326"/>
      <c r="U106" s="1326"/>
      <c r="V106" s="1326"/>
      <c r="W106" s="1326"/>
      <c r="X106" s="1327"/>
      <c r="Y106" s="1295"/>
      <c r="Z106" s="1292"/>
      <c r="AA106" s="1292"/>
      <c r="AB106" s="1293"/>
      <c r="AC106" s="1295"/>
      <c r="AD106" s="1292"/>
      <c r="AE106" s="1292"/>
      <c r="AF106" s="1293"/>
      <c r="AI106" s="3056" t="str">
        <f>"15:eiyomana_code:" &amp; IF(I106="■",1,IF(L106="■",2,0))</f>
        <v>15:eiyomana_code:0</v>
      </c>
    </row>
    <row r="107" spans="1:36" s="3056" customFormat="1" ht="18.75" hidden="1" customHeight="1">
      <c r="A107" s="735"/>
      <c r="B107" s="1407"/>
      <c r="C107" s="1353"/>
      <c r="D107" s="1289"/>
      <c r="E107" s="1275"/>
      <c r="F107" s="1289"/>
      <c r="G107" s="1305"/>
      <c r="H107" s="1410" t="s">
        <v>1307</v>
      </c>
      <c r="I107" s="3066" t="s">
        <v>121</v>
      </c>
      <c r="J107" s="1298" t="s">
        <v>1230</v>
      </c>
      <c r="K107" s="1299"/>
      <c r="L107" s="3062" t="s">
        <v>121</v>
      </c>
      <c r="M107" s="1298" t="s">
        <v>1248</v>
      </c>
      <c r="N107" s="1326"/>
      <c r="O107" s="1326"/>
      <c r="P107" s="1326"/>
      <c r="Q107" s="1326"/>
      <c r="R107" s="1326"/>
      <c r="S107" s="1326"/>
      <c r="T107" s="1326"/>
      <c r="U107" s="1326"/>
      <c r="V107" s="1326"/>
      <c r="W107" s="1326"/>
      <c r="X107" s="1327"/>
      <c r="Y107" s="1295"/>
      <c r="Z107" s="1292"/>
      <c r="AA107" s="1292"/>
      <c r="AB107" s="1293"/>
      <c r="AC107" s="1295"/>
      <c r="AD107" s="1292"/>
      <c r="AE107" s="1292"/>
      <c r="AF107" s="1293"/>
      <c r="AI107" s="3056" t="str">
        <f>"15:koukoukino_code:" &amp; IF(I107="■",1,IF(L107="■",2,0))</f>
        <v>15:koukoukino_code:0</v>
      </c>
    </row>
    <row r="108" spans="1:36" s="3056" customFormat="1" ht="18.75" hidden="1" customHeight="1">
      <c r="A108" s="735"/>
      <c r="B108" s="1407"/>
      <c r="C108" s="1353"/>
      <c r="D108" s="1289"/>
      <c r="E108" s="1275"/>
      <c r="F108" s="1289"/>
      <c r="G108" s="1305"/>
      <c r="H108" s="1410" t="s">
        <v>764</v>
      </c>
      <c r="I108" s="3122" t="s">
        <v>121</v>
      </c>
      <c r="J108" s="1298" t="s">
        <v>1230</v>
      </c>
      <c r="K108" s="1299"/>
      <c r="L108" s="3062" t="s">
        <v>121</v>
      </c>
      <c r="M108" s="1298" t="s">
        <v>1248</v>
      </c>
      <c r="N108" s="1326"/>
      <c r="O108" s="1326"/>
      <c r="P108" s="1326"/>
      <c r="Q108" s="1326"/>
      <c r="R108" s="1326"/>
      <c r="S108" s="1326"/>
      <c r="T108" s="1326"/>
      <c r="U108" s="1326"/>
      <c r="V108" s="1326"/>
      <c r="W108" s="1326"/>
      <c r="X108" s="1327"/>
      <c r="Y108" s="1295"/>
      <c r="Z108" s="1292"/>
      <c r="AA108" s="1292"/>
      <c r="AB108" s="1293"/>
      <c r="AC108" s="1295"/>
      <c r="AD108" s="1292"/>
      <c r="AE108" s="1292"/>
      <c r="AF108" s="1293"/>
      <c r="AI108" s="3056" t="str">
        <f>"15:field212:" &amp; IF(I108="■",1,IF(L108="■",2,0))</f>
        <v>15:field212:0</v>
      </c>
    </row>
    <row r="109" spans="1:36" s="3056" customFormat="1" ht="18.75" hidden="1" customHeight="1">
      <c r="A109" s="735"/>
      <c r="B109" s="1407"/>
      <c r="C109" s="1353"/>
      <c r="D109" s="1289"/>
      <c r="E109" s="1275"/>
      <c r="F109" s="1289"/>
      <c r="G109" s="1305"/>
      <c r="H109" s="1409" t="s">
        <v>1266</v>
      </c>
      <c r="I109" s="3066" t="s">
        <v>121</v>
      </c>
      <c r="J109" s="1298" t="s">
        <v>1230</v>
      </c>
      <c r="K109" s="1298"/>
      <c r="L109" s="3122" t="s">
        <v>121</v>
      </c>
      <c r="M109" s="1298" t="s">
        <v>1267</v>
      </c>
      <c r="N109" s="1298"/>
      <c r="O109" s="3122" t="s">
        <v>121</v>
      </c>
      <c r="P109" s="1298" t="s">
        <v>1268</v>
      </c>
      <c r="Q109" s="1298"/>
      <c r="R109" s="3122" t="s">
        <v>121</v>
      </c>
      <c r="S109" s="1298" t="s">
        <v>1269</v>
      </c>
      <c r="T109" s="1298"/>
      <c r="U109" s="1326"/>
      <c r="V109" s="1326"/>
      <c r="W109" s="1326"/>
      <c r="X109" s="1327"/>
      <c r="Y109" s="1295"/>
      <c r="Z109" s="1292"/>
      <c r="AA109" s="1292"/>
      <c r="AB109" s="1293"/>
      <c r="AC109" s="1295"/>
      <c r="AD109" s="1292"/>
      <c r="AE109" s="1292"/>
      <c r="AF109" s="1293"/>
      <c r="AI109" s="3056" t="str">
        <f>"15:serteikyo_kyoka_code:" &amp; IF(I109="■",1,IF(L109="■",6,IF(O109="■",5,IF(R109="■",7,0))))</f>
        <v>15:serteikyo_kyoka_code:0</v>
      </c>
    </row>
    <row r="110" spans="1:36" s="3056" customFormat="1" ht="18.75" hidden="1" customHeight="1">
      <c r="A110" s="736"/>
      <c r="B110" s="1316"/>
      <c r="C110" s="1346"/>
      <c r="D110" s="1348"/>
      <c r="E110" s="1317"/>
      <c r="F110" s="1318"/>
      <c r="G110" s="1361"/>
      <c r="H110" s="3134" t="s">
        <v>2288</v>
      </c>
      <c r="I110" s="3060" t="s">
        <v>121</v>
      </c>
      <c r="J110" s="3130" t="s">
        <v>1230</v>
      </c>
      <c r="K110" s="3130"/>
      <c r="L110" s="3059" t="s">
        <v>121</v>
      </c>
      <c r="M110" s="3130" t="s">
        <v>2287</v>
      </c>
      <c r="N110" s="3133"/>
      <c r="O110" s="3059" t="s">
        <v>121</v>
      </c>
      <c r="P110" s="3132" t="s">
        <v>2286</v>
      </c>
      <c r="Q110" s="3131"/>
      <c r="R110" s="3059" t="s">
        <v>121</v>
      </c>
      <c r="S110" s="3130" t="s">
        <v>2285</v>
      </c>
      <c r="T110" s="3131"/>
      <c r="U110" s="3059" t="s">
        <v>121</v>
      </c>
      <c r="V110" s="3130" t="s">
        <v>2284</v>
      </c>
      <c r="W110" s="3129"/>
      <c r="X110" s="3128"/>
      <c r="Y110" s="1323"/>
      <c r="Z110" s="1323"/>
      <c r="AA110" s="1323"/>
      <c r="AB110" s="1324"/>
      <c r="AC110" s="1322"/>
      <c r="AD110" s="1323"/>
      <c r="AE110" s="1323"/>
      <c r="AF110" s="1324"/>
      <c r="AI110" s="3056" t="str">
        <f>"15:shoguukaizen_code:"&amp;IF(I110="■",1,IF(L110="■",7,IF(O110="■",8,IF(R110="■",9,IF(U110="■","A",0)))))</f>
        <v>15:shoguukaizen_code:0</v>
      </c>
    </row>
    <row r="111" spans="1:36" s="3056" customFormat="1" ht="18.75" customHeight="1">
      <c r="A111" s="1276"/>
      <c r="B111" s="1405"/>
      <c r="C111" s="1333"/>
      <c r="D111" s="1335"/>
      <c r="E111" s="1272"/>
      <c r="F111" s="1335"/>
      <c r="G111" s="1336"/>
      <c r="H111" s="1560" t="s">
        <v>1290</v>
      </c>
      <c r="I111" s="3119" t="s">
        <v>121</v>
      </c>
      <c r="J111" s="1270" t="s">
        <v>1230</v>
      </c>
      <c r="K111" s="1270"/>
      <c r="L111" s="1337"/>
      <c r="M111" s="3138" t="s">
        <v>121</v>
      </c>
      <c r="N111" s="1270" t="s">
        <v>1231</v>
      </c>
      <c r="O111" s="1270"/>
      <c r="P111" s="1337"/>
      <c r="Q111" s="3138" t="s">
        <v>121</v>
      </c>
      <c r="R111" s="1334" t="s">
        <v>1232</v>
      </c>
      <c r="S111" s="1334"/>
      <c r="T111" s="1334"/>
      <c r="U111" s="3138" t="s">
        <v>121</v>
      </c>
      <c r="V111" s="1334" t="s">
        <v>1233</v>
      </c>
      <c r="W111" s="1334"/>
      <c r="X111" s="1336"/>
      <c r="Y111" s="3119" t="s">
        <v>121</v>
      </c>
      <c r="Z111" s="1270" t="s">
        <v>1229</v>
      </c>
      <c r="AA111" s="1270"/>
      <c r="AB111" s="1286"/>
      <c r="AC111" s="1543"/>
      <c r="AD111" s="1543"/>
      <c r="AE111" s="1543"/>
      <c r="AF111" s="1543"/>
      <c r="AG111" s="3056" t="str">
        <f>"ser_code = '" &amp; IF(A122="■",16,"") &amp; "'"</f>
        <v>ser_code = ''</v>
      </c>
      <c r="AI111" s="3056" t="str">
        <f>"16:"&amp;IF(AND(I111="□",M111="□",Q111="□",U111="□",I112="□",M112="□",Q112="□"),"ketu_doctor_code:0",IF(I111="■","ketu_doctor_code:1:ketu_kangos_code:1:ketu_kshoku_code:1:ketu_rryoho_code:1:ketu_sryoho_code:1:ketu_gengo_code:1",
IF(M111="■","ketu_doctor_code:2","ketu_doctor_code:1")
&amp;IF(Q111="■",":ketu_kangos_code:2",":ketu_kangos_code:1")
&amp;IF(U111="■",":ketu_kshoku_code:2",":ketu_kshoku_code:1")
&amp;IF(I112="■",":ketu_rryoho_code:2",":ketu_rryoho_code:1")
&amp;IF(M112="■",":ketu_sryoho_code:2",":ketu_sryoho_code:1")
&amp;IF(Q112="■",":ketu_gengo_code:2",":ketu_gengo_code:1")))</f>
        <v>16:ketu_doctor_code:0</v>
      </c>
      <c r="AJ111" s="3056" t="str">
        <f>"16:field203:" &amp; IF(Y111="■",1,IF(Y112="■",2,0))</f>
        <v>16:field203:0</v>
      </c>
    </row>
    <row r="112" spans="1:36" s="3056" customFormat="1" ht="18.75" customHeight="1">
      <c r="A112" s="735"/>
      <c r="B112" s="1407"/>
      <c r="C112" s="1303"/>
      <c r="D112" s="1304"/>
      <c r="E112" s="1275"/>
      <c r="F112" s="1304"/>
      <c r="G112" s="1294"/>
      <c r="H112" s="1561"/>
      <c r="I112" s="3122" t="s">
        <v>121</v>
      </c>
      <c r="J112" s="1296" t="s">
        <v>1235</v>
      </c>
      <c r="K112" s="1403"/>
      <c r="L112" s="1403"/>
      <c r="M112" s="3122" t="s">
        <v>121</v>
      </c>
      <c r="N112" s="1296" t="s">
        <v>1236</v>
      </c>
      <c r="O112" s="1403"/>
      <c r="P112" s="1403"/>
      <c r="Q112" s="3122" t="s">
        <v>121</v>
      </c>
      <c r="R112" s="1296" t="s">
        <v>1291</v>
      </c>
      <c r="S112" s="1403"/>
      <c r="T112" s="1403"/>
      <c r="U112" s="1403"/>
      <c r="V112" s="1403"/>
      <c r="W112" s="1403"/>
      <c r="X112" s="1297"/>
      <c r="Y112" s="3122" t="s">
        <v>121</v>
      </c>
      <c r="Z112" s="1273" t="s">
        <v>1234</v>
      </c>
      <c r="AA112" s="1292"/>
      <c r="AB112" s="1293"/>
      <c r="AC112" s="1562"/>
      <c r="AD112" s="1562"/>
      <c r="AE112" s="1562"/>
      <c r="AF112" s="1562"/>
      <c r="AG112" s="3056" t="str">
        <f>"16:sisetukbn_code:" &amp; IF(D118="■",4,IF(D119="■",7,IF(D120="■","A",IF(D121="■","D",IF(D122="■","E",IF(D123="■","F",IF(D124="■","G",IF(D125="■","H",IF(D126="■","J",0)))))))))</f>
        <v>16:sisetukbn_code:0</v>
      </c>
    </row>
    <row r="113" spans="1:35" s="3056" customFormat="1" ht="19.5" customHeight="1">
      <c r="A113" s="735"/>
      <c r="B113" s="1407"/>
      <c r="C113" s="1303"/>
      <c r="D113" s="1304"/>
      <c r="E113" s="1275"/>
      <c r="F113" s="1289"/>
      <c r="G113" s="1305"/>
      <c r="H113" s="1306" t="s">
        <v>1244</v>
      </c>
      <c r="I113" s="3066" t="s">
        <v>121</v>
      </c>
      <c r="J113" s="1298" t="s">
        <v>1242</v>
      </c>
      <c r="K113" s="1299"/>
      <c r="L113" s="1300"/>
      <c r="M113" s="3065" t="s">
        <v>121</v>
      </c>
      <c r="N113" s="1298" t="s">
        <v>1245</v>
      </c>
      <c r="O113" s="1301"/>
      <c r="P113" s="1298"/>
      <c r="Q113" s="1307"/>
      <c r="R113" s="1307"/>
      <c r="S113" s="1307"/>
      <c r="T113" s="1307"/>
      <c r="U113" s="1307"/>
      <c r="V113" s="1307"/>
      <c r="W113" s="1307"/>
      <c r="X113" s="1308"/>
      <c r="Y113" s="1292"/>
      <c r="Z113" s="1292"/>
      <c r="AA113" s="1292"/>
      <c r="AB113" s="1293"/>
      <c r="AC113" s="1562"/>
      <c r="AD113" s="1562"/>
      <c r="AE113" s="1562"/>
      <c r="AF113" s="1562"/>
      <c r="AI113" s="3056" t="str">
        <f>"16:field223:" &amp; IF(I113="■",1,IF(M113="■",2,0))</f>
        <v>16:field223:0</v>
      </c>
    </row>
    <row r="114" spans="1:35" s="3056" customFormat="1" ht="19.5" customHeight="1">
      <c r="A114" s="735"/>
      <c r="B114" s="1407"/>
      <c r="C114" s="1303"/>
      <c r="D114" s="1304"/>
      <c r="E114" s="1275"/>
      <c r="F114" s="1289"/>
      <c r="G114" s="1305"/>
      <c r="H114" s="1306" t="s">
        <v>1246</v>
      </c>
      <c r="I114" s="3066" t="s">
        <v>121</v>
      </c>
      <c r="J114" s="1298" t="s">
        <v>1242</v>
      </c>
      <c r="K114" s="1299"/>
      <c r="L114" s="1300"/>
      <c r="M114" s="3065" t="s">
        <v>121</v>
      </c>
      <c r="N114" s="1298" t="s">
        <v>1245</v>
      </c>
      <c r="O114" s="1301"/>
      <c r="P114" s="1298"/>
      <c r="Q114" s="1307"/>
      <c r="R114" s="1307"/>
      <c r="S114" s="1307"/>
      <c r="T114" s="1307"/>
      <c r="U114" s="1307"/>
      <c r="V114" s="1307"/>
      <c r="W114" s="1307"/>
      <c r="X114" s="1308"/>
      <c r="Y114" s="1292"/>
      <c r="Z114" s="1292"/>
      <c r="AA114" s="1292"/>
      <c r="AB114" s="1293"/>
      <c r="AC114" s="1562"/>
      <c r="AD114" s="1562"/>
      <c r="AE114" s="1562"/>
      <c r="AF114" s="1562"/>
      <c r="AI114" s="3056" t="str">
        <f>"16:field232:" &amp; IF(I114="■",1,IF(M114="■",2,0))</f>
        <v>16:field232:0</v>
      </c>
    </row>
    <row r="115" spans="1:35" s="3056" customFormat="1" ht="18.75" customHeight="1">
      <c r="A115" s="735"/>
      <c r="B115" s="1407"/>
      <c r="C115" s="1303"/>
      <c r="D115" s="1304"/>
      <c r="E115" s="1275"/>
      <c r="F115" s="1304"/>
      <c r="G115" s="1294"/>
      <c r="H115" s="1563" t="s">
        <v>1292</v>
      </c>
      <c r="I115" s="3115" t="s">
        <v>121</v>
      </c>
      <c r="J115" s="1528" t="s">
        <v>1230</v>
      </c>
      <c r="K115" s="1528"/>
      <c r="L115" s="3135" t="s">
        <v>121</v>
      </c>
      <c r="M115" s="1528" t="s">
        <v>1248</v>
      </c>
      <c r="N115" s="1528"/>
      <c r="O115" s="1402"/>
      <c r="P115" s="1402"/>
      <c r="Q115" s="1402"/>
      <c r="R115" s="1402"/>
      <c r="S115" s="1402"/>
      <c r="T115" s="1402"/>
      <c r="U115" s="1402"/>
      <c r="V115" s="1402"/>
      <c r="W115" s="1402"/>
      <c r="X115" s="1291"/>
      <c r="Y115" s="1295"/>
      <c r="Z115" s="1292"/>
      <c r="AA115" s="1292"/>
      <c r="AB115" s="1293"/>
      <c r="AC115" s="1544"/>
      <c r="AD115" s="1544"/>
      <c r="AE115" s="1544"/>
      <c r="AF115" s="1544"/>
      <c r="AI115" s="3056" t="str">
        <f>"16:field204:" &amp; IF(I115="■",1,IF(L115="■",2,0))</f>
        <v>16:field204:0</v>
      </c>
    </row>
    <row r="116" spans="1:35" s="3056" customFormat="1" ht="18.75" customHeight="1">
      <c r="A116" s="735"/>
      <c r="B116" s="1407"/>
      <c r="C116" s="1303"/>
      <c r="D116" s="1304"/>
      <c r="E116" s="1275"/>
      <c r="F116" s="1304"/>
      <c r="G116" s="1294"/>
      <c r="H116" s="1563"/>
      <c r="I116" s="3083"/>
      <c r="J116" s="1559"/>
      <c r="K116" s="1559"/>
      <c r="L116" s="3082"/>
      <c r="M116" s="1559"/>
      <c r="N116" s="1559"/>
      <c r="O116" s="1412"/>
      <c r="P116" s="1412"/>
      <c r="Q116" s="1412"/>
      <c r="R116" s="1412"/>
      <c r="S116" s="1412"/>
      <c r="T116" s="1412"/>
      <c r="U116" s="1412"/>
      <c r="V116" s="1412"/>
      <c r="W116" s="1412"/>
      <c r="X116" s="1294"/>
      <c r="Y116" s="1295"/>
      <c r="Z116" s="1292"/>
      <c r="AA116" s="1292"/>
      <c r="AB116" s="1293"/>
      <c r="AC116" s="1544"/>
      <c r="AD116" s="1544"/>
      <c r="AE116" s="1544"/>
      <c r="AF116" s="1544"/>
    </row>
    <row r="117" spans="1:35" s="3056" customFormat="1" ht="18.75" customHeight="1">
      <c r="A117" s="735"/>
      <c r="B117" s="1407"/>
      <c r="C117" s="1303"/>
      <c r="D117" s="1304"/>
      <c r="E117" s="1275"/>
      <c r="F117" s="1304"/>
      <c r="G117" s="1294"/>
      <c r="H117" s="1563"/>
      <c r="I117" s="3081"/>
      <c r="J117" s="1529"/>
      <c r="K117" s="1529"/>
      <c r="L117" s="3080"/>
      <c r="M117" s="1529"/>
      <c r="N117" s="1529"/>
      <c r="O117" s="1403"/>
      <c r="P117" s="1403"/>
      <c r="Q117" s="1403"/>
      <c r="R117" s="1403"/>
      <c r="S117" s="1403"/>
      <c r="T117" s="1403"/>
      <c r="U117" s="1403"/>
      <c r="V117" s="1403"/>
      <c r="W117" s="1403"/>
      <c r="X117" s="1297"/>
      <c r="Y117" s="1295"/>
      <c r="Z117" s="1292"/>
      <c r="AA117" s="1292"/>
      <c r="AB117" s="1293"/>
      <c r="AC117" s="1544"/>
      <c r="AD117" s="1544"/>
      <c r="AE117" s="1544"/>
      <c r="AF117" s="1544"/>
    </row>
    <row r="118" spans="1:35" s="3056" customFormat="1" ht="18.75" customHeight="1">
      <c r="A118" s="735"/>
      <c r="B118" s="1407"/>
      <c r="C118" s="1303"/>
      <c r="D118" s="3122" t="s">
        <v>121</v>
      </c>
      <c r="E118" s="1275" t="s">
        <v>1293</v>
      </c>
      <c r="F118" s="1304"/>
      <c r="G118" s="1294"/>
      <c r="H118" s="1409" t="s">
        <v>170</v>
      </c>
      <c r="I118" s="3066" t="s">
        <v>121</v>
      </c>
      <c r="J118" s="1298" t="s">
        <v>1239</v>
      </c>
      <c r="K118" s="1299"/>
      <c r="L118" s="1300"/>
      <c r="M118" s="3065" t="s">
        <v>121</v>
      </c>
      <c r="N118" s="1298" t="s">
        <v>1240</v>
      </c>
      <c r="O118" s="1307"/>
      <c r="P118" s="1307"/>
      <c r="Q118" s="1307"/>
      <c r="R118" s="1307"/>
      <c r="S118" s="1307"/>
      <c r="T118" s="1307"/>
      <c r="U118" s="1307"/>
      <c r="V118" s="1307"/>
      <c r="W118" s="1307"/>
      <c r="X118" s="1308"/>
      <c r="Y118" s="1295"/>
      <c r="Z118" s="1292"/>
      <c r="AA118" s="1292"/>
      <c r="AB118" s="1293"/>
      <c r="AC118" s="1544"/>
      <c r="AD118" s="1544"/>
      <c r="AE118" s="1544"/>
      <c r="AF118" s="1544"/>
      <c r="AI118" s="3056" t="str">
        <f>"16:timeser_code:" &amp; IF(I118="■",1,IF(M118="■",2,0))</f>
        <v>16:timeser_code:0</v>
      </c>
    </row>
    <row r="119" spans="1:35" s="3056" customFormat="1" ht="18.75" customHeight="1">
      <c r="A119" s="735"/>
      <c r="B119" s="1407"/>
      <c r="C119" s="1303"/>
      <c r="D119" s="3122" t="s">
        <v>121</v>
      </c>
      <c r="E119" s="1275" t="s">
        <v>1294</v>
      </c>
      <c r="F119" s="1304"/>
      <c r="G119" s="1294"/>
      <c r="H119" s="1311" t="s">
        <v>1295</v>
      </c>
      <c r="I119" s="3066" t="s">
        <v>121</v>
      </c>
      <c r="J119" s="1298" t="s">
        <v>1230</v>
      </c>
      <c r="K119" s="1299"/>
      <c r="L119" s="3065" t="s">
        <v>121</v>
      </c>
      <c r="M119" s="1298" t="s">
        <v>1248</v>
      </c>
      <c r="N119" s="1326"/>
      <c r="O119" s="1326"/>
      <c r="P119" s="1326"/>
      <c r="Q119" s="1326"/>
      <c r="R119" s="1326"/>
      <c r="S119" s="1326"/>
      <c r="T119" s="1326"/>
      <c r="U119" s="1326"/>
      <c r="V119" s="1326"/>
      <c r="W119" s="1326"/>
      <c r="X119" s="1327"/>
      <c r="Y119" s="1295"/>
      <c r="Z119" s="1292"/>
      <c r="AA119" s="1292"/>
      <c r="AB119" s="1293"/>
      <c r="AC119" s="1544"/>
      <c r="AD119" s="1544"/>
      <c r="AE119" s="1544"/>
      <c r="AF119" s="1544"/>
      <c r="AI119" s="3056" t="str">
        <f>"16:field188:" &amp; IF(I119="■",1,IF(L119="■",2,0))</f>
        <v>16:field188:0</v>
      </c>
    </row>
    <row r="120" spans="1:35" s="3056" customFormat="1" ht="18.75" customHeight="1">
      <c r="A120" s="735"/>
      <c r="B120" s="1407"/>
      <c r="C120" s="1303"/>
      <c r="D120" s="3122" t="s">
        <v>121</v>
      </c>
      <c r="E120" s="1275" t="s">
        <v>1296</v>
      </c>
      <c r="F120" s="1304"/>
      <c r="G120" s="1294"/>
      <c r="H120" s="1410" t="s">
        <v>1297</v>
      </c>
      <c r="I120" s="3066" t="s">
        <v>121</v>
      </c>
      <c r="J120" s="1298" t="s">
        <v>1230</v>
      </c>
      <c r="K120" s="1298"/>
      <c r="L120" s="3065" t="s">
        <v>121</v>
      </c>
      <c r="M120" s="1298" t="s">
        <v>1256</v>
      </c>
      <c r="N120" s="1298"/>
      <c r="O120" s="3065" t="s">
        <v>121</v>
      </c>
      <c r="P120" s="1298" t="s">
        <v>1257</v>
      </c>
      <c r="Q120" s="1326"/>
      <c r="R120" s="1326"/>
      <c r="S120" s="1326"/>
      <c r="T120" s="1326"/>
      <c r="U120" s="1326"/>
      <c r="V120" s="1326"/>
      <c r="W120" s="1326"/>
      <c r="X120" s="1327"/>
      <c r="Y120" s="1295"/>
      <c r="Z120" s="1292"/>
      <c r="AA120" s="1292"/>
      <c r="AB120" s="1293"/>
      <c r="AC120" s="1544"/>
      <c r="AD120" s="1544"/>
      <c r="AE120" s="1544"/>
      <c r="AF120" s="1544"/>
      <c r="AI120" s="3056" t="str">
        <f>"16:nyukai_code:" &amp; IF(I120="■",1,IF(O120="■",3,IF(L120="■",2,0)))</f>
        <v>16:nyukai_code:0</v>
      </c>
    </row>
    <row r="121" spans="1:35" s="3056" customFormat="1" ht="18.75" customHeight="1">
      <c r="A121" s="735"/>
      <c r="B121" s="1407"/>
      <c r="C121" s="1303"/>
      <c r="D121" s="3122" t="s">
        <v>121</v>
      </c>
      <c r="E121" s="1275" t="s">
        <v>2215</v>
      </c>
      <c r="F121" s="1304"/>
      <c r="G121" s="1294"/>
      <c r="H121" s="1338" t="s">
        <v>1298</v>
      </c>
      <c r="I121" s="3217" t="s">
        <v>121</v>
      </c>
      <c r="J121" s="1339" t="s">
        <v>1230</v>
      </c>
      <c r="K121" s="1339"/>
      <c r="L121" s="1340"/>
      <c r="M121" s="3216" t="s">
        <v>121</v>
      </c>
      <c r="N121" s="1339" t="s">
        <v>2216</v>
      </c>
      <c r="O121" s="1339"/>
      <c r="P121" s="1340"/>
      <c r="Q121" s="3216" t="s">
        <v>121</v>
      </c>
      <c r="R121" s="1342" t="s">
        <v>2217</v>
      </c>
      <c r="S121" s="1342"/>
      <c r="T121" s="1342"/>
      <c r="U121" s="3216" t="s">
        <v>121</v>
      </c>
      <c r="V121" s="1342" t="s">
        <v>1299</v>
      </c>
      <c r="W121" s="1342"/>
      <c r="X121" s="1343"/>
      <c r="Y121" s="1295"/>
      <c r="Z121" s="1292"/>
      <c r="AA121" s="1292"/>
      <c r="AB121" s="1293"/>
      <c r="AC121" s="1544"/>
      <c r="AD121" s="1544"/>
      <c r="AE121" s="1544"/>
      <c r="AF121" s="1544"/>
      <c r="AI121" s="3056" t="str">
        <f>"16:field149:" &amp; IF(I121="■",1,IF(U121="■",8,IF(Q121="■",6,IF(M121="■",3,0))))</f>
        <v>16:field149:0</v>
      </c>
    </row>
    <row r="122" spans="1:35" s="3056" customFormat="1" ht="19.5" customHeight="1">
      <c r="A122" s="3069" t="s">
        <v>121</v>
      </c>
      <c r="B122" s="1407">
        <v>16</v>
      </c>
      <c r="C122" s="1303" t="s">
        <v>410</v>
      </c>
      <c r="D122" s="3122" t="s">
        <v>121</v>
      </c>
      <c r="E122" s="1275" t="s">
        <v>2218</v>
      </c>
      <c r="F122" s="1289"/>
      <c r="G122" s="1305"/>
      <c r="H122" s="1564" t="s">
        <v>1300</v>
      </c>
      <c r="I122" s="3083" t="s">
        <v>121</v>
      </c>
      <c r="J122" s="1559" t="s">
        <v>1230</v>
      </c>
      <c r="K122" s="1559"/>
      <c r="L122" s="3082" t="s">
        <v>121</v>
      </c>
      <c r="M122" s="1559" t="s">
        <v>1248</v>
      </c>
      <c r="N122" s="1559"/>
      <c r="O122" s="1273"/>
      <c r="P122" s="1344"/>
      <c r="Q122" s="1344"/>
      <c r="R122" s="1344"/>
      <c r="S122" s="1412"/>
      <c r="T122" s="1412"/>
      <c r="U122" s="1344"/>
      <c r="V122" s="1344"/>
      <c r="W122" s="1412"/>
      <c r="X122" s="1294"/>
      <c r="Y122" s="1295"/>
      <c r="Z122" s="1292"/>
      <c r="AA122" s="1292"/>
      <c r="AB122" s="1293"/>
      <c r="AC122" s="1544"/>
      <c r="AD122" s="1544"/>
      <c r="AE122" s="1544"/>
      <c r="AF122" s="1544"/>
      <c r="AI122" s="3056" t="str">
        <f>"16:field239:" &amp; IF(I122="■",1,IF(L122="■",2,0))</f>
        <v>16:field239:0</v>
      </c>
    </row>
    <row r="123" spans="1:35" s="3056" customFormat="1" ht="19.5" customHeight="1">
      <c r="A123" s="735"/>
      <c r="B123" s="1407"/>
      <c r="C123" s="1303"/>
      <c r="D123" s="3122" t="s">
        <v>121</v>
      </c>
      <c r="E123" s="1275" t="s">
        <v>2219</v>
      </c>
      <c r="F123" s="1289"/>
      <c r="G123" s="1305"/>
      <c r="H123" s="1540"/>
      <c r="I123" s="3081"/>
      <c r="J123" s="1529"/>
      <c r="K123" s="1529"/>
      <c r="L123" s="3080"/>
      <c r="M123" s="1529"/>
      <c r="N123" s="1529"/>
      <c r="O123" s="1273"/>
      <c r="P123" s="1344"/>
      <c r="Q123" s="1403"/>
      <c r="R123" s="1403"/>
      <c r="S123" s="1412"/>
      <c r="T123" s="1412"/>
      <c r="U123" s="1414"/>
      <c r="V123" s="1403"/>
      <c r="W123" s="1412"/>
      <c r="X123" s="1294"/>
      <c r="Y123" s="1295"/>
      <c r="Z123" s="1292"/>
      <c r="AA123" s="1292"/>
      <c r="AB123" s="1293"/>
      <c r="AC123" s="1544"/>
      <c r="AD123" s="1544"/>
      <c r="AE123" s="1544"/>
      <c r="AF123" s="1544"/>
    </row>
    <row r="124" spans="1:35" s="3056" customFormat="1" ht="18.75" customHeight="1">
      <c r="A124" s="735"/>
      <c r="B124" s="1407"/>
      <c r="C124" s="1303"/>
      <c r="D124" s="3122" t="s">
        <v>121</v>
      </c>
      <c r="E124" s="1275" t="s">
        <v>1301</v>
      </c>
      <c r="F124" s="1304"/>
      <c r="G124" s="1294"/>
      <c r="H124" s="1410" t="s">
        <v>1249</v>
      </c>
      <c r="I124" s="3065" t="s">
        <v>121</v>
      </c>
      <c r="J124" s="1298" t="s">
        <v>1230</v>
      </c>
      <c r="K124" s="1298"/>
      <c r="L124" s="3065" t="s">
        <v>121</v>
      </c>
      <c r="M124" s="1298" t="s">
        <v>1256</v>
      </c>
      <c r="N124" s="1298"/>
      <c r="O124" s="3065" t="s">
        <v>121</v>
      </c>
      <c r="P124" s="1298" t="s">
        <v>1257</v>
      </c>
      <c r="Q124" s="1326"/>
      <c r="R124" s="1326"/>
      <c r="S124" s="1326"/>
      <c r="T124" s="1326"/>
      <c r="U124" s="1326"/>
      <c r="V124" s="1326"/>
      <c r="W124" s="1326"/>
      <c r="X124" s="1327"/>
      <c r="Y124" s="1295"/>
      <c r="Z124" s="1292"/>
      <c r="AA124" s="1292"/>
      <c r="AB124" s="1293"/>
      <c r="AC124" s="1544"/>
      <c r="AD124" s="1544"/>
      <c r="AE124" s="1544"/>
      <c r="AF124" s="1544"/>
      <c r="AI124" s="3056" t="str">
        <f>"16:ninti_riha_code:" &amp; IF(I124="■",1,IF(L124="■",2,IF(O124="■",3,0)))</f>
        <v>16:ninti_riha_code:0</v>
      </c>
    </row>
    <row r="125" spans="1:35" s="3056" customFormat="1" ht="18.75" customHeight="1">
      <c r="A125" s="735"/>
      <c r="B125" s="1407"/>
      <c r="C125" s="1303"/>
      <c r="D125" s="3122" t="s">
        <v>121</v>
      </c>
      <c r="E125" s="1275" t="s">
        <v>1302</v>
      </c>
      <c r="F125" s="1304"/>
      <c r="G125" s="1294"/>
      <c r="H125" s="1410" t="s">
        <v>1303</v>
      </c>
      <c r="I125" s="3066" t="s">
        <v>121</v>
      </c>
      <c r="J125" s="1298" t="s">
        <v>1230</v>
      </c>
      <c r="K125" s="1299"/>
      <c r="L125" s="3065" t="s">
        <v>121</v>
      </c>
      <c r="M125" s="1298" t="s">
        <v>1248</v>
      </c>
      <c r="N125" s="1326"/>
      <c r="O125" s="1326"/>
      <c r="P125" s="1326"/>
      <c r="Q125" s="1326"/>
      <c r="R125" s="1326"/>
      <c r="S125" s="1326"/>
      <c r="T125" s="1326"/>
      <c r="U125" s="1326"/>
      <c r="V125" s="1326"/>
      <c r="W125" s="1326"/>
      <c r="X125" s="1327"/>
      <c r="Y125" s="1295"/>
      <c r="Z125" s="1292"/>
      <c r="AA125" s="1292"/>
      <c r="AB125" s="1293"/>
      <c r="AC125" s="1544"/>
      <c r="AD125" s="1544"/>
      <c r="AE125" s="1544"/>
      <c r="AF125" s="1544"/>
      <c r="AI125" s="3056" t="str">
        <f>"16:field157:" &amp; IF(I125="■",1,IF(L125="■",2,0))</f>
        <v>16:field157:0</v>
      </c>
    </row>
    <row r="126" spans="1:35" s="3056" customFormat="1" ht="18.75" customHeight="1">
      <c r="A126" s="735"/>
      <c r="B126" s="1407"/>
      <c r="C126" s="1303"/>
      <c r="D126" s="3122" t="s">
        <v>121</v>
      </c>
      <c r="E126" s="1275" t="s">
        <v>1304</v>
      </c>
      <c r="F126" s="1304"/>
      <c r="G126" s="1294"/>
      <c r="H126" s="1409" t="s">
        <v>1305</v>
      </c>
      <c r="I126" s="3065" t="s">
        <v>121</v>
      </c>
      <c r="J126" s="1298" t="s">
        <v>1230</v>
      </c>
      <c r="K126" s="1299"/>
      <c r="L126" s="3065" t="s">
        <v>121</v>
      </c>
      <c r="M126" s="1298" t="s">
        <v>1248</v>
      </c>
      <c r="N126" s="1326"/>
      <c r="O126" s="1326"/>
      <c r="P126" s="1326"/>
      <c r="Q126" s="1326"/>
      <c r="R126" s="1326"/>
      <c r="S126" s="1326"/>
      <c r="T126" s="1326"/>
      <c r="U126" s="1326"/>
      <c r="V126" s="1326"/>
      <c r="W126" s="1326"/>
      <c r="X126" s="1327"/>
      <c r="Y126" s="1295"/>
      <c r="Z126" s="1292"/>
      <c r="AA126" s="1292"/>
      <c r="AB126" s="1293"/>
      <c r="AC126" s="1544"/>
      <c r="AD126" s="1544"/>
      <c r="AE126" s="1544"/>
      <c r="AF126" s="1544"/>
      <c r="AI126" s="3056" t="str">
        <f>"16:jyakuninti_uke_code:" &amp; IF(I126="■",1,IF(L126="■",2,0))</f>
        <v>16:jyakuninti_uke_code:0</v>
      </c>
    </row>
    <row r="127" spans="1:35" s="3056" customFormat="1" ht="18.75" customHeight="1">
      <c r="A127" s="735"/>
      <c r="B127" s="1407"/>
      <c r="C127" s="1303"/>
      <c r="D127" s="1304"/>
      <c r="E127" s="1275"/>
      <c r="F127" s="1304"/>
      <c r="G127" s="1294"/>
      <c r="H127" s="1345" t="s">
        <v>1306</v>
      </c>
      <c r="I127" s="3065" t="s">
        <v>121</v>
      </c>
      <c r="J127" s="1298" t="s">
        <v>1230</v>
      </c>
      <c r="K127" s="1299"/>
      <c r="L127" s="3065" t="s">
        <v>121</v>
      </c>
      <c r="M127" s="1298" t="s">
        <v>1248</v>
      </c>
      <c r="N127" s="1326"/>
      <c r="O127" s="1326"/>
      <c r="P127" s="1326"/>
      <c r="Q127" s="1326"/>
      <c r="R127" s="1326"/>
      <c r="S127" s="1326"/>
      <c r="T127" s="1326"/>
      <c r="U127" s="1326"/>
      <c r="V127" s="1326"/>
      <c r="W127" s="1326"/>
      <c r="X127" s="1327"/>
      <c r="Y127" s="1295"/>
      <c r="Z127" s="1292"/>
      <c r="AA127" s="1292"/>
      <c r="AB127" s="1293"/>
      <c r="AC127" s="1544"/>
      <c r="AD127" s="1544"/>
      <c r="AE127" s="1544"/>
      <c r="AF127" s="1544"/>
      <c r="AI127" s="3056" t="str">
        <f>"16:eiyomana_code:" &amp; IF(I127="■",1,IF(L127="■",2,0))</f>
        <v>16:eiyomana_code:0</v>
      </c>
    </row>
    <row r="128" spans="1:35" s="3056" customFormat="1" ht="18.75" customHeight="1">
      <c r="A128" s="735"/>
      <c r="B128" s="1407"/>
      <c r="C128" s="1303"/>
      <c r="D128" s="1304"/>
      <c r="E128" s="1275"/>
      <c r="F128" s="1304"/>
      <c r="G128" s="1294"/>
      <c r="H128" s="1410" t="s">
        <v>1307</v>
      </c>
      <c r="I128" s="3065" t="s">
        <v>121</v>
      </c>
      <c r="J128" s="1298" t="s">
        <v>1230</v>
      </c>
      <c r="K128" s="1299"/>
      <c r="L128" s="3065" t="s">
        <v>121</v>
      </c>
      <c r="M128" s="1298" t="s">
        <v>1248</v>
      </c>
      <c r="N128" s="1326"/>
      <c r="O128" s="1326"/>
      <c r="P128" s="1326"/>
      <c r="Q128" s="1326"/>
      <c r="R128" s="1326"/>
      <c r="S128" s="1326"/>
      <c r="T128" s="1326"/>
      <c r="U128" s="1326"/>
      <c r="V128" s="1326"/>
      <c r="W128" s="1326"/>
      <c r="X128" s="1327"/>
      <c r="Y128" s="1295"/>
      <c r="Z128" s="1292"/>
      <c r="AA128" s="1292"/>
      <c r="AB128" s="1293"/>
      <c r="AC128" s="1544"/>
      <c r="AD128" s="1544"/>
      <c r="AE128" s="1544"/>
      <c r="AF128" s="1544"/>
      <c r="AI128" s="3056" t="str">
        <f>"16:koukoukino_code:" &amp; IF(I128="■",1,IF(L128="■",2,0))</f>
        <v>16:koukoukino_code:0</v>
      </c>
    </row>
    <row r="129" spans="1:37" s="3056" customFormat="1" ht="18.75" customHeight="1">
      <c r="A129" s="735"/>
      <c r="B129" s="1407"/>
      <c r="C129" s="1303"/>
      <c r="D129" s="1304"/>
      <c r="E129" s="1275"/>
      <c r="F129" s="1304"/>
      <c r="G129" s="1294"/>
      <c r="H129" s="1409" t="s">
        <v>1308</v>
      </c>
      <c r="I129" s="3065" t="s">
        <v>121</v>
      </c>
      <c r="J129" s="1298" t="s">
        <v>1230</v>
      </c>
      <c r="K129" s="1299"/>
      <c r="L129" s="3065" t="s">
        <v>121</v>
      </c>
      <c r="M129" s="1298" t="s">
        <v>1248</v>
      </c>
      <c r="N129" s="1326"/>
      <c r="O129" s="1326"/>
      <c r="P129" s="1326"/>
      <c r="Q129" s="1326"/>
      <c r="R129" s="1326"/>
      <c r="S129" s="1326"/>
      <c r="T129" s="1326"/>
      <c r="U129" s="1326"/>
      <c r="V129" s="1326"/>
      <c r="W129" s="1326"/>
      <c r="X129" s="1327"/>
      <c r="Y129" s="1295"/>
      <c r="Z129" s="1292"/>
      <c r="AA129" s="1292"/>
      <c r="AB129" s="1293"/>
      <c r="AC129" s="1544"/>
      <c r="AD129" s="1544"/>
      <c r="AE129" s="1544"/>
      <c r="AF129" s="1544"/>
      <c r="AI129" s="3056" t="str">
        <f>"16:field153:" &amp; IF(I129="■",1,IF(L129="■",2,0))</f>
        <v>16:field153:0</v>
      </c>
    </row>
    <row r="130" spans="1:37" s="3056" customFormat="1" ht="18.75" customHeight="1">
      <c r="A130" s="735"/>
      <c r="B130" s="1407"/>
      <c r="C130" s="1303"/>
      <c r="D130" s="1304"/>
      <c r="E130" s="1275"/>
      <c r="F130" s="1304"/>
      <c r="G130" s="1294"/>
      <c r="H130" s="1410" t="s">
        <v>764</v>
      </c>
      <c r="I130" s="3065" t="s">
        <v>121</v>
      </c>
      <c r="J130" s="1298" t="s">
        <v>1230</v>
      </c>
      <c r="K130" s="1299"/>
      <c r="L130" s="3065" t="s">
        <v>121</v>
      </c>
      <c r="M130" s="1298" t="s">
        <v>1248</v>
      </c>
      <c r="N130" s="1326"/>
      <c r="O130" s="1326"/>
      <c r="P130" s="1326"/>
      <c r="Q130" s="1326"/>
      <c r="R130" s="1326"/>
      <c r="S130" s="1326"/>
      <c r="T130" s="1326"/>
      <c r="U130" s="1326"/>
      <c r="V130" s="1326"/>
      <c r="W130" s="1326"/>
      <c r="X130" s="1327"/>
      <c r="Y130" s="1295"/>
      <c r="Z130" s="1292"/>
      <c r="AA130" s="1292"/>
      <c r="AB130" s="1293"/>
      <c r="AC130" s="1544"/>
      <c r="AD130" s="1544"/>
      <c r="AE130" s="1544"/>
      <c r="AF130" s="1544"/>
      <c r="AI130" s="3056" t="str">
        <f>"16:field212:" &amp; IF(I130="■",1,IF(L130="■",2,0))</f>
        <v>16:field212:0</v>
      </c>
    </row>
    <row r="131" spans="1:37" s="3056" customFormat="1" ht="18.75" customHeight="1">
      <c r="A131" s="735"/>
      <c r="B131" s="1407"/>
      <c r="C131" s="1303"/>
      <c r="D131" s="1304"/>
      <c r="E131" s="1275"/>
      <c r="F131" s="1304"/>
      <c r="G131" s="1294"/>
      <c r="H131" s="1410" t="s">
        <v>1309</v>
      </c>
      <c r="I131" s="3065" t="s">
        <v>121</v>
      </c>
      <c r="J131" s="1298" t="s">
        <v>1230</v>
      </c>
      <c r="K131" s="1299"/>
      <c r="L131" s="3065" t="s">
        <v>121</v>
      </c>
      <c r="M131" s="1298" t="s">
        <v>1248</v>
      </c>
      <c r="N131" s="1326"/>
      <c r="O131" s="1326"/>
      <c r="P131" s="1326"/>
      <c r="Q131" s="1326"/>
      <c r="R131" s="1326"/>
      <c r="S131" s="1326"/>
      <c r="T131" s="1326"/>
      <c r="U131" s="1326"/>
      <c r="V131" s="1326"/>
      <c r="W131" s="1326"/>
      <c r="X131" s="1327"/>
      <c r="Y131" s="1295"/>
      <c r="Z131" s="1292"/>
      <c r="AA131" s="1292"/>
      <c r="AB131" s="1293"/>
      <c r="AC131" s="1544"/>
      <c r="AD131" s="1544"/>
      <c r="AE131" s="1544"/>
      <c r="AF131" s="1544"/>
      <c r="AI131" s="3056" t="str">
        <f>"16:field150:" &amp; IF(I131="■",1,IF(L131="■",2,0))</f>
        <v>16:field150:0</v>
      </c>
    </row>
    <row r="132" spans="1:37" s="3056" customFormat="1" ht="18.75" customHeight="1">
      <c r="A132" s="735"/>
      <c r="B132" s="1407"/>
      <c r="C132" s="1303"/>
      <c r="D132" s="1304"/>
      <c r="E132" s="1275"/>
      <c r="F132" s="1304"/>
      <c r="G132" s="1294"/>
      <c r="H132" s="1409" t="s">
        <v>1266</v>
      </c>
      <c r="I132" s="3065" t="s">
        <v>121</v>
      </c>
      <c r="J132" s="1298" t="s">
        <v>1230</v>
      </c>
      <c r="K132" s="1298"/>
      <c r="L132" s="3065" t="s">
        <v>121</v>
      </c>
      <c r="M132" s="1298" t="s">
        <v>1310</v>
      </c>
      <c r="N132" s="1298"/>
      <c r="O132" s="3065" t="s">
        <v>121</v>
      </c>
      <c r="P132" s="1298" t="s">
        <v>1311</v>
      </c>
      <c r="Q132" s="1298"/>
      <c r="R132" s="3065" t="s">
        <v>121</v>
      </c>
      <c r="S132" s="1298" t="s">
        <v>1312</v>
      </c>
      <c r="T132" s="1326"/>
      <c r="U132" s="1326"/>
      <c r="V132" s="1326"/>
      <c r="W132" s="1326"/>
      <c r="X132" s="1327"/>
      <c r="Y132" s="1295"/>
      <c r="Z132" s="1292"/>
      <c r="AA132" s="1292"/>
      <c r="AB132" s="1293"/>
      <c r="AC132" s="1544"/>
      <c r="AD132" s="1544"/>
      <c r="AE132" s="1544"/>
      <c r="AF132" s="1544"/>
      <c r="AI132" s="3056" t="str">
        <f>"16:serteikyo_kyoka_code:" &amp; IF(I132="■",1,IF(L132="■",5,IF(O132="■",4,IF(R132="■",6,0))))</f>
        <v>16:serteikyo_kyoka_code:0</v>
      </c>
    </row>
    <row r="133" spans="1:37" s="3056" customFormat="1" ht="18.75" customHeight="1">
      <c r="A133" s="736"/>
      <c r="B133" s="1316"/>
      <c r="C133" s="1346"/>
      <c r="D133" s="1348"/>
      <c r="E133" s="1317"/>
      <c r="F133" s="1318"/>
      <c r="G133" s="1361"/>
      <c r="H133" s="3134" t="s">
        <v>2288</v>
      </c>
      <c r="I133" s="3060" t="s">
        <v>121</v>
      </c>
      <c r="J133" s="3130" t="s">
        <v>1230</v>
      </c>
      <c r="K133" s="3130"/>
      <c r="L133" s="3059" t="s">
        <v>121</v>
      </c>
      <c r="M133" s="3130" t="s">
        <v>2287</v>
      </c>
      <c r="N133" s="3133"/>
      <c r="O133" s="3059" t="s">
        <v>121</v>
      </c>
      <c r="P133" s="3132" t="s">
        <v>2286</v>
      </c>
      <c r="Q133" s="3131"/>
      <c r="R133" s="3059" t="s">
        <v>121</v>
      </c>
      <c r="S133" s="3130" t="s">
        <v>2285</v>
      </c>
      <c r="T133" s="3131"/>
      <c r="U133" s="3059" t="s">
        <v>121</v>
      </c>
      <c r="V133" s="3130" t="s">
        <v>2284</v>
      </c>
      <c r="W133" s="3129"/>
      <c r="X133" s="3128"/>
      <c r="Y133" s="1323"/>
      <c r="Z133" s="1323"/>
      <c r="AA133" s="1323"/>
      <c r="AB133" s="1324"/>
      <c r="AC133" s="1558"/>
      <c r="AD133" s="1558"/>
      <c r="AE133" s="1558"/>
      <c r="AF133" s="1558"/>
      <c r="AI133" s="3056" t="str">
        <f>"16:shoguukaizen_code:"&amp;IF(I133="■",1,IF(L133="■",7,IF(O133="■",8,IF(R133="■",9,IF(U133="■","A",0)))))</f>
        <v>16:shoguukaizen_code:0</v>
      </c>
    </row>
    <row r="134" spans="1:37" s="3056" customFormat="1" ht="18.75" hidden="1" customHeight="1">
      <c r="A134" s="1276"/>
      <c r="B134" s="1405"/>
      <c r="C134" s="1333"/>
      <c r="D134" s="1335"/>
      <c r="E134" s="1272"/>
      <c r="F134" s="1279"/>
      <c r="G134" s="1351"/>
      <c r="H134" s="1408" t="s">
        <v>2399</v>
      </c>
      <c r="I134" s="3074" t="s">
        <v>121</v>
      </c>
      <c r="J134" s="1280" t="s">
        <v>1227</v>
      </c>
      <c r="K134" s="1281"/>
      <c r="L134" s="1282"/>
      <c r="M134" s="3073" t="s">
        <v>121</v>
      </c>
      <c r="N134" s="1280" t="s">
        <v>1228</v>
      </c>
      <c r="O134" s="1365"/>
      <c r="P134" s="1365"/>
      <c r="Q134" s="1365"/>
      <c r="R134" s="1365"/>
      <c r="S134" s="1365"/>
      <c r="T134" s="1365"/>
      <c r="U134" s="1365"/>
      <c r="V134" s="1365"/>
      <c r="W134" s="1365"/>
      <c r="X134" s="3215"/>
      <c r="Y134" s="3119" t="s">
        <v>121</v>
      </c>
      <c r="Z134" s="1270" t="s">
        <v>1229</v>
      </c>
      <c r="AA134" s="1270"/>
      <c r="AB134" s="1286"/>
      <c r="AC134" s="3119" t="s">
        <v>121</v>
      </c>
      <c r="AD134" s="1270" t="s">
        <v>1229</v>
      </c>
      <c r="AE134" s="1270"/>
      <c r="AF134" s="1286"/>
      <c r="AG134" s="3056" t="str">
        <f>"ser_code = '" &amp; IF(A149="■",21,"") &amp; "'"</f>
        <v>ser_code = ''</v>
      </c>
      <c r="AI134" s="3056" t="str">
        <f>"21:yakan_kinmu_code:" &amp; IF(I134="■",1,IF(M134="■",6,0))</f>
        <v>21:yakan_kinmu_code:0</v>
      </c>
      <c r="AJ134" s="3056" t="str">
        <f>"21:field203:" &amp; IF(Y134="■",1,IF(Y135="■",2,0))</f>
        <v>21:field203:0</v>
      </c>
      <c r="AK134" s="3056" t="str">
        <f>"21:waribiki_code:" &amp; IF(AC134="■",1,IF(AC135="■",2,0))</f>
        <v>21:waribiki_code:0</v>
      </c>
    </row>
    <row r="135" spans="1:37" s="3056" customFormat="1" ht="18.75" hidden="1" customHeight="1">
      <c r="A135" s="735"/>
      <c r="B135" s="1407"/>
      <c r="C135" s="1303"/>
      <c r="D135" s="1304"/>
      <c r="E135" s="1275"/>
      <c r="F135" s="1289"/>
      <c r="G135" s="1305"/>
      <c r="H135" s="1409" t="s">
        <v>1290</v>
      </c>
      <c r="I135" s="3066" t="s">
        <v>121</v>
      </c>
      <c r="J135" s="1298" t="s">
        <v>1230</v>
      </c>
      <c r="K135" s="1298"/>
      <c r="L135" s="1300"/>
      <c r="M135" s="3065" t="s">
        <v>121</v>
      </c>
      <c r="N135" s="1298" t="s">
        <v>2262</v>
      </c>
      <c r="O135" s="1298"/>
      <c r="P135" s="1300"/>
      <c r="Q135" s="3065" t="s">
        <v>121</v>
      </c>
      <c r="R135" s="1326" t="s">
        <v>2261</v>
      </c>
      <c r="S135" s="1326"/>
      <c r="T135" s="1326"/>
      <c r="U135" s="1326"/>
      <c r="V135" s="1326"/>
      <c r="W135" s="1326"/>
      <c r="X135" s="1327"/>
      <c r="Y135" s="3122" t="s">
        <v>121</v>
      </c>
      <c r="Z135" s="1273" t="s">
        <v>1234</v>
      </c>
      <c r="AA135" s="1292"/>
      <c r="AB135" s="1293"/>
      <c r="AC135" s="3069" t="s">
        <v>121</v>
      </c>
      <c r="AD135" s="1273" t="s">
        <v>1234</v>
      </c>
      <c r="AE135" s="1292"/>
      <c r="AF135" s="1293"/>
      <c r="AG135" s="3056" t="str">
        <f>"21:sisetukbn_code:" &amp; IF(D148="■",1,IF(D149="■",2,IF(D150="■",3,IF(D151="■",4,0))))</f>
        <v>21:sisetukbn_code:0</v>
      </c>
      <c r="AI135" s="3056" t="str">
        <f>"21:"&amp;IF(AND(I135="□",M135="□",Q135="□"),"ketu_kangos_code:0",IF(I135="■","ketu_kangos_code:1:ketu_kshoku_code:1",IF(M135="■","ketu_kangos_code:2","ketu_kangos_code:1")&amp;IF(Q135="■",":ketu_kshoku_code:2",":ketu_kshoku_code:1")))</f>
        <v>21:ketu_kangos_code:0</v>
      </c>
    </row>
    <row r="136" spans="1:37" s="3056" customFormat="1" ht="18.75" hidden="1" customHeight="1">
      <c r="A136" s="735"/>
      <c r="B136" s="1407"/>
      <c r="C136" s="1303"/>
      <c r="D136" s="1304"/>
      <c r="E136" s="1275"/>
      <c r="F136" s="1289"/>
      <c r="G136" s="1305"/>
      <c r="H136" s="1409" t="s">
        <v>91</v>
      </c>
      <c r="I136" s="3066" t="s">
        <v>121</v>
      </c>
      <c r="J136" s="1298" t="s">
        <v>1239</v>
      </c>
      <c r="K136" s="1299"/>
      <c r="L136" s="1300"/>
      <c r="M136" s="3065" t="s">
        <v>121</v>
      </c>
      <c r="N136" s="1298" t="s">
        <v>1240</v>
      </c>
      <c r="O136" s="1307"/>
      <c r="P136" s="1326"/>
      <c r="Q136" s="1326"/>
      <c r="R136" s="1326"/>
      <c r="S136" s="1326"/>
      <c r="T136" s="1326"/>
      <c r="U136" s="1326"/>
      <c r="V136" s="1326"/>
      <c r="W136" s="1326"/>
      <c r="X136" s="1327"/>
      <c r="Y136" s="1295"/>
      <c r="Z136" s="1292"/>
      <c r="AA136" s="1292"/>
      <c r="AB136" s="1293"/>
      <c r="AC136" s="1295"/>
      <c r="AD136" s="1292"/>
      <c r="AE136" s="1292"/>
      <c r="AF136" s="1293"/>
      <c r="AI136" s="3056" t="str">
        <f>"21:unitcare_code:" &amp; IF(I136="■",1,IF(M136="■",2,0))</f>
        <v>21:unitcare_code:0</v>
      </c>
    </row>
    <row r="137" spans="1:37" s="3056" customFormat="1" ht="18.75" hidden="1" customHeight="1">
      <c r="A137" s="735"/>
      <c r="B137" s="1407"/>
      <c r="C137" s="1287"/>
      <c r="D137" s="1288"/>
      <c r="E137" s="1275"/>
      <c r="F137" s="1289"/>
      <c r="G137" s="1305"/>
      <c r="H137" s="3193" t="s">
        <v>1241</v>
      </c>
      <c r="I137" s="3096" t="s">
        <v>121</v>
      </c>
      <c r="J137" s="3091" t="s">
        <v>1242</v>
      </c>
      <c r="K137" s="3095"/>
      <c r="L137" s="3094"/>
      <c r="M137" s="3093" t="s">
        <v>121</v>
      </c>
      <c r="N137" s="3091" t="s">
        <v>1243</v>
      </c>
      <c r="O137" s="3095"/>
      <c r="P137" s="3192"/>
      <c r="Q137" s="3192"/>
      <c r="R137" s="3192"/>
      <c r="S137" s="3192"/>
      <c r="T137" s="3192"/>
      <c r="U137" s="3192"/>
      <c r="V137" s="3192"/>
      <c r="W137" s="3192"/>
      <c r="X137" s="3191"/>
      <c r="Y137" s="1295"/>
      <c r="Z137" s="1292"/>
      <c r="AA137" s="1292"/>
      <c r="AB137" s="1293"/>
      <c r="AC137" s="1295"/>
      <c r="AD137" s="1292"/>
      <c r="AE137" s="1292"/>
      <c r="AF137" s="1293"/>
      <c r="AI137" s="3056" t="str">
        <f>"21:sintaikousoku_code:" &amp; IF(I137="■",1,IF(M137="■",2,0))</f>
        <v>21:sintaikousoku_code:0</v>
      </c>
    </row>
    <row r="138" spans="1:37" s="3056" customFormat="1" ht="19.5" hidden="1" customHeight="1">
      <c r="A138" s="735"/>
      <c r="B138" s="1407"/>
      <c r="C138" s="1303"/>
      <c r="D138" s="1304"/>
      <c r="E138" s="1275"/>
      <c r="F138" s="1289"/>
      <c r="G138" s="1305"/>
      <c r="H138" s="1306" t="s">
        <v>1244</v>
      </c>
      <c r="I138" s="3066" t="s">
        <v>121</v>
      </c>
      <c r="J138" s="1298" t="s">
        <v>1242</v>
      </c>
      <c r="K138" s="1299"/>
      <c r="L138" s="1300"/>
      <c r="M138" s="3065" t="s">
        <v>121</v>
      </c>
      <c r="N138" s="1298" t="s">
        <v>1245</v>
      </c>
      <c r="O138" s="1301"/>
      <c r="P138" s="1298"/>
      <c r="Q138" s="1307"/>
      <c r="R138" s="1307"/>
      <c r="S138" s="1307"/>
      <c r="T138" s="1307"/>
      <c r="U138" s="1307"/>
      <c r="V138" s="1307"/>
      <c r="W138" s="1307"/>
      <c r="X138" s="1308"/>
      <c r="Y138" s="1292"/>
      <c r="Z138" s="1292"/>
      <c r="AA138" s="1292"/>
      <c r="AB138" s="1293"/>
      <c r="AC138" s="1295"/>
      <c r="AD138" s="1292"/>
      <c r="AE138" s="1292"/>
      <c r="AF138" s="1293"/>
      <c r="AI138" s="3056" t="str">
        <f>"21:field223:" &amp; IF(I138="■",1,IF(M138="■",2,0))</f>
        <v>21:field223:0</v>
      </c>
    </row>
    <row r="139" spans="1:37" s="3056" customFormat="1" ht="19.5" hidden="1" customHeight="1">
      <c r="A139" s="735"/>
      <c r="B139" s="1407"/>
      <c r="C139" s="1303"/>
      <c r="D139" s="1304"/>
      <c r="E139" s="1275"/>
      <c r="F139" s="1289"/>
      <c r="G139" s="1305"/>
      <c r="H139" s="1306" t="s">
        <v>1246</v>
      </c>
      <c r="I139" s="3066" t="s">
        <v>121</v>
      </c>
      <c r="J139" s="1298" t="s">
        <v>1242</v>
      </c>
      <c r="K139" s="1299"/>
      <c r="L139" s="1300"/>
      <c r="M139" s="3065" t="s">
        <v>121</v>
      </c>
      <c r="N139" s="1298" t="s">
        <v>1245</v>
      </c>
      <c r="O139" s="1301"/>
      <c r="P139" s="1298"/>
      <c r="Q139" s="1307"/>
      <c r="R139" s="1307"/>
      <c r="S139" s="1307"/>
      <c r="T139" s="1307"/>
      <c r="U139" s="1307"/>
      <c r="V139" s="1307"/>
      <c r="W139" s="1307"/>
      <c r="X139" s="1308"/>
      <c r="Y139" s="1292"/>
      <c r="Z139" s="1292"/>
      <c r="AA139" s="1292"/>
      <c r="AB139" s="1293"/>
      <c r="AC139" s="1295"/>
      <c r="AD139" s="1292"/>
      <c r="AE139" s="1292"/>
      <c r="AF139" s="1293"/>
      <c r="AI139" s="3056" t="str">
        <f>"21:field232:" &amp; IF(I139="■",1,IF(M139="■",2,0))</f>
        <v>21:field232:0</v>
      </c>
    </row>
    <row r="140" spans="1:37" s="3056" customFormat="1" ht="18.75" hidden="1" customHeight="1">
      <c r="A140" s="735"/>
      <c r="B140" s="1407"/>
      <c r="C140" s="1303"/>
      <c r="D140" s="1304"/>
      <c r="E140" s="1275"/>
      <c r="F140" s="1289"/>
      <c r="G140" s="1305"/>
      <c r="H140" s="1539" t="s">
        <v>2457</v>
      </c>
      <c r="I140" s="3162" t="s">
        <v>121</v>
      </c>
      <c r="J140" s="3161" t="s">
        <v>1230</v>
      </c>
      <c r="K140" s="3161"/>
      <c r="L140" s="3160" t="s">
        <v>121</v>
      </c>
      <c r="M140" s="3161" t="s">
        <v>1248</v>
      </c>
      <c r="N140" s="3161"/>
      <c r="O140" s="1290"/>
      <c r="P140" s="1290"/>
      <c r="Q140" s="1290"/>
      <c r="R140" s="1290"/>
      <c r="S140" s="1290"/>
      <c r="T140" s="1290"/>
      <c r="U140" s="1290"/>
      <c r="V140" s="1290"/>
      <c r="W140" s="1290"/>
      <c r="X140" s="1331"/>
      <c r="Y140" s="1295"/>
      <c r="Z140" s="1292"/>
      <c r="AA140" s="1292"/>
      <c r="AB140" s="1293"/>
      <c r="AC140" s="1295"/>
      <c r="AD140" s="1292"/>
      <c r="AE140" s="1292"/>
      <c r="AF140" s="1293"/>
      <c r="AI140" s="3056" t="str">
        <f>"21:field189:" &amp; IF(I140="■",1,IF(L140="■",2,0))</f>
        <v>21:field189:0</v>
      </c>
    </row>
    <row r="141" spans="1:37" s="3056" customFormat="1" ht="18.75" hidden="1" customHeight="1">
      <c r="A141" s="735"/>
      <c r="B141" s="1407"/>
      <c r="C141" s="1303"/>
      <c r="D141" s="1304"/>
      <c r="E141" s="1275"/>
      <c r="F141" s="1289"/>
      <c r="G141" s="1305"/>
      <c r="H141" s="1540"/>
      <c r="I141" s="3162"/>
      <c r="J141" s="3161"/>
      <c r="K141" s="3161"/>
      <c r="L141" s="3160"/>
      <c r="M141" s="3161"/>
      <c r="N141" s="3161"/>
      <c r="O141" s="1296"/>
      <c r="P141" s="1296"/>
      <c r="Q141" s="1296"/>
      <c r="R141" s="1296"/>
      <c r="S141" s="1296"/>
      <c r="T141" s="1296"/>
      <c r="U141" s="1296"/>
      <c r="V141" s="1296"/>
      <c r="W141" s="1296"/>
      <c r="X141" s="1332"/>
      <c r="Y141" s="1295"/>
      <c r="Z141" s="1292"/>
      <c r="AA141" s="1292"/>
      <c r="AB141" s="1293"/>
      <c r="AC141" s="1295"/>
      <c r="AD141" s="1292"/>
      <c r="AE141" s="1292"/>
      <c r="AF141" s="1293"/>
    </row>
    <row r="142" spans="1:37" s="3056" customFormat="1" ht="18.75" hidden="1" customHeight="1">
      <c r="A142" s="735"/>
      <c r="B142" s="1407"/>
      <c r="C142" s="1303"/>
      <c r="D142" s="1304"/>
      <c r="E142" s="1275"/>
      <c r="F142" s="1289"/>
      <c r="G142" s="1305"/>
      <c r="H142" s="1409" t="s">
        <v>2456</v>
      </c>
      <c r="I142" s="3066" t="s">
        <v>121</v>
      </c>
      <c r="J142" s="1298" t="s">
        <v>1230</v>
      </c>
      <c r="K142" s="1299"/>
      <c r="L142" s="3065" t="s">
        <v>121</v>
      </c>
      <c r="M142" s="1298" t="s">
        <v>1248</v>
      </c>
      <c r="N142" s="1326"/>
      <c r="O142" s="1307"/>
      <c r="P142" s="1307"/>
      <c r="Q142" s="1307"/>
      <c r="R142" s="1307"/>
      <c r="S142" s="1307"/>
      <c r="T142" s="1307"/>
      <c r="U142" s="1307"/>
      <c r="V142" s="1307"/>
      <c r="W142" s="1307"/>
      <c r="X142" s="1308"/>
      <c r="Y142" s="1295"/>
      <c r="Z142" s="1292"/>
      <c r="AA142" s="1292"/>
      <c r="AB142" s="1293"/>
      <c r="AC142" s="1295"/>
      <c r="AD142" s="1292"/>
      <c r="AE142" s="1292"/>
      <c r="AF142" s="1293"/>
      <c r="AI142" s="3056" t="str">
        <f>"21:field151:" &amp; IF(I142="■",1,IF(L142="■",2,0))</f>
        <v>21:field151:0</v>
      </c>
    </row>
    <row r="143" spans="1:37" s="3056" customFormat="1" ht="18.75" hidden="1" customHeight="1">
      <c r="A143" s="735"/>
      <c r="B143" s="1407"/>
      <c r="C143" s="1303"/>
      <c r="D143" s="1304"/>
      <c r="E143" s="1275"/>
      <c r="F143" s="1289"/>
      <c r="G143" s="1305"/>
      <c r="H143" s="1410" t="s">
        <v>2352</v>
      </c>
      <c r="I143" s="3066" t="s">
        <v>121</v>
      </c>
      <c r="J143" s="1298" t="s">
        <v>1230</v>
      </c>
      <c r="K143" s="1298"/>
      <c r="L143" s="3065" t="s">
        <v>121</v>
      </c>
      <c r="M143" s="1298" t="s">
        <v>1263</v>
      </c>
      <c r="N143" s="1298"/>
      <c r="O143" s="3065" t="s">
        <v>121</v>
      </c>
      <c r="P143" s="1298" t="s">
        <v>1287</v>
      </c>
      <c r="Q143" s="1326"/>
      <c r="R143" s="1326"/>
      <c r="S143" s="1326"/>
      <c r="T143" s="1326"/>
      <c r="U143" s="1326"/>
      <c r="V143" s="1326"/>
      <c r="W143" s="1326"/>
      <c r="X143" s="1327"/>
      <c r="Y143" s="1295"/>
      <c r="Z143" s="1292"/>
      <c r="AA143" s="1292"/>
      <c r="AB143" s="1293"/>
      <c r="AC143" s="1295"/>
      <c r="AD143" s="1292"/>
      <c r="AE143" s="1292"/>
      <c r="AF143" s="1293"/>
      <c r="AI143" s="3056" t="str">
        <f>"21:field185:" &amp; IF(I143="■",1,IF(L143="■",3,IF(O143="■",2,0)))</f>
        <v>21:field185:0</v>
      </c>
    </row>
    <row r="144" spans="1:37" s="3056" customFormat="1" ht="18.75" hidden="1" customHeight="1">
      <c r="A144" s="735"/>
      <c r="B144" s="1407"/>
      <c r="C144" s="1303"/>
      <c r="D144" s="1304"/>
      <c r="E144" s="1275"/>
      <c r="F144" s="1289"/>
      <c r="G144" s="1305"/>
      <c r="H144" s="1409" t="s">
        <v>2455</v>
      </c>
      <c r="I144" s="3066" t="s">
        <v>121</v>
      </c>
      <c r="J144" s="1298" t="s">
        <v>1230</v>
      </c>
      <c r="K144" s="1299"/>
      <c r="L144" s="3065" t="s">
        <v>121</v>
      </c>
      <c r="M144" s="1298" t="s">
        <v>1248</v>
      </c>
      <c r="N144" s="1326"/>
      <c r="O144" s="1307"/>
      <c r="P144" s="1307"/>
      <c r="Q144" s="1307"/>
      <c r="R144" s="1307"/>
      <c r="S144" s="1307"/>
      <c r="T144" s="1307"/>
      <c r="U144" s="1307"/>
      <c r="V144" s="1307"/>
      <c r="W144" s="1307"/>
      <c r="X144" s="1308"/>
      <c r="Y144" s="1295"/>
      <c r="Z144" s="1292"/>
      <c r="AA144" s="1292"/>
      <c r="AB144" s="1293"/>
      <c r="AC144" s="1295"/>
      <c r="AD144" s="1292"/>
      <c r="AE144" s="1292"/>
      <c r="AF144" s="1293"/>
      <c r="AI144" s="3056" t="str">
        <f>"21:kunren_code:" &amp; IF(I144="■",1,IF(L144="■",2,0))</f>
        <v>21:kunren_code:0</v>
      </c>
    </row>
    <row r="145" spans="1:35" s="3056" customFormat="1" ht="18.75" hidden="1" customHeight="1">
      <c r="A145" s="735"/>
      <c r="B145" s="1407"/>
      <c r="C145" s="1303"/>
      <c r="D145" s="1304"/>
      <c r="E145" s="1275"/>
      <c r="F145" s="1289"/>
      <c r="G145" s="1305"/>
      <c r="H145" s="1410" t="s">
        <v>2454</v>
      </c>
      <c r="I145" s="3066" t="s">
        <v>121</v>
      </c>
      <c r="J145" s="1298" t="s">
        <v>1230</v>
      </c>
      <c r="K145" s="1299"/>
      <c r="L145" s="3065" t="s">
        <v>121</v>
      </c>
      <c r="M145" s="1298" t="s">
        <v>1248</v>
      </c>
      <c r="N145" s="1326"/>
      <c r="O145" s="1307"/>
      <c r="P145" s="1307"/>
      <c r="Q145" s="1307"/>
      <c r="R145" s="1307"/>
      <c r="S145" s="1307"/>
      <c r="T145" s="1307"/>
      <c r="U145" s="1307"/>
      <c r="V145" s="1307"/>
      <c r="W145" s="1307"/>
      <c r="X145" s="1308"/>
      <c r="Y145" s="1295"/>
      <c r="Z145" s="1292"/>
      <c r="AA145" s="1292"/>
      <c r="AB145" s="1293"/>
      <c r="AC145" s="1295"/>
      <c r="AD145" s="1292"/>
      <c r="AE145" s="1292"/>
      <c r="AF145" s="1293"/>
      <c r="AI145" s="3056" t="str">
        <f>"21:kobetu_kunren_code:" &amp; IF(I145="■",1,IF(L145="■",2,0))</f>
        <v>21:kobetu_kunren_code:0</v>
      </c>
    </row>
    <row r="146" spans="1:35" s="3056" customFormat="1" ht="18.75" hidden="1" customHeight="1">
      <c r="A146" s="735"/>
      <c r="B146" s="1407"/>
      <c r="C146" s="1303"/>
      <c r="D146" s="1304"/>
      <c r="E146" s="1275"/>
      <c r="F146" s="1289"/>
      <c r="G146" s="1305"/>
      <c r="H146" s="1409" t="s">
        <v>2453</v>
      </c>
      <c r="I146" s="3066" t="s">
        <v>121</v>
      </c>
      <c r="J146" s="1298" t="s">
        <v>1230</v>
      </c>
      <c r="K146" s="1298"/>
      <c r="L146" s="3065" t="s">
        <v>121</v>
      </c>
      <c r="M146" s="1298" t="s">
        <v>1256</v>
      </c>
      <c r="N146" s="1298"/>
      <c r="O146" s="3065" t="s">
        <v>121</v>
      </c>
      <c r="P146" s="1298" t="s">
        <v>2452</v>
      </c>
      <c r="Q146" s="1326"/>
      <c r="R146" s="1326"/>
      <c r="S146" s="1326"/>
      <c r="T146" s="1326"/>
      <c r="U146" s="1326"/>
      <c r="V146" s="1326"/>
      <c r="W146" s="1326"/>
      <c r="X146" s="1327"/>
      <c r="Y146" s="1295"/>
      <c r="Z146" s="1292"/>
      <c r="AA146" s="1292"/>
      <c r="AB146" s="1293"/>
      <c r="AC146" s="1295"/>
      <c r="AD146" s="1292"/>
      <c r="AE146" s="1292"/>
      <c r="AF146" s="1293"/>
      <c r="AI146" s="3056" t="str">
        <f>"21:field158:" &amp; IF(I146="■",1,IF(O146="■",3,IF(L146="■",2,0)))</f>
        <v>21:field158:0</v>
      </c>
    </row>
    <row r="147" spans="1:35" s="3056" customFormat="1" ht="18.75" hidden="1" customHeight="1">
      <c r="A147" s="735"/>
      <c r="B147" s="1407"/>
      <c r="C147" s="1303"/>
      <c r="D147" s="1304"/>
      <c r="E147" s="1275"/>
      <c r="F147" s="1289"/>
      <c r="G147" s="1305"/>
      <c r="H147" s="1409" t="s">
        <v>2451</v>
      </c>
      <c r="I147" s="3066" t="s">
        <v>121</v>
      </c>
      <c r="J147" s="1298" t="s">
        <v>1230</v>
      </c>
      <c r="K147" s="1298"/>
      <c r="L147" s="3065" t="s">
        <v>121</v>
      </c>
      <c r="M147" s="1298" t="s">
        <v>1287</v>
      </c>
      <c r="N147" s="1298"/>
      <c r="O147" s="3065" t="s">
        <v>121</v>
      </c>
      <c r="P147" s="1298" t="s">
        <v>2450</v>
      </c>
      <c r="Q147" s="1326"/>
      <c r="R147" s="1326"/>
      <c r="S147" s="1326"/>
      <c r="T147" s="1326"/>
      <c r="U147" s="1326"/>
      <c r="V147" s="1326"/>
      <c r="W147" s="1326"/>
      <c r="X147" s="1327"/>
      <c r="Y147" s="1295"/>
      <c r="Z147" s="1292"/>
      <c r="AA147" s="1292"/>
      <c r="AB147" s="1293"/>
      <c r="AC147" s="1295"/>
      <c r="AD147" s="1292"/>
      <c r="AE147" s="1292"/>
      <c r="AF147" s="1293"/>
      <c r="AI147" s="3056" t="str">
        <f>"21:field159:" &amp; IF(I147="■",1,IF(O147="■",3,IF(L147="■",2,0)))</f>
        <v>21:field159:0</v>
      </c>
    </row>
    <row r="148" spans="1:35" s="3056" customFormat="1" ht="18.75" hidden="1" customHeight="1">
      <c r="A148" s="735"/>
      <c r="B148" s="1407"/>
      <c r="C148" s="1303"/>
      <c r="D148" s="3122" t="s">
        <v>121</v>
      </c>
      <c r="E148" s="1275" t="s">
        <v>2449</v>
      </c>
      <c r="F148" s="1289"/>
      <c r="G148" s="1305"/>
      <c r="H148" s="1409" t="s">
        <v>2448</v>
      </c>
      <c r="I148" s="3066" t="s">
        <v>121</v>
      </c>
      <c r="J148" s="1298" t="s">
        <v>1230</v>
      </c>
      <c r="K148" s="1299"/>
      <c r="L148" s="3065" t="s">
        <v>121</v>
      </c>
      <c r="M148" s="1298" t="s">
        <v>1248</v>
      </c>
      <c r="N148" s="1326"/>
      <c r="O148" s="1307"/>
      <c r="P148" s="1307"/>
      <c r="Q148" s="1307"/>
      <c r="R148" s="1307"/>
      <c r="S148" s="1307"/>
      <c r="T148" s="1307"/>
      <c r="U148" s="1307"/>
      <c r="V148" s="1307"/>
      <c r="W148" s="1307"/>
      <c r="X148" s="1308"/>
      <c r="Y148" s="1295"/>
      <c r="Z148" s="1292"/>
      <c r="AA148" s="1292"/>
      <c r="AB148" s="1293"/>
      <c r="AC148" s="1295"/>
      <c r="AD148" s="1292"/>
      <c r="AE148" s="1292"/>
      <c r="AF148" s="1293"/>
      <c r="AI148" s="3056" t="str">
        <f>"21:field160:" &amp; IF(I148="■",1,IF(L148="■",2,0))</f>
        <v>21:field160:0</v>
      </c>
    </row>
    <row r="149" spans="1:35" s="3056" customFormat="1" ht="18.75" hidden="1" customHeight="1">
      <c r="A149" s="3069" t="s">
        <v>121</v>
      </c>
      <c r="B149" s="1407">
        <v>21</v>
      </c>
      <c r="C149" s="1303" t="s">
        <v>2447</v>
      </c>
      <c r="D149" s="3122" t="s">
        <v>121</v>
      </c>
      <c r="E149" s="1275" t="s">
        <v>2446</v>
      </c>
      <c r="F149" s="1289"/>
      <c r="G149" s="1305"/>
      <c r="H149" s="1401" t="s">
        <v>2445</v>
      </c>
      <c r="I149" s="3063" t="s">
        <v>121</v>
      </c>
      <c r="J149" s="1296" t="s">
        <v>1230</v>
      </c>
      <c r="K149" s="1309"/>
      <c r="L149" s="3062" t="s">
        <v>121</v>
      </c>
      <c r="M149" s="1296" t="s">
        <v>1248</v>
      </c>
      <c r="N149" s="1403"/>
      <c r="O149" s="1403"/>
      <c r="P149" s="1403"/>
      <c r="Q149" s="1330"/>
      <c r="R149" s="1330"/>
      <c r="S149" s="1330"/>
      <c r="T149" s="1330"/>
      <c r="U149" s="1330"/>
      <c r="V149" s="1330"/>
      <c r="W149" s="1330"/>
      <c r="X149" s="1356"/>
      <c r="Y149" s="1295"/>
      <c r="Z149" s="1292"/>
      <c r="AA149" s="1292"/>
      <c r="AB149" s="1293"/>
      <c r="AC149" s="1295"/>
      <c r="AD149" s="1292"/>
      <c r="AE149" s="1292"/>
      <c r="AF149" s="1293"/>
      <c r="AI149" s="3056" t="str">
        <f>"21:field171:" &amp; IF(I149="■",1,IF(L149="■",2,0))</f>
        <v>21:field171:0</v>
      </c>
    </row>
    <row r="150" spans="1:35" s="3056" customFormat="1" ht="18.75" hidden="1" customHeight="1">
      <c r="A150" s="735"/>
      <c r="B150" s="1407"/>
      <c r="C150" s="1303"/>
      <c r="D150" s="3122" t="s">
        <v>121</v>
      </c>
      <c r="E150" s="1275" t="s">
        <v>2444</v>
      </c>
      <c r="F150" s="1289"/>
      <c r="G150" s="1305"/>
      <c r="H150" s="1409" t="s">
        <v>140</v>
      </c>
      <c r="I150" s="3066" t="s">
        <v>121</v>
      </c>
      <c r="J150" s="1298" t="s">
        <v>1230</v>
      </c>
      <c r="K150" s="1307"/>
      <c r="L150" s="3065" t="s">
        <v>121</v>
      </c>
      <c r="M150" s="1298" t="s">
        <v>2357</v>
      </c>
      <c r="N150" s="1307"/>
      <c r="O150" s="1307"/>
      <c r="P150" s="1307"/>
      <c r="Q150" s="3065" t="s">
        <v>121</v>
      </c>
      <c r="R150" s="1326" t="s">
        <v>2443</v>
      </c>
      <c r="S150" s="1307"/>
      <c r="T150" s="1307"/>
      <c r="U150" s="1307"/>
      <c r="V150" s="1307"/>
      <c r="W150" s="1307"/>
      <c r="X150" s="1308"/>
      <c r="Y150" s="1295"/>
      <c r="Z150" s="1292"/>
      <c r="AA150" s="1292"/>
      <c r="AB150" s="1293"/>
      <c r="AC150" s="1295"/>
      <c r="AD150" s="1292"/>
      <c r="AE150" s="1292"/>
      <c r="AF150" s="1293"/>
      <c r="AI150" s="3056" t="str">
        <f>"21:yakinhaiti_code:" &amp; IF(I150="■",1,IF(Q150="■",3,IF(L150="■",2,0)))</f>
        <v>21:yakinhaiti_code:0</v>
      </c>
    </row>
    <row r="151" spans="1:35" s="3056" customFormat="1" ht="18.75" hidden="1" customHeight="1">
      <c r="A151" s="735"/>
      <c r="B151" s="1407"/>
      <c r="C151" s="1303"/>
      <c r="D151" s="3122" t="s">
        <v>121</v>
      </c>
      <c r="E151" s="1275" t="s">
        <v>2442</v>
      </c>
      <c r="F151" s="1289"/>
      <c r="G151" s="1305"/>
      <c r="H151" s="1539" t="s">
        <v>2355</v>
      </c>
      <c r="I151" s="3162" t="s">
        <v>121</v>
      </c>
      <c r="J151" s="3161" t="s">
        <v>1230</v>
      </c>
      <c r="K151" s="3161"/>
      <c r="L151" s="3160" t="s">
        <v>121</v>
      </c>
      <c r="M151" s="3161" t="s">
        <v>1248</v>
      </c>
      <c r="N151" s="3161"/>
      <c r="O151" s="1290"/>
      <c r="P151" s="1290"/>
      <c r="Q151" s="1290"/>
      <c r="R151" s="1290"/>
      <c r="S151" s="1290"/>
      <c r="T151" s="1290"/>
      <c r="U151" s="1290"/>
      <c r="V151" s="1290"/>
      <c r="W151" s="1290"/>
      <c r="X151" s="1331"/>
      <c r="Y151" s="1295"/>
      <c r="Z151" s="1292"/>
      <c r="AA151" s="1292"/>
      <c r="AB151" s="1293"/>
      <c r="AC151" s="1295"/>
      <c r="AD151" s="1292"/>
      <c r="AE151" s="1292"/>
      <c r="AF151" s="1293"/>
      <c r="AI151" s="3056" t="str">
        <f>"21:field161:" &amp; IF(I151="■",1,IF(L151="■",2,0))</f>
        <v>21:field161:0</v>
      </c>
    </row>
    <row r="152" spans="1:35" s="3056" customFormat="1" ht="18.75" hidden="1" customHeight="1">
      <c r="A152" s="735"/>
      <c r="B152" s="1407"/>
      <c r="C152" s="1303"/>
      <c r="D152" s="1304"/>
      <c r="E152" s="1275"/>
      <c r="F152" s="1289"/>
      <c r="G152" s="1305"/>
      <c r="H152" s="1540"/>
      <c r="I152" s="3162"/>
      <c r="J152" s="3161"/>
      <c r="K152" s="3161"/>
      <c r="L152" s="3160"/>
      <c r="M152" s="3161"/>
      <c r="N152" s="3161"/>
      <c r="O152" s="1296"/>
      <c r="P152" s="1296"/>
      <c r="Q152" s="1296"/>
      <c r="R152" s="1296"/>
      <c r="S152" s="1296"/>
      <c r="T152" s="1296"/>
      <c r="U152" s="1296"/>
      <c r="V152" s="1296"/>
      <c r="W152" s="1296"/>
      <c r="X152" s="1332"/>
      <c r="Y152" s="1295"/>
      <c r="Z152" s="1292"/>
      <c r="AA152" s="1292"/>
      <c r="AB152" s="1293"/>
      <c r="AC152" s="1295"/>
      <c r="AD152" s="1292"/>
      <c r="AE152" s="1292"/>
      <c r="AF152" s="1293"/>
    </row>
    <row r="153" spans="1:35" s="3056" customFormat="1" ht="18.75" hidden="1" customHeight="1">
      <c r="A153" s="735"/>
      <c r="B153" s="1407"/>
      <c r="C153" s="1303"/>
      <c r="D153" s="1304"/>
      <c r="E153" s="1275"/>
      <c r="F153" s="1289"/>
      <c r="G153" s="1305"/>
      <c r="H153" s="1409" t="s">
        <v>1305</v>
      </c>
      <c r="I153" s="3066" t="s">
        <v>121</v>
      </c>
      <c r="J153" s="1298" t="s">
        <v>1230</v>
      </c>
      <c r="K153" s="1299"/>
      <c r="L153" s="3065" t="s">
        <v>121</v>
      </c>
      <c r="M153" s="1298" t="s">
        <v>1248</v>
      </c>
      <c r="N153" s="1326"/>
      <c r="O153" s="1307"/>
      <c r="P153" s="1307"/>
      <c r="Q153" s="1307"/>
      <c r="R153" s="1307"/>
      <c r="S153" s="1307"/>
      <c r="T153" s="1307"/>
      <c r="U153" s="1307"/>
      <c r="V153" s="1307"/>
      <c r="W153" s="1307"/>
      <c r="X153" s="1308"/>
      <c r="Y153" s="1295"/>
      <c r="Z153" s="1292"/>
      <c r="AA153" s="1292"/>
      <c r="AB153" s="1293"/>
      <c r="AC153" s="1295"/>
      <c r="AD153" s="1292"/>
      <c r="AE153" s="1292"/>
      <c r="AF153" s="1293"/>
      <c r="AI153" s="3056" t="str">
        <f>"21:jyakuninti_uke_code:" &amp; IF(I153="■",1,IF(L153="■",2,0))</f>
        <v>21:jyakuninti_uke_code:0</v>
      </c>
    </row>
    <row r="154" spans="1:35" s="3056" customFormat="1" ht="18.75" hidden="1" customHeight="1">
      <c r="A154" s="735"/>
      <c r="B154" s="1407"/>
      <c r="C154" s="1303"/>
      <c r="D154" s="1304"/>
      <c r="E154" s="1275"/>
      <c r="F154" s="1289"/>
      <c r="G154" s="1305"/>
      <c r="H154" s="1409" t="s">
        <v>1324</v>
      </c>
      <c r="I154" s="3066" t="s">
        <v>121</v>
      </c>
      <c r="J154" s="1298" t="s">
        <v>1239</v>
      </c>
      <c r="K154" s="1299"/>
      <c r="L154" s="1307"/>
      <c r="M154" s="3065" t="s">
        <v>121</v>
      </c>
      <c r="N154" s="1298" t="s">
        <v>1240</v>
      </c>
      <c r="O154" s="1307"/>
      <c r="P154" s="1307"/>
      <c r="Q154" s="1307"/>
      <c r="R154" s="1307"/>
      <c r="S154" s="1307"/>
      <c r="T154" s="1307"/>
      <c r="U154" s="1307"/>
      <c r="V154" s="1307"/>
      <c r="W154" s="1307"/>
      <c r="X154" s="1308"/>
      <c r="Y154" s="1295"/>
      <c r="Z154" s="1292"/>
      <c r="AA154" s="1292"/>
      <c r="AB154" s="1293"/>
      <c r="AC154" s="1295"/>
      <c r="AD154" s="1292"/>
      <c r="AE154" s="1292"/>
      <c r="AF154" s="1293"/>
      <c r="AI154" s="3056" t="str">
        <f>"21:sougei_code:" &amp; IF(I154="■",1,IF(M154="■",2,0))</f>
        <v>21:sougei_code:0</v>
      </c>
    </row>
    <row r="155" spans="1:35" s="3056" customFormat="1" ht="19.5" hidden="1" customHeight="1">
      <c r="A155" s="735"/>
      <c r="B155" s="1407"/>
      <c r="C155" s="1303"/>
      <c r="D155" s="1304"/>
      <c r="E155" s="1275"/>
      <c r="F155" s="1289"/>
      <c r="G155" s="1305"/>
      <c r="H155" s="1306" t="s">
        <v>1325</v>
      </c>
      <c r="I155" s="3066" t="s">
        <v>121</v>
      </c>
      <c r="J155" s="1298" t="s">
        <v>1230</v>
      </c>
      <c r="K155" s="1298"/>
      <c r="L155" s="3065" t="s">
        <v>121</v>
      </c>
      <c r="M155" s="1298" t="s">
        <v>1248</v>
      </c>
      <c r="N155" s="1298"/>
      <c r="O155" s="1307"/>
      <c r="P155" s="1298"/>
      <c r="Q155" s="1307"/>
      <c r="R155" s="1307"/>
      <c r="S155" s="1307"/>
      <c r="T155" s="1307"/>
      <c r="U155" s="1307"/>
      <c r="V155" s="1307"/>
      <c r="W155" s="1307"/>
      <c r="X155" s="1308"/>
      <c r="Y155" s="1292"/>
      <c r="Z155" s="1292"/>
      <c r="AA155" s="1292"/>
      <c r="AB155" s="1293"/>
      <c r="AC155" s="1295"/>
      <c r="AD155" s="1292"/>
      <c r="AE155" s="1292"/>
      <c r="AF155" s="1293"/>
      <c r="AI155" s="3056" t="str">
        <f>"21:field224:" &amp; IF(I155="■",1,IF(L155="■",2,0))</f>
        <v>21:field224:0</v>
      </c>
    </row>
    <row r="156" spans="1:35" s="3056" customFormat="1" ht="18.75" hidden="1" customHeight="1">
      <c r="A156" s="735"/>
      <c r="B156" s="1407"/>
      <c r="C156" s="1303"/>
      <c r="D156" s="1304"/>
      <c r="E156" s="1275"/>
      <c r="F156" s="1289"/>
      <c r="G156" s="1305"/>
      <c r="H156" s="1409" t="s">
        <v>145</v>
      </c>
      <c r="I156" s="3066" t="s">
        <v>121</v>
      </c>
      <c r="J156" s="1298" t="s">
        <v>1230</v>
      </c>
      <c r="K156" s="1299"/>
      <c r="L156" s="3065" t="s">
        <v>121</v>
      </c>
      <c r="M156" s="1298" t="s">
        <v>1248</v>
      </c>
      <c r="N156" s="1326"/>
      <c r="O156" s="1307"/>
      <c r="P156" s="1307"/>
      <c r="Q156" s="1307"/>
      <c r="R156" s="1307"/>
      <c r="S156" s="1307"/>
      <c r="T156" s="1307"/>
      <c r="U156" s="1307"/>
      <c r="V156" s="1307"/>
      <c r="W156" s="1307"/>
      <c r="X156" s="1308"/>
      <c r="Y156" s="1295"/>
      <c r="Z156" s="1292"/>
      <c r="AA156" s="1292"/>
      <c r="AB156" s="1293"/>
      <c r="AC156" s="1295"/>
      <c r="AD156" s="1292"/>
      <c r="AE156" s="1292"/>
      <c r="AF156" s="1293"/>
      <c r="AI156" s="3056" t="str">
        <f>"21:ryouyoushoku_code:" &amp; IF(I156="■",1,IF(L156="■",2,0))</f>
        <v>21:ryouyoushoku_code:0</v>
      </c>
    </row>
    <row r="157" spans="1:35" s="3056" customFormat="1" ht="18.75" hidden="1" customHeight="1">
      <c r="A157" s="735"/>
      <c r="B157" s="1407"/>
      <c r="C157" s="1303"/>
      <c r="D157" s="1304"/>
      <c r="E157" s="1275"/>
      <c r="F157" s="1289"/>
      <c r="G157" s="1305"/>
      <c r="H157" s="3112" t="s">
        <v>1260</v>
      </c>
      <c r="I157" s="3066" t="s">
        <v>121</v>
      </c>
      <c r="J157" s="1298" t="s">
        <v>1230</v>
      </c>
      <c r="K157" s="1298"/>
      <c r="L157" s="3065" t="s">
        <v>121</v>
      </c>
      <c r="M157" s="1298" t="s">
        <v>1256</v>
      </c>
      <c r="N157" s="1298"/>
      <c r="O157" s="3065" t="s">
        <v>121</v>
      </c>
      <c r="P157" s="1298" t="s">
        <v>1257</v>
      </c>
      <c r="Q157" s="1307"/>
      <c r="R157" s="1307"/>
      <c r="S157" s="1307"/>
      <c r="T157" s="1307"/>
      <c r="U157" s="1307"/>
      <c r="V157" s="1307"/>
      <c r="W157" s="1307"/>
      <c r="X157" s="1308"/>
      <c r="Y157" s="1295"/>
      <c r="Z157" s="1292"/>
      <c r="AA157" s="1292"/>
      <c r="AB157" s="1293"/>
      <c r="AC157" s="1295"/>
      <c r="AD157" s="1292"/>
      <c r="AE157" s="1292"/>
      <c r="AF157" s="1293"/>
      <c r="AI157" s="3056" t="str">
        <f>"21:ninti_senmoncare_code:" &amp; IF(I157="■",1,IF(O157="■",3,IF(L157="■",2,0)))</f>
        <v>21:ninti_senmoncare_code:0</v>
      </c>
    </row>
    <row r="158" spans="1:35" s="3056" customFormat="1" ht="18.75" hidden="1" customHeight="1">
      <c r="A158" s="735"/>
      <c r="B158" s="1407"/>
      <c r="C158" s="1303"/>
      <c r="D158" s="1304"/>
      <c r="E158" s="1275"/>
      <c r="F158" s="1289"/>
      <c r="G158" s="1305"/>
      <c r="H158" s="1313" t="s">
        <v>1265</v>
      </c>
      <c r="I158" s="3066" t="s">
        <v>121</v>
      </c>
      <c r="J158" s="1298" t="s">
        <v>1230</v>
      </c>
      <c r="K158" s="1298"/>
      <c r="L158" s="3065" t="s">
        <v>121</v>
      </c>
      <c r="M158" s="1298" t="s">
        <v>1256</v>
      </c>
      <c r="N158" s="1298"/>
      <c r="O158" s="3065" t="s">
        <v>121</v>
      </c>
      <c r="P158" s="1298" t="s">
        <v>1257</v>
      </c>
      <c r="Q158" s="1307"/>
      <c r="R158" s="1307"/>
      <c r="S158" s="1307"/>
      <c r="T158" s="1307"/>
      <c r="U158" s="1314"/>
      <c r="V158" s="1314"/>
      <c r="W158" s="1314"/>
      <c r="X158" s="1315"/>
      <c r="Y158" s="1295"/>
      <c r="Z158" s="1292"/>
      <c r="AA158" s="1292"/>
      <c r="AB158" s="1293"/>
      <c r="AC158" s="1295"/>
      <c r="AD158" s="1292"/>
      <c r="AE158" s="1292"/>
      <c r="AF158" s="1293"/>
      <c r="AI158" s="3056" t="str">
        <f>"21:field225:" &amp; IF(I158="■",1,IF(L158="■",2,IF(O158="■",3,0)))</f>
        <v>21:field225:0</v>
      </c>
    </row>
    <row r="159" spans="1:35" s="3056" customFormat="1" ht="18.75" hidden="1" customHeight="1">
      <c r="A159" s="735"/>
      <c r="B159" s="1407"/>
      <c r="C159" s="1303"/>
      <c r="D159" s="1304"/>
      <c r="E159" s="1275"/>
      <c r="F159" s="1289"/>
      <c r="G159" s="1305"/>
      <c r="H159" s="1539" t="s">
        <v>2441</v>
      </c>
      <c r="I159" s="3162" t="s">
        <v>121</v>
      </c>
      <c r="J159" s="3161" t="s">
        <v>1230</v>
      </c>
      <c r="K159" s="3161"/>
      <c r="L159" s="3160" t="s">
        <v>121</v>
      </c>
      <c r="M159" s="3161" t="s">
        <v>2439</v>
      </c>
      <c r="N159" s="3161"/>
      <c r="O159" s="3160" t="s">
        <v>121</v>
      </c>
      <c r="P159" s="3161" t="s">
        <v>2438</v>
      </c>
      <c r="Q159" s="3161"/>
      <c r="R159" s="3160" t="s">
        <v>121</v>
      </c>
      <c r="S159" s="3161" t="s">
        <v>2437</v>
      </c>
      <c r="T159" s="3161"/>
      <c r="U159" s="1290"/>
      <c r="V159" s="1290"/>
      <c r="W159" s="1290"/>
      <c r="X159" s="1331"/>
      <c r="Y159" s="1295"/>
      <c r="Z159" s="1292"/>
      <c r="AA159" s="1292"/>
      <c r="AB159" s="1293"/>
      <c r="AC159" s="1295"/>
      <c r="AD159" s="1292"/>
      <c r="AE159" s="1292"/>
      <c r="AF159" s="1293"/>
      <c r="AI159" s="3056" t="str">
        <f>"21:serteikyo_kyoka_code:" &amp; IF(I159="■",1,IF(L159="■",6,IF(O159="■",5,IF(R159="■",7,0))))</f>
        <v>21:serteikyo_kyoka_code:0</v>
      </c>
    </row>
    <row r="160" spans="1:35" s="3056" customFormat="1" ht="18.75" hidden="1" customHeight="1">
      <c r="A160" s="735"/>
      <c r="B160" s="1407"/>
      <c r="C160" s="1303"/>
      <c r="D160" s="1304"/>
      <c r="E160" s="1275"/>
      <c r="F160" s="1289"/>
      <c r="G160" s="1305"/>
      <c r="H160" s="1540"/>
      <c r="I160" s="3162"/>
      <c r="J160" s="3161"/>
      <c r="K160" s="3161"/>
      <c r="L160" s="3160"/>
      <c r="M160" s="3161"/>
      <c r="N160" s="3161"/>
      <c r="O160" s="3160"/>
      <c r="P160" s="3161"/>
      <c r="Q160" s="3161"/>
      <c r="R160" s="3160"/>
      <c r="S160" s="3161"/>
      <c r="T160" s="3161"/>
      <c r="U160" s="1296"/>
      <c r="V160" s="1296"/>
      <c r="W160" s="1296"/>
      <c r="X160" s="1332"/>
      <c r="Y160" s="1295"/>
      <c r="Z160" s="1292"/>
      <c r="AA160" s="1292"/>
      <c r="AB160" s="1293"/>
      <c r="AC160" s="1295"/>
      <c r="AD160" s="1292"/>
      <c r="AE160" s="1292"/>
      <c r="AF160" s="1293"/>
    </row>
    <row r="161" spans="1:36" s="3056" customFormat="1" ht="18.75" hidden="1" customHeight="1">
      <c r="A161" s="735"/>
      <c r="B161" s="1407"/>
      <c r="C161" s="1303"/>
      <c r="D161" s="1304"/>
      <c r="E161" s="1275"/>
      <c r="F161" s="1289"/>
      <c r="G161" s="1305"/>
      <c r="H161" s="1539" t="s">
        <v>2440</v>
      </c>
      <c r="I161" s="3162" t="s">
        <v>121</v>
      </c>
      <c r="J161" s="3161" t="s">
        <v>1230</v>
      </c>
      <c r="K161" s="3161"/>
      <c r="L161" s="3160" t="s">
        <v>121</v>
      </c>
      <c r="M161" s="3161" t="s">
        <v>2439</v>
      </c>
      <c r="N161" s="3161"/>
      <c r="O161" s="3160" t="s">
        <v>121</v>
      </c>
      <c r="P161" s="3161" t="s">
        <v>2438</v>
      </c>
      <c r="Q161" s="3161"/>
      <c r="R161" s="3160" t="s">
        <v>121</v>
      </c>
      <c r="S161" s="3161" t="s">
        <v>2437</v>
      </c>
      <c r="T161" s="3161"/>
      <c r="U161" s="1290"/>
      <c r="V161" s="1290"/>
      <c r="W161" s="1290"/>
      <c r="X161" s="1331"/>
      <c r="Y161" s="1295"/>
      <c r="Z161" s="1292"/>
      <c r="AA161" s="1292"/>
      <c r="AB161" s="1293"/>
      <c r="AC161" s="1295"/>
      <c r="AD161" s="1292"/>
      <c r="AE161" s="1292"/>
      <c r="AF161" s="1293"/>
      <c r="AI161" s="3056" t="str">
        <f>"21:serteikyo_kyoka_kuushou_code:" &amp; IF(I161="■",1,IF(L161="■",6,IF(O161="■",5,IF(R161="■",7,0))))</f>
        <v>21:serteikyo_kyoka_kuushou_code:0</v>
      </c>
    </row>
    <row r="162" spans="1:36" s="3056" customFormat="1" ht="18.75" hidden="1" customHeight="1">
      <c r="A162" s="735"/>
      <c r="B162" s="1407"/>
      <c r="C162" s="1303"/>
      <c r="D162" s="1304"/>
      <c r="E162" s="1275"/>
      <c r="F162" s="1289"/>
      <c r="G162" s="1305"/>
      <c r="H162" s="1540"/>
      <c r="I162" s="3162"/>
      <c r="J162" s="3161"/>
      <c r="K162" s="3161"/>
      <c r="L162" s="3160"/>
      <c r="M162" s="3161"/>
      <c r="N162" s="3161"/>
      <c r="O162" s="3160"/>
      <c r="P162" s="3161"/>
      <c r="Q162" s="3161"/>
      <c r="R162" s="3160"/>
      <c r="S162" s="3161"/>
      <c r="T162" s="3161"/>
      <c r="U162" s="1296"/>
      <c r="V162" s="1296"/>
      <c r="W162" s="1296"/>
      <c r="X162" s="1332"/>
      <c r="Y162" s="1295"/>
      <c r="Z162" s="1292"/>
      <c r="AA162" s="1292"/>
      <c r="AB162" s="1293"/>
      <c r="AC162" s="1295"/>
      <c r="AD162" s="1292"/>
      <c r="AE162" s="1292"/>
      <c r="AF162" s="1293"/>
    </row>
    <row r="163" spans="1:36" s="3056" customFormat="1" ht="18.75" hidden="1" customHeight="1">
      <c r="A163" s="735"/>
      <c r="B163" s="1407"/>
      <c r="C163" s="1303"/>
      <c r="D163" s="1304"/>
      <c r="E163" s="1275"/>
      <c r="F163" s="1289"/>
      <c r="G163" s="1305"/>
      <c r="H163" s="1539" t="s">
        <v>2390</v>
      </c>
      <c r="I163" s="3162" t="s">
        <v>121</v>
      </c>
      <c r="J163" s="3161" t="s">
        <v>1230</v>
      </c>
      <c r="K163" s="3161"/>
      <c r="L163" s="3160" t="s">
        <v>121</v>
      </c>
      <c r="M163" s="3161" t="s">
        <v>1248</v>
      </c>
      <c r="N163" s="3161"/>
      <c r="O163" s="1290"/>
      <c r="P163" s="1290"/>
      <c r="Q163" s="1290"/>
      <c r="R163" s="1290"/>
      <c r="S163" s="1290"/>
      <c r="T163" s="1290"/>
      <c r="U163" s="1290"/>
      <c r="V163" s="1290"/>
      <c r="W163" s="1290"/>
      <c r="X163" s="1331"/>
      <c r="Y163" s="1295"/>
      <c r="Z163" s="1292"/>
      <c r="AA163" s="1292"/>
      <c r="AB163" s="1293"/>
      <c r="AC163" s="1295"/>
      <c r="AD163" s="1292"/>
      <c r="AE163" s="1292"/>
      <c r="AF163" s="1293"/>
      <c r="AI163" s="3056" t="str">
        <f>"21:field221:" &amp; IF(I163="■",1,IF(L163="■",2,0))</f>
        <v>21:field221:0</v>
      </c>
    </row>
    <row r="164" spans="1:36" s="3056" customFormat="1" ht="18.75" hidden="1" customHeight="1">
      <c r="A164" s="735"/>
      <c r="B164" s="1407"/>
      <c r="C164" s="1303"/>
      <c r="D164" s="1304"/>
      <c r="E164" s="1275"/>
      <c r="F164" s="1289"/>
      <c r="G164" s="1305"/>
      <c r="H164" s="1540"/>
      <c r="I164" s="3162"/>
      <c r="J164" s="3161"/>
      <c r="K164" s="3161"/>
      <c r="L164" s="3160"/>
      <c r="M164" s="3161"/>
      <c r="N164" s="3161"/>
      <c r="O164" s="1296"/>
      <c r="P164" s="1296"/>
      <c r="Q164" s="1296"/>
      <c r="R164" s="1296"/>
      <c r="S164" s="1296"/>
      <c r="T164" s="1296"/>
      <c r="U164" s="1296"/>
      <c r="V164" s="1296"/>
      <c r="W164" s="1296"/>
      <c r="X164" s="1332"/>
      <c r="Y164" s="1295"/>
      <c r="Z164" s="1292"/>
      <c r="AA164" s="1292"/>
      <c r="AB164" s="1293"/>
      <c r="AC164" s="1295"/>
      <c r="AD164" s="1292"/>
      <c r="AE164" s="1292"/>
      <c r="AF164" s="1293"/>
    </row>
    <row r="165" spans="1:36" s="3056" customFormat="1" ht="18.75" hidden="1" customHeight="1">
      <c r="A165" s="736"/>
      <c r="B165" s="1316"/>
      <c r="C165" s="1346"/>
      <c r="D165" s="1348"/>
      <c r="E165" s="1317"/>
      <c r="F165" s="1318"/>
      <c r="G165" s="1361"/>
      <c r="H165" s="3134" t="s">
        <v>2288</v>
      </c>
      <c r="I165" s="3060" t="s">
        <v>121</v>
      </c>
      <c r="J165" s="3130" t="s">
        <v>1230</v>
      </c>
      <c r="K165" s="3130"/>
      <c r="L165" s="3059" t="s">
        <v>121</v>
      </c>
      <c r="M165" s="3130" t="s">
        <v>2287</v>
      </c>
      <c r="N165" s="3133"/>
      <c r="O165" s="3059" t="s">
        <v>121</v>
      </c>
      <c r="P165" s="3132" t="s">
        <v>2286</v>
      </c>
      <c r="Q165" s="3131"/>
      <c r="R165" s="3059" t="s">
        <v>121</v>
      </c>
      <c r="S165" s="3130" t="s">
        <v>2285</v>
      </c>
      <c r="T165" s="3131"/>
      <c r="U165" s="3059" t="s">
        <v>121</v>
      </c>
      <c r="V165" s="3130" t="s">
        <v>2284</v>
      </c>
      <c r="W165" s="3129"/>
      <c r="X165" s="3128"/>
      <c r="Y165" s="1323"/>
      <c r="Z165" s="1323"/>
      <c r="AA165" s="1323"/>
      <c r="AB165" s="1324"/>
      <c r="AC165" s="1322"/>
      <c r="AD165" s="1323"/>
      <c r="AE165" s="1323"/>
      <c r="AF165" s="1324"/>
      <c r="AI165" s="3056" t="str">
        <f>"21:shoguukaizen_code:"&amp;IF(I165="■",1,IF(L165="■",7,IF(O165="■",8,IF(R165="■",9,IF(U165="■","A",0)))))</f>
        <v>21:shoguukaizen_code:0</v>
      </c>
    </row>
    <row r="166" spans="1:36" s="3056" customFormat="1" ht="18.75" customHeight="1">
      <c r="A166" s="1276"/>
      <c r="B166" s="1405"/>
      <c r="C166" s="1333"/>
      <c r="D166" s="1335"/>
      <c r="E166" s="1272"/>
      <c r="F166" s="1279"/>
      <c r="G166" s="1272"/>
      <c r="H166" s="1362" t="s">
        <v>1226</v>
      </c>
      <c r="I166" s="3074" t="s">
        <v>121</v>
      </c>
      <c r="J166" s="1280" t="s">
        <v>1227</v>
      </c>
      <c r="K166" s="1281"/>
      <c r="L166" s="1282"/>
      <c r="M166" s="3073" t="s">
        <v>121</v>
      </c>
      <c r="N166" s="1280" t="s">
        <v>1228</v>
      </c>
      <c r="O166" s="1284"/>
      <c r="P166" s="1284"/>
      <c r="Q166" s="1284"/>
      <c r="R166" s="1284"/>
      <c r="S166" s="1284"/>
      <c r="T166" s="1284"/>
      <c r="U166" s="1284"/>
      <c r="V166" s="1284"/>
      <c r="W166" s="1284"/>
      <c r="X166" s="1325"/>
      <c r="Y166" s="3119" t="s">
        <v>121</v>
      </c>
      <c r="Z166" s="1270" t="s">
        <v>1229</v>
      </c>
      <c r="AA166" s="1270"/>
      <c r="AB166" s="1286"/>
      <c r="AC166" s="1543"/>
      <c r="AD166" s="1543"/>
      <c r="AE166" s="1543"/>
      <c r="AF166" s="1543"/>
      <c r="AG166" s="3056" t="str">
        <f>"ser_code = '" &amp; IF(A176="■",22,"") &amp; "'"</f>
        <v>ser_code = ''</v>
      </c>
      <c r="AH166" s="3056" t="str">
        <f>"22:jininkbn_code:" &amp; IF(F176="■",1,IF(F177="■",2,0))</f>
        <v>22:jininkbn_code:0</v>
      </c>
      <c r="AI166" s="3056" t="str">
        <f>"22:yakan_kinmu_code:" &amp; IF(I166="■",1,IF(M166="■",6,0))</f>
        <v>22:yakan_kinmu_code:0</v>
      </c>
      <c r="AJ166" s="3056" t="str">
        <f>"22:field203:" &amp; IF(Y166="■",1,IF(Y167="■",2,0))</f>
        <v>22:field203:0</v>
      </c>
    </row>
    <row r="167" spans="1:36" s="3056" customFormat="1" ht="18.75" customHeight="1">
      <c r="A167" s="735"/>
      <c r="B167" s="1407"/>
      <c r="C167" s="1303"/>
      <c r="D167" s="1304"/>
      <c r="E167" s="1275"/>
      <c r="F167" s="1289"/>
      <c r="G167" s="1275"/>
      <c r="H167" s="1547" t="s">
        <v>90</v>
      </c>
      <c r="I167" s="3137" t="s">
        <v>121</v>
      </c>
      <c r="J167" s="1290" t="s">
        <v>1230</v>
      </c>
      <c r="K167" s="1290"/>
      <c r="L167" s="1329"/>
      <c r="M167" s="3136" t="s">
        <v>121</v>
      </c>
      <c r="N167" s="1290" t="s">
        <v>1231</v>
      </c>
      <c r="O167" s="1290"/>
      <c r="P167" s="1329"/>
      <c r="Q167" s="3136" t="s">
        <v>121</v>
      </c>
      <c r="R167" s="1402" t="s">
        <v>1232</v>
      </c>
      <c r="S167" s="1402"/>
      <c r="T167" s="1402"/>
      <c r="U167" s="3136" t="s">
        <v>121</v>
      </c>
      <c r="V167" s="1402" t="s">
        <v>1233</v>
      </c>
      <c r="W167" s="1402"/>
      <c r="X167" s="1291"/>
      <c r="Y167" s="3122" t="s">
        <v>121</v>
      </c>
      <c r="Z167" s="1273" t="s">
        <v>1234</v>
      </c>
      <c r="AA167" s="1292"/>
      <c r="AB167" s="1293"/>
      <c r="AC167" s="1544"/>
      <c r="AD167" s="1544"/>
      <c r="AE167" s="1544"/>
      <c r="AF167" s="1544"/>
      <c r="AG167" s="3056" t="str">
        <f>"22:sisetukbn_code:" &amp; IF(D176="■",1,0)</f>
        <v>22:sisetukbn_code:0</v>
      </c>
      <c r="AI167" s="3056" t="str">
        <f>"22:"&amp;IF(AND(I167="□",M167="□",Q167="□",U167="□",I168="□",M168="□",Q168="□"),"ketu_doctor_code:0",IF(I167="■","ketu_doctor_code:1:ketu_kangos_code:1:ketu_kshoku_code:1:ketu_rryoho_code:1:ketu_sryoho_code:1:ketu_gengo_code:1",
IF(M167="■","ketu_doctor_code:2","ketu_doctor_code:1")
&amp;IF(Q167="■",":ketu_kangos_code:2",":ketu_kangos_code:1")
&amp;IF(U167="■",":ketu_kshoku_code:2",":ketu_kshoku_code:1")
&amp;IF(I168="■",":ketu_rryoho_code:2",":ketu_rryoho_code:1")
&amp;IF(M168="■",":ketu_sryoho_code:2",":ketu_sryoho_code:1")
&amp;IF(Q168="■",":ketu_gengo_code:2",":ketu_gengo_code:1")))</f>
        <v>22:ketu_doctor_code:0</v>
      </c>
    </row>
    <row r="168" spans="1:36" s="3056" customFormat="1" ht="18.75" customHeight="1">
      <c r="A168" s="735"/>
      <c r="B168" s="1407"/>
      <c r="C168" s="1303"/>
      <c r="D168" s="1304"/>
      <c r="E168" s="1275"/>
      <c r="F168" s="1289"/>
      <c r="G168" s="1275"/>
      <c r="H168" s="1548"/>
      <c r="I168" s="3063" t="s">
        <v>121</v>
      </c>
      <c r="J168" s="1296" t="s">
        <v>1235</v>
      </c>
      <c r="K168" s="1296"/>
      <c r="L168" s="1355"/>
      <c r="M168" s="3062" t="s">
        <v>121</v>
      </c>
      <c r="N168" s="1296" t="s">
        <v>1236</v>
      </c>
      <c r="O168" s="1296"/>
      <c r="P168" s="1355"/>
      <c r="Q168" s="3062" t="s">
        <v>121</v>
      </c>
      <c r="R168" s="1403" t="s">
        <v>1291</v>
      </c>
      <c r="S168" s="1403"/>
      <c r="T168" s="1403"/>
      <c r="U168" s="1403"/>
      <c r="V168" s="1403"/>
      <c r="W168" s="1403"/>
      <c r="X168" s="1297"/>
      <c r="Y168" s="1292"/>
      <c r="Z168" s="1292"/>
      <c r="AA168" s="1292"/>
      <c r="AB168" s="1293"/>
      <c r="AC168" s="1544"/>
      <c r="AD168" s="1544"/>
      <c r="AE168" s="1544"/>
      <c r="AF168" s="1544"/>
    </row>
    <row r="169" spans="1:36" s="3056" customFormat="1" ht="18.75" customHeight="1">
      <c r="A169" s="735"/>
      <c r="B169" s="1407"/>
      <c r="C169" s="1303"/>
      <c r="D169" s="1304"/>
      <c r="E169" s="1275"/>
      <c r="F169" s="1289"/>
      <c r="G169" s="1275"/>
      <c r="H169" s="1363" t="s">
        <v>91</v>
      </c>
      <c r="I169" s="3066" t="s">
        <v>121</v>
      </c>
      <c r="J169" s="1298" t="s">
        <v>1239</v>
      </c>
      <c r="K169" s="1299"/>
      <c r="L169" s="1300"/>
      <c r="M169" s="3065" t="s">
        <v>121</v>
      </c>
      <c r="N169" s="1298" t="s">
        <v>1240</v>
      </c>
      <c r="O169" s="1307"/>
      <c r="P169" s="1307"/>
      <c r="Q169" s="1307"/>
      <c r="R169" s="1307"/>
      <c r="S169" s="1307"/>
      <c r="T169" s="1307"/>
      <c r="U169" s="1307"/>
      <c r="V169" s="1307"/>
      <c r="W169" s="1307"/>
      <c r="X169" s="1308"/>
      <c r="Y169" s="1292"/>
      <c r="Z169" s="1292"/>
      <c r="AA169" s="1292"/>
      <c r="AB169" s="1293"/>
      <c r="AC169" s="1544"/>
      <c r="AD169" s="1544"/>
      <c r="AE169" s="1544"/>
      <c r="AF169" s="1544"/>
      <c r="AI169" s="3056" t="str">
        <f>"22:unitcare_code:" &amp; IF(I169="■",1,IF(M169="■",2,0))</f>
        <v>22:unitcare_code:0</v>
      </c>
    </row>
    <row r="170" spans="1:36" s="3056" customFormat="1" ht="18.75" customHeight="1">
      <c r="A170" s="735"/>
      <c r="B170" s="1407"/>
      <c r="C170" s="1287"/>
      <c r="D170" s="1288"/>
      <c r="E170" s="1275"/>
      <c r="F170" s="1289"/>
      <c r="G170" s="1305"/>
      <c r="H170" s="3193" t="s">
        <v>1241</v>
      </c>
      <c r="I170" s="3096" t="s">
        <v>121</v>
      </c>
      <c r="J170" s="3091" t="s">
        <v>1242</v>
      </c>
      <c r="K170" s="3095"/>
      <c r="L170" s="3094"/>
      <c r="M170" s="3093" t="s">
        <v>121</v>
      </c>
      <c r="N170" s="3091" t="s">
        <v>1243</v>
      </c>
      <c r="O170" s="3095"/>
      <c r="P170" s="3192"/>
      <c r="Q170" s="3192"/>
      <c r="R170" s="3192"/>
      <c r="S170" s="3192"/>
      <c r="T170" s="3192"/>
      <c r="U170" s="3192"/>
      <c r="V170" s="3192"/>
      <c r="W170" s="3192"/>
      <c r="X170" s="3191"/>
      <c r="Y170" s="1295"/>
      <c r="Z170" s="1292"/>
      <c r="AA170" s="1292"/>
      <c r="AB170" s="1293"/>
      <c r="AC170" s="1544"/>
      <c r="AD170" s="1544"/>
      <c r="AE170" s="1544"/>
      <c r="AF170" s="1544"/>
      <c r="AI170" s="3056" t="str">
        <f>"22:sintaikousoku_code:" &amp; IF(I170="■",1,IF(M170="■",2,0))</f>
        <v>22:sintaikousoku_code:0</v>
      </c>
    </row>
    <row r="171" spans="1:36" s="3056" customFormat="1" ht="19.5" customHeight="1">
      <c r="A171" s="735"/>
      <c r="B171" s="1407"/>
      <c r="C171" s="1303"/>
      <c r="D171" s="1304"/>
      <c r="E171" s="1275"/>
      <c r="F171" s="1289"/>
      <c r="G171" s="1305"/>
      <c r="H171" s="1306" t="s">
        <v>1244</v>
      </c>
      <c r="I171" s="3066" t="s">
        <v>121</v>
      </c>
      <c r="J171" s="1298" t="s">
        <v>1242</v>
      </c>
      <c r="K171" s="1299"/>
      <c r="L171" s="1300"/>
      <c r="M171" s="3065" t="s">
        <v>121</v>
      </c>
      <c r="N171" s="1298" t="s">
        <v>1245</v>
      </c>
      <c r="O171" s="1301"/>
      <c r="P171" s="1298"/>
      <c r="Q171" s="1307"/>
      <c r="R171" s="1307"/>
      <c r="S171" s="1307"/>
      <c r="T171" s="1307"/>
      <c r="U171" s="1307"/>
      <c r="V171" s="1307"/>
      <c r="W171" s="1307"/>
      <c r="X171" s="1308"/>
      <c r="Y171" s="1292"/>
      <c r="Z171" s="1292"/>
      <c r="AA171" s="1292"/>
      <c r="AB171" s="1293"/>
      <c r="AC171" s="1544"/>
      <c r="AD171" s="1544"/>
      <c r="AE171" s="1544"/>
      <c r="AF171" s="1544"/>
      <c r="AI171" s="3056" t="str">
        <f>"22:field223:" &amp; IF(I171="■",1,IF(M171="■",2,0))</f>
        <v>22:field223:0</v>
      </c>
    </row>
    <row r="172" spans="1:36" s="3056" customFormat="1" ht="19.5" customHeight="1">
      <c r="A172" s="735"/>
      <c r="B172" s="1407"/>
      <c r="C172" s="1303"/>
      <c r="D172" s="1304"/>
      <c r="E172" s="1275"/>
      <c r="F172" s="1289"/>
      <c r="G172" s="1305"/>
      <c r="H172" s="1306" t="s">
        <v>1246</v>
      </c>
      <c r="I172" s="3066" t="s">
        <v>121</v>
      </c>
      <c r="J172" s="1298" t="s">
        <v>1242</v>
      </c>
      <c r="K172" s="1299"/>
      <c r="L172" s="1300"/>
      <c r="M172" s="3065" t="s">
        <v>121</v>
      </c>
      <c r="N172" s="1298" t="s">
        <v>1245</v>
      </c>
      <c r="O172" s="1301"/>
      <c r="P172" s="1298"/>
      <c r="Q172" s="1307"/>
      <c r="R172" s="1307"/>
      <c r="S172" s="1307"/>
      <c r="T172" s="1307"/>
      <c r="U172" s="1307"/>
      <c r="V172" s="1307"/>
      <c r="W172" s="1307"/>
      <c r="X172" s="1308"/>
      <c r="Y172" s="1292"/>
      <c r="Z172" s="1292"/>
      <c r="AA172" s="1292"/>
      <c r="AB172" s="1293"/>
      <c r="AC172" s="1544"/>
      <c r="AD172" s="1544"/>
      <c r="AE172" s="1544"/>
      <c r="AF172" s="1544"/>
      <c r="AI172" s="3056" t="str">
        <f>"22:field232:" &amp; IF(I172="■",1,IF(M172="■",2,0))</f>
        <v>22:field232:0</v>
      </c>
    </row>
    <row r="173" spans="1:36" s="1418" customFormat="1" ht="19.5" customHeight="1">
      <c r="A173" s="625"/>
      <c r="B173" s="1416"/>
      <c r="C173" s="629"/>
      <c r="D173" s="1417"/>
      <c r="E173" s="1420"/>
      <c r="F173" s="1415"/>
      <c r="G173" s="617"/>
      <c r="H173" s="3148" t="s">
        <v>2328</v>
      </c>
      <c r="I173" s="3066" t="s">
        <v>121</v>
      </c>
      <c r="J173" s="3144" t="s">
        <v>2326</v>
      </c>
      <c r="K173" s="3147"/>
      <c r="L173" s="3146"/>
      <c r="M173" s="3065" t="s">
        <v>121</v>
      </c>
      <c r="N173" s="3144" t="s">
        <v>2325</v>
      </c>
      <c r="O173" s="3145"/>
      <c r="P173" s="3144"/>
      <c r="Q173" s="3143"/>
      <c r="R173" s="3143"/>
      <c r="S173" s="3143"/>
      <c r="T173" s="3143"/>
      <c r="U173" s="3143"/>
      <c r="V173" s="3143"/>
      <c r="W173" s="3143"/>
      <c r="X173" s="3142"/>
      <c r="Y173" s="1421"/>
      <c r="Z173" s="2"/>
      <c r="AA173" s="626"/>
      <c r="AB173" s="627"/>
      <c r="AC173" s="1544"/>
      <c r="AD173" s="1544"/>
      <c r="AE173" s="1544"/>
      <c r="AF173" s="1544"/>
      <c r="AI173" s="3056" t="str">
        <f>"22:field242:" &amp; IF(I173="■",1,IF(M173="■",2,0))</f>
        <v>22:field242:0</v>
      </c>
    </row>
    <row r="174" spans="1:36" s="3056" customFormat="1" ht="18.75" customHeight="1">
      <c r="A174" s="735"/>
      <c r="B174" s="1407"/>
      <c r="C174" s="1303"/>
      <c r="D174" s="1304"/>
      <c r="E174" s="1275"/>
      <c r="F174" s="1289"/>
      <c r="G174" s="1275"/>
      <c r="H174" s="1363" t="s">
        <v>140</v>
      </c>
      <c r="I174" s="3066" t="s">
        <v>121</v>
      </c>
      <c r="J174" s="1298" t="s">
        <v>1230</v>
      </c>
      <c r="K174" s="1299"/>
      <c r="L174" s="3065" t="s">
        <v>121</v>
      </c>
      <c r="M174" s="1298" t="s">
        <v>1248</v>
      </c>
      <c r="N174" s="1307"/>
      <c r="O174" s="1307"/>
      <c r="P174" s="1307"/>
      <c r="Q174" s="1307"/>
      <c r="R174" s="1307"/>
      <c r="S174" s="1307"/>
      <c r="T174" s="1307"/>
      <c r="U174" s="1307"/>
      <c r="V174" s="1307"/>
      <c r="W174" s="1307"/>
      <c r="X174" s="1308"/>
      <c r="Y174" s="1292"/>
      <c r="Z174" s="1292"/>
      <c r="AA174" s="1292"/>
      <c r="AB174" s="1293"/>
      <c r="AC174" s="1544"/>
      <c r="AD174" s="1544"/>
      <c r="AE174" s="1544"/>
      <c r="AF174" s="1544"/>
      <c r="AI174" s="3056" t="str">
        <f>"22:yakinhaiti_code:" &amp; IF(I174="■",1,IF(L174="■",2,0))</f>
        <v>22:yakinhaiti_code:0</v>
      </c>
    </row>
    <row r="175" spans="1:36" s="3056" customFormat="1" ht="18.75" customHeight="1">
      <c r="A175" s="735"/>
      <c r="B175" s="1407"/>
      <c r="C175" s="1303"/>
      <c r="D175" s="1304"/>
      <c r="E175" s="1275"/>
      <c r="F175" s="1289"/>
      <c r="G175" s="1275"/>
      <c r="H175" s="1363" t="s">
        <v>1250</v>
      </c>
      <c r="I175" s="3066" t="s">
        <v>121</v>
      </c>
      <c r="J175" s="1298" t="s">
        <v>1230</v>
      </c>
      <c r="K175" s="1299"/>
      <c r="L175" s="3065" t="s">
        <v>121</v>
      </c>
      <c r="M175" s="1298" t="s">
        <v>1248</v>
      </c>
      <c r="N175" s="1307"/>
      <c r="O175" s="1307"/>
      <c r="P175" s="1307"/>
      <c r="Q175" s="1307"/>
      <c r="R175" s="1307"/>
      <c r="S175" s="1307"/>
      <c r="T175" s="1307"/>
      <c r="U175" s="1307"/>
      <c r="V175" s="1307"/>
      <c r="W175" s="1307"/>
      <c r="X175" s="1308"/>
      <c r="Y175" s="1292"/>
      <c r="Z175" s="1292"/>
      <c r="AA175" s="1292"/>
      <c r="AB175" s="1293"/>
      <c r="AC175" s="1544"/>
      <c r="AD175" s="1544"/>
      <c r="AE175" s="1544"/>
      <c r="AF175" s="1544"/>
      <c r="AI175" s="3056" t="str">
        <f>"22:ninticare_code:" &amp; IF(I175="■",1,IF(L175="■",2,0))</f>
        <v>22:ninticare_code:0</v>
      </c>
    </row>
    <row r="176" spans="1:36" s="3056" customFormat="1" ht="18.75" customHeight="1">
      <c r="A176" s="3069" t="s">
        <v>121</v>
      </c>
      <c r="B176" s="1407">
        <v>22</v>
      </c>
      <c r="C176" s="1303" t="s">
        <v>1321</v>
      </c>
      <c r="D176" s="3122" t="s">
        <v>121</v>
      </c>
      <c r="E176" s="1275" t="s">
        <v>1322</v>
      </c>
      <c r="F176" s="3122" t="s">
        <v>121</v>
      </c>
      <c r="G176" s="1275" t="s">
        <v>1254</v>
      </c>
      <c r="H176" s="1363" t="s">
        <v>1305</v>
      </c>
      <c r="I176" s="3066" t="s">
        <v>121</v>
      </c>
      <c r="J176" s="1298" t="s">
        <v>1230</v>
      </c>
      <c r="K176" s="1299"/>
      <c r="L176" s="3065" t="s">
        <v>121</v>
      </c>
      <c r="M176" s="1298" t="s">
        <v>1248</v>
      </c>
      <c r="N176" s="1307"/>
      <c r="O176" s="1307"/>
      <c r="P176" s="1307"/>
      <c r="Q176" s="1307"/>
      <c r="R176" s="1307"/>
      <c r="S176" s="1307"/>
      <c r="T176" s="1307"/>
      <c r="U176" s="1307"/>
      <c r="V176" s="1307"/>
      <c r="W176" s="1307"/>
      <c r="X176" s="1308"/>
      <c r="Y176" s="1292"/>
      <c r="Z176" s="1292"/>
      <c r="AA176" s="1292"/>
      <c r="AB176" s="1293"/>
      <c r="AC176" s="1544"/>
      <c r="AD176" s="1544"/>
      <c r="AE176" s="1544"/>
      <c r="AF176" s="1544"/>
      <c r="AI176" s="3056" t="str">
        <f>"22:jyakuninti_uke_code:" &amp; IF(I176="■",1,IF(L176="■",2,0))</f>
        <v>22:jyakuninti_uke_code:0</v>
      </c>
    </row>
    <row r="177" spans="1:36" s="3056" customFormat="1" ht="18.75" customHeight="1">
      <c r="A177" s="735"/>
      <c r="B177" s="1407"/>
      <c r="C177" s="1303"/>
      <c r="D177" s="1289"/>
      <c r="E177" s="1275"/>
      <c r="F177" s="3122" t="s">
        <v>121</v>
      </c>
      <c r="G177" s="1275" t="s">
        <v>1259</v>
      </c>
      <c r="H177" s="1363" t="s">
        <v>1255</v>
      </c>
      <c r="I177" s="3066" t="s">
        <v>121</v>
      </c>
      <c r="J177" s="1298" t="s">
        <v>1230</v>
      </c>
      <c r="K177" s="1298"/>
      <c r="L177" s="3065" t="s">
        <v>121</v>
      </c>
      <c r="M177" s="1298" t="s">
        <v>1256</v>
      </c>
      <c r="N177" s="1298"/>
      <c r="O177" s="3065" t="s">
        <v>121</v>
      </c>
      <c r="P177" s="1298" t="s">
        <v>1257</v>
      </c>
      <c r="Q177" s="1307"/>
      <c r="R177" s="1307"/>
      <c r="S177" s="1307"/>
      <c r="T177" s="1307"/>
      <c r="U177" s="1307"/>
      <c r="V177" s="1307"/>
      <c r="W177" s="1307"/>
      <c r="X177" s="1308"/>
      <c r="Y177" s="1292"/>
      <c r="Z177" s="1292"/>
      <c r="AA177" s="1292"/>
      <c r="AB177" s="1293"/>
      <c r="AC177" s="1544"/>
      <c r="AD177" s="1544"/>
      <c r="AE177" s="1544"/>
      <c r="AF177" s="1544"/>
      <c r="AI177" s="3056" t="str">
        <f>"22:zaitaku_hukki_code:" &amp; IF(I177="■",1,IF(L177="■",2,IF(O177="■",3,0)))</f>
        <v>22:zaitaku_hukki_code:0</v>
      </c>
    </row>
    <row r="178" spans="1:36" s="3056" customFormat="1" ht="18.75" customHeight="1">
      <c r="A178" s="735"/>
      <c r="B178" s="1407"/>
      <c r="C178" s="1303"/>
      <c r="D178" s="1304"/>
      <c r="E178" s="1275"/>
      <c r="F178" s="1289"/>
      <c r="G178" s="1275"/>
      <c r="H178" s="1363" t="s">
        <v>1324</v>
      </c>
      <c r="I178" s="3066" t="s">
        <v>121</v>
      </c>
      <c r="J178" s="1298" t="s">
        <v>1239</v>
      </c>
      <c r="K178" s="1299"/>
      <c r="L178" s="1300"/>
      <c r="M178" s="3065" t="s">
        <v>121</v>
      </c>
      <c r="N178" s="1298" t="s">
        <v>1240</v>
      </c>
      <c r="O178" s="1307"/>
      <c r="P178" s="1307"/>
      <c r="Q178" s="1307"/>
      <c r="R178" s="1307"/>
      <c r="S178" s="1307"/>
      <c r="T178" s="1307"/>
      <c r="U178" s="1307"/>
      <c r="V178" s="1307"/>
      <c r="W178" s="1307"/>
      <c r="X178" s="1308"/>
      <c r="Y178" s="1292"/>
      <c r="Z178" s="1292"/>
      <c r="AA178" s="1292"/>
      <c r="AB178" s="1293"/>
      <c r="AC178" s="1544"/>
      <c r="AD178" s="1544"/>
      <c r="AE178" s="1544"/>
      <c r="AF178" s="1544"/>
      <c r="AI178" s="3056" t="str">
        <f>"22:sougei_code:" &amp; IF(I178="■",1,IF(M178="■",2,0))</f>
        <v>22:sougei_code:0</v>
      </c>
    </row>
    <row r="179" spans="1:36" s="3056" customFormat="1" ht="19.5" customHeight="1">
      <c r="A179" s="735"/>
      <c r="B179" s="1407"/>
      <c r="C179" s="1303"/>
      <c r="D179" s="1304"/>
      <c r="E179" s="1275"/>
      <c r="F179" s="1289"/>
      <c r="G179" s="1275"/>
      <c r="H179" s="1306" t="s">
        <v>1325</v>
      </c>
      <c r="I179" s="3066" t="s">
        <v>121</v>
      </c>
      <c r="J179" s="1298" t="s">
        <v>1230</v>
      </c>
      <c r="K179" s="1298"/>
      <c r="L179" s="3065" t="s">
        <v>121</v>
      </c>
      <c r="M179" s="1298" t="s">
        <v>1248</v>
      </c>
      <c r="N179" s="1298"/>
      <c r="O179" s="1307"/>
      <c r="P179" s="1298"/>
      <c r="Q179" s="1307"/>
      <c r="R179" s="1307"/>
      <c r="S179" s="1307"/>
      <c r="T179" s="1307"/>
      <c r="U179" s="1307"/>
      <c r="V179" s="1307"/>
      <c r="W179" s="1307"/>
      <c r="X179" s="1308"/>
      <c r="Y179" s="1292"/>
      <c r="Z179" s="1292"/>
      <c r="AA179" s="1292"/>
      <c r="AB179" s="1293"/>
      <c r="AC179" s="1544"/>
      <c r="AD179" s="1544"/>
      <c r="AE179" s="1544"/>
      <c r="AF179" s="1544"/>
      <c r="AI179" s="3056" t="str">
        <f>"22:field224:" &amp; IF(I179="■",1,IF(L179="■",2,0))</f>
        <v>22:field224:0</v>
      </c>
    </row>
    <row r="180" spans="1:36" s="3056" customFormat="1" ht="18.75" customHeight="1">
      <c r="A180" s="735"/>
      <c r="B180" s="1407"/>
      <c r="C180" s="1303"/>
      <c r="D180" s="1304"/>
      <c r="E180" s="1275"/>
      <c r="F180" s="1289"/>
      <c r="G180" s="1275"/>
      <c r="H180" s="1363" t="s">
        <v>145</v>
      </c>
      <c r="I180" s="3066" t="s">
        <v>121</v>
      </c>
      <c r="J180" s="1298" t="s">
        <v>1230</v>
      </c>
      <c r="K180" s="1299"/>
      <c r="L180" s="3065" t="s">
        <v>121</v>
      </c>
      <c r="M180" s="1298" t="s">
        <v>1248</v>
      </c>
      <c r="N180" s="1307"/>
      <c r="O180" s="1307"/>
      <c r="P180" s="1307"/>
      <c r="Q180" s="1307"/>
      <c r="R180" s="1307"/>
      <c r="S180" s="1307"/>
      <c r="T180" s="1307"/>
      <c r="U180" s="1307"/>
      <c r="V180" s="1307"/>
      <c r="W180" s="1307"/>
      <c r="X180" s="1308"/>
      <c r="Y180" s="1292"/>
      <c r="Z180" s="1292"/>
      <c r="AA180" s="1292"/>
      <c r="AB180" s="1293"/>
      <c r="AC180" s="1544"/>
      <c r="AD180" s="1544"/>
      <c r="AE180" s="1544"/>
      <c r="AF180" s="1544"/>
      <c r="AI180" s="3056" t="str">
        <f>"22:ryouyoushoku_code:" &amp; IF(I180="■",1,IF(L180="■",2,0))</f>
        <v>22:ryouyoushoku_code:0</v>
      </c>
    </row>
    <row r="181" spans="1:36" s="3056" customFormat="1" ht="18.75" customHeight="1">
      <c r="A181" s="735"/>
      <c r="B181" s="1407"/>
      <c r="C181" s="1303"/>
      <c r="D181" s="1304"/>
      <c r="E181" s="1275"/>
      <c r="F181" s="1289"/>
      <c r="G181" s="1275"/>
      <c r="H181" s="1363" t="s">
        <v>1326</v>
      </c>
      <c r="I181" s="3066" t="s">
        <v>121</v>
      </c>
      <c r="J181" s="1298" t="s">
        <v>1230</v>
      </c>
      <c r="K181" s="1298"/>
      <c r="L181" s="3065" t="s">
        <v>121</v>
      </c>
      <c r="M181" s="1298" t="s">
        <v>1256</v>
      </c>
      <c r="N181" s="1298"/>
      <c r="O181" s="3065" t="s">
        <v>121</v>
      </c>
      <c r="P181" s="1298" t="s">
        <v>1257</v>
      </c>
      <c r="Q181" s="1307"/>
      <c r="R181" s="1307"/>
      <c r="S181" s="1307"/>
      <c r="T181" s="1307"/>
      <c r="U181" s="1307"/>
      <c r="V181" s="1307"/>
      <c r="W181" s="1307"/>
      <c r="X181" s="1308"/>
      <c r="Y181" s="1292"/>
      <c r="Z181" s="1292"/>
      <c r="AA181" s="1292"/>
      <c r="AB181" s="1293"/>
      <c r="AC181" s="1544"/>
      <c r="AD181" s="1544"/>
      <c r="AE181" s="1544"/>
      <c r="AF181" s="1544"/>
      <c r="AI181" s="3056" t="str">
        <f>"22:ninti_senmoncare_code:" &amp; IF(I181="■",1,IF(O181="■",3,IF(L181="■",2,0)))</f>
        <v>22:ninti_senmoncare_code:0</v>
      </c>
    </row>
    <row r="182" spans="1:36" s="3056" customFormat="1" ht="18.75" customHeight="1">
      <c r="A182" s="735"/>
      <c r="B182" s="1407"/>
      <c r="C182" s="1303"/>
      <c r="D182" s="1304"/>
      <c r="E182" s="1275"/>
      <c r="F182" s="1289"/>
      <c r="G182" s="1275"/>
      <c r="H182" s="1313" t="s">
        <v>1265</v>
      </c>
      <c r="I182" s="3066" t="s">
        <v>121</v>
      </c>
      <c r="J182" s="1298" t="s">
        <v>1230</v>
      </c>
      <c r="K182" s="1298"/>
      <c r="L182" s="3065" t="s">
        <v>121</v>
      </c>
      <c r="M182" s="1298" t="s">
        <v>1256</v>
      </c>
      <c r="N182" s="1298"/>
      <c r="O182" s="3065" t="s">
        <v>121</v>
      </c>
      <c r="P182" s="1298" t="s">
        <v>1257</v>
      </c>
      <c r="Q182" s="1307"/>
      <c r="R182" s="1307"/>
      <c r="S182" s="1307"/>
      <c r="T182" s="1307"/>
      <c r="U182" s="1314"/>
      <c r="V182" s="1314"/>
      <c r="W182" s="1314"/>
      <c r="X182" s="1315"/>
      <c r="Y182" s="1292"/>
      <c r="Z182" s="1292"/>
      <c r="AA182" s="1292"/>
      <c r="AB182" s="1293"/>
      <c r="AC182" s="1544"/>
      <c r="AD182" s="1544"/>
      <c r="AE182" s="1544"/>
      <c r="AF182" s="1544"/>
      <c r="AI182" s="3056" t="str">
        <f>"22:field225:" &amp; IF(I182="■",1,IF(L182="■",2,IF(O182="■",3,0)))</f>
        <v>22:field225:0</v>
      </c>
    </row>
    <row r="183" spans="1:36" s="3056" customFormat="1" ht="18.75" customHeight="1">
      <c r="A183" s="735"/>
      <c r="B183" s="1407"/>
      <c r="C183" s="1303"/>
      <c r="D183" s="1304"/>
      <c r="E183" s="1275"/>
      <c r="F183" s="1289"/>
      <c r="G183" s="1275"/>
      <c r="H183" s="1364" t="s">
        <v>1266</v>
      </c>
      <c r="I183" s="3066" t="s">
        <v>121</v>
      </c>
      <c r="J183" s="1298" t="s">
        <v>1230</v>
      </c>
      <c r="K183" s="1298"/>
      <c r="L183" s="3065" t="s">
        <v>121</v>
      </c>
      <c r="M183" s="1298" t="s">
        <v>1267</v>
      </c>
      <c r="N183" s="1298"/>
      <c r="O183" s="3065" t="s">
        <v>121</v>
      </c>
      <c r="P183" s="1298" t="s">
        <v>1268</v>
      </c>
      <c r="Q183" s="1326"/>
      <c r="R183" s="3065" t="s">
        <v>121</v>
      </c>
      <c r="S183" s="1298" t="s">
        <v>1269</v>
      </c>
      <c r="T183" s="1326"/>
      <c r="U183" s="1326"/>
      <c r="V183" s="1326"/>
      <c r="W183" s="1326"/>
      <c r="X183" s="1327"/>
      <c r="Y183" s="1292"/>
      <c r="Z183" s="1292"/>
      <c r="AA183" s="1292"/>
      <c r="AB183" s="1293"/>
      <c r="AC183" s="1544"/>
      <c r="AD183" s="1544"/>
      <c r="AE183" s="1544"/>
      <c r="AF183" s="1544"/>
      <c r="AI183" s="3056" t="str">
        <f>"22:serteikyo_kyoka_code:" &amp; IF(I183="■",1,IF(L183="■",6,IF(O183="■",5,IF(R183="■",7,0))))</f>
        <v>22:serteikyo_kyoka_code:0</v>
      </c>
    </row>
    <row r="184" spans="1:36" s="3056" customFormat="1" ht="18.75" customHeight="1">
      <c r="A184" s="735"/>
      <c r="B184" s="1407"/>
      <c r="C184" s="1303"/>
      <c r="D184" s="1304"/>
      <c r="E184" s="1275"/>
      <c r="F184" s="1289"/>
      <c r="G184" s="1275"/>
      <c r="H184" s="1539" t="s">
        <v>2390</v>
      </c>
      <c r="I184" s="3162" t="s">
        <v>121</v>
      </c>
      <c r="J184" s="3161" t="s">
        <v>1230</v>
      </c>
      <c r="K184" s="3161"/>
      <c r="L184" s="3160" t="s">
        <v>121</v>
      </c>
      <c r="M184" s="3161" t="s">
        <v>1248</v>
      </c>
      <c r="N184" s="3161"/>
      <c r="O184" s="1290"/>
      <c r="P184" s="1290"/>
      <c r="Q184" s="1290"/>
      <c r="R184" s="1290"/>
      <c r="S184" s="1290"/>
      <c r="T184" s="1290"/>
      <c r="U184" s="1290"/>
      <c r="V184" s="1290"/>
      <c r="W184" s="1290"/>
      <c r="X184" s="1331"/>
      <c r="Y184" s="1292"/>
      <c r="Z184" s="1292"/>
      <c r="AA184" s="1292"/>
      <c r="AB184" s="1293"/>
      <c r="AC184" s="1544"/>
      <c r="AD184" s="1544"/>
      <c r="AE184" s="1544"/>
      <c r="AF184" s="1544"/>
      <c r="AI184" s="3056" t="str">
        <f>"22:field221:" &amp; IF(I184="■",1,IF(L184="■",2,0))</f>
        <v>22:field221:0</v>
      </c>
    </row>
    <row r="185" spans="1:36" s="3056" customFormat="1" ht="18.75" customHeight="1">
      <c r="A185" s="735"/>
      <c r="B185" s="1407"/>
      <c r="C185" s="1303"/>
      <c r="D185" s="1304"/>
      <c r="E185" s="1275"/>
      <c r="F185" s="1289"/>
      <c r="G185" s="1275"/>
      <c r="H185" s="1540"/>
      <c r="I185" s="3162"/>
      <c r="J185" s="3161"/>
      <c r="K185" s="3161"/>
      <c r="L185" s="3160"/>
      <c r="M185" s="3161"/>
      <c r="N185" s="3161"/>
      <c r="O185" s="1296"/>
      <c r="P185" s="1296"/>
      <c r="Q185" s="1296"/>
      <c r="R185" s="1296"/>
      <c r="S185" s="1296"/>
      <c r="T185" s="1296"/>
      <c r="U185" s="1296"/>
      <c r="V185" s="1296"/>
      <c r="W185" s="1296"/>
      <c r="X185" s="1332"/>
      <c r="Y185" s="1292"/>
      <c r="Z185" s="1292"/>
      <c r="AA185" s="1292"/>
      <c r="AB185" s="1293"/>
      <c r="AC185" s="1544"/>
      <c r="AD185" s="1544"/>
      <c r="AE185" s="1544"/>
      <c r="AF185" s="1544"/>
    </row>
    <row r="186" spans="1:36" s="3056" customFormat="1" ht="18.75" customHeight="1">
      <c r="A186" s="736"/>
      <c r="B186" s="1316"/>
      <c r="C186" s="1346"/>
      <c r="D186" s="1348"/>
      <c r="E186" s="1317"/>
      <c r="F186" s="1318"/>
      <c r="G186" s="1361"/>
      <c r="H186" s="3134" t="s">
        <v>2288</v>
      </c>
      <c r="I186" s="3060" t="s">
        <v>121</v>
      </c>
      <c r="J186" s="3130" t="s">
        <v>1230</v>
      </c>
      <c r="K186" s="3130"/>
      <c r="L186" s="3059" t="s">
        <v>121</v>
      </c>
      <c r="M186" s="3130" t="s">
        <v>2287</v>
      </c>
      <c r="N186" s="3133"/>
      <c r="O186" s="3059" t="s">
        <v>121</v>
      </c>
      <c r="P186" s="3132" t="s">
        <v>2286</v>
      </c>
      <c r="Q186" s="3131"/>
      <c r="R186" s="3059" t="s">
        <v>121</v>
      </c>
      <c r="S186" s="3130" t="s">
        <v>2285</v>
      </c>
      <c r="T186" s="3131"/>
      <c r="U186" s="3059" t="s">
        <v>121</v>
      </c>
      <c r="V186" s="3130" t="s">
        <v>2284</v>
      </c>
      <c r="W186" s="3129"/>
      <c r="X186" s="3128"/>
      <c r="Y186" s="1323"/>
      <c r="Z186" s="1323"/>
      <c r="AA186" s="1323"/>
      <c r="AB186" s="1324"/>
      <c r="AC186" s="1558"/>
      <c r="AD186" s="1558"/>
      <c r="AE186" s="1558"/>
      <c r="AF186" s="1558"/>
      <c r="AI186" s="3056" t="str">
        <f>"22:shoguukaizen_code:"&amp;IF(I186="■",1,IF(L186="■",7,IF(O186="■",8,IF(R186="■",9,IF(U186="■","A",0)))))</f>
        <v>22:shoguukaizen_code:0</v>
      </c>
    </row>
    <row r="187" spans="1:36" s="3056" customFormat="1" ht="18.75" customHeight="1">
      <c r="A187" s="1276"/>
      <c r="B187" s="1405"/>
      <c r="C187" s="1333"/>
      <c r="D187" s="1335"/>
      <c r="E187" s="1272"/>
      <c r="F187" s="1279"/>
      <c r="G187" s="1272"/>
      <c r="H187" s="1362" t="s">
        <v>1226</v>
      </c>
      <c r="I187" s="3074" t="s">
        <v>121</v>
      </c>
      <c r="J187" s="1280" t="s">
        <v>1227</v>
      </c>
      <c r="K187" s="1281"/>
      <c r="L187" s="1282"/>
      <c r="M187" s="3073" t="s">
        <v>121</v>
      </c>
      <c r="N187" s="1280" t="s">
        <v>1228</v>
      </c>
      <c r="O187" s="1284"/>
      <c r="P187" s="1284"/>
      <c r="Q187" s="1284"/>
      <c r="R187" s="1284"/>
      <c r="S187" s="1284"/>
      <c r="T187" s="1284"/>
      <c r="U187" s="1284"/>
      <c r="V187" s="1284"/>
      <c r="W187" s="1284"/>
      <c r="X187" s="1325"/>
      <c r="Y187" s="3119" t="s">
        <v>121</v>
      </c>
      <c r="Z187" s="1270" t="s">
        <v>1229</v>
      </c>
      <c r="AA187" s="1270"/>
      <c r="AB187" s="1286"/>
      <c r="AC187" s="1543"/>
      <c r="AD187" s="1543"/>
      <c r="AE187" s="1543"/>
      <c r="AF187" s="1543"/>
      <c r="AG187" s="3056" t="str">
        <f>"ser_code = '" &amp; IF(A196="■",22,"") &amp; "'"</f>
        <v>ser_code = ''</v>
      </c>
      <c r="AH187" s="3056" t="str">
        <f>"22:jininkbn_code:" &amp; IF(F196="■",1,IF(F197="■",2,0))</f>
        <v>22:jininkbn_code:0</v>
      </c>
      <c r="AI187" s="3056" t="str">
        <f>"22:yakan_kinmu_code:" &amp; IF(I187="■",1,IF(M187="■",6,0))</f>
        <v>22:yakan_kinmu_code:0</v>
      </c>
      <c r="AJ187" s="3056" t="str">
        <f>"22:field203:" &amp; IF(Y187="■",1,IF(Y188="■",2,0))</f>
        <v>22:field203:0</v>
      </c>
    </row>
    <row r="188" spans="1:36" s="3056" customFormat="1" ht="18.75" customHeight="1">
      <c r="A188" s="735"/>
      <c r="B188" s="1407"/>
      <c r="C188" s="1303"/>
      <c r="D188" s="1304"/>
      <c r="E188" s="1275"/>
      <c r="F188" s="1289"/>
      <c r="G188" s="1275"/>
      <c r="H188" s="1547" t="s">
        <v>90</v>
      </c>
      <c r="I188" s="3137" t="s">
        <v>121</v>
      </c>
      <c r="J188" s="1290" t="s">
        <v>1230</v>
      </c>
      <c r="K188" s="1290"/>
      <c r="L188" s="1329"/>
      <c r="M188" s="3136" t="s">
        <v>121</v>
      </c>
      <c r="N188" s="1290" t="s">
        <v>1231</v>
      </c>
      <c r="O188" s="1290"/>
      <c r="P188" s="1329"/>
      <c r="Q188" s="3136" t="s">
        <v>121</v>
      </c>
      <c r="R188" s="1402" t="s">
        <v>1232</v>
      </c>
      <c r="S188" s="1402"/>
      <c r="T188" s="1402"/>
      <c r="U188" s="3136" t="s">
        <v>121</v>
      </c>
      <c r="V188" s="1402" t="s">
        <v>1233</v>
      </c>
      <c r="W188" s="1402"/>
      <c r="X188" s="1291"/>
      <c r="Y188" s="3122" t="s">
        <v>121</v>
      </c>
      <c r="Z188" s="1273" t="s">
        <v>1234</v>
      </c>
      <c r="AA188" s="1292"/>
      <c r="AB188" s="1293"/>
      <c r="AC188" s="1544"/>
      <c r="AD188" s="1544"/>
      <c r="AE188" s="1544"/>
      <c r="AF188" s="1544"/>
      <c r="AG188" s="3056" t="str">
        <f>"22:sisetukbn_code:" &amp; IF(D196="■",1,0)</f>
        <v>22:sisetukbn_code:0</v>
      </c>
      <c r="AI188" s="3056" t="str">
        <f>"22:"&amp;IF(AND(I188="□",M188="□",Q188="□",U188="□",I189="□",M189="□",Q189="□"),"ketu_doctor_code:0",IF(I188="■","ketu_doctor_code:1:ketu_kangos_code:1:ketu_kshoku_code:1:ketu_rryoho_code:1:ketu_sryoho_code:1:ketu_gengo_code:1",
IF(M188="■","ketu_doctor_code:2","ketu_doctor_code:1")
&amp;IF(Q188="■",":ketu_kangos_code:2",":ketu_kangos_code:1")
&amp;IF(U188="■",":ketu_kshoku_code:2",":ketu_kshoku_code:1")
&amp;IF(I189="■",":ketu_rryoho_code:2",":ketu_rryoho_code:1")
&amp;IF(M189="■",":ketu_sryoho_code:2",":ketu_sryoho_code:1")
&amp;IF(Q189="■",":ketu_gengo_code:2",":ketu_gengo_code:1")))</f>
        <v>22:ketu_doctor_code:0</v>
      </c>
    </row>
    <row r="189" spans="1:36" s="3056" customFormat="1" ht="18.75" customHeight="1">
      <c r="A189" s="735"/>
      <c r="B189" s="1407"/>
      <c r="C189" s="1303"/>
      <c r="D189" s="1304"/>
      <c r="E189" s="1275"/>
      <c r="F189" s="1289"/>
      <c r="G189" s="1275"/>
      <c r="H189" s="1548"/>
      <c r="I189" s="3063" t="s">
        <v>121</v>
      </c>
      <c r="J189" s="1296" t="s">
        <v>1235</v>
      </c>
      <c r="K189" s="1296"/>
      <c r="L189" s="1355"/>
      <c r="M189" s="3062" t="s">
        <v>121</v>
      </c>
      <c r="N189" s="1296" t="s">
        <v>1236</v>
      </c>
      <c r="O189" s="1296"/>
      <c r="P189" s="1355"/>
      <c r="Q189" s="3062" t="s">
        <v>121</v>
      </c>
      <c r="R189" s="1403" t="s">
        <v>1291</v>
      </c>
      <c r="S189" s="1403"/>
      <c r="T189" s="1403"/>
      <c r="U189" s="1403"/>
      <c r="V189" s="1403"/>
      <c r="W189" s="1403"/>
      <c r="X189" s="1297"/>
      <c r="Y189" s="1292"/>
      <c r="Z189" s="1292"/>
      <c r="AA189" s="1292"/>
      <c r="AB189" s="1293"/>
      <c r="AC189" s="1544"/>
      <c r="AD189" s="1544"/>
      <c r="AE189" s="1544"/>
      <c r="AF189" s="1544"/>
    </row>
    <row r="190" spans="1:36" s="3056" customFormat="1" ht="18.75" customHeight="1">
      <c r="A190" s="735"/>
      <c r="B190" s="1407"/>
      <c r="C190" s="1303"/>
      <c r="D190" s="1304"/>
      <c r="E190" s="1275"/>
      <c r="F190" s="1289"/>
      <c r="G190" s="1275"/>
      <c r="H190" s="1363" t="s">
        <v>91</v>
      </c>
      <c r="I190" s="3066" t="s">
        <v>121</v>
      </c>
      <c r="J190" s="1298" t="s">
        <v>1239</v>
      </c>
      <c r="K190" s="1299"/>
      <c r="L190" s="1300"/>
      <c r="M190" s="3065" t="s">
        <v>121</v>
      </c>
      <c r="N190" s="1298" t="s">
        <v>1240</v>
      </c>
      <c r="O190" s="1307"/>
      <c r="P190" s="1307"/>
      <c r="Q190" s="1307"/>
      <c r="R190" s="1307"/>
      <c r="S190" s="1307"/>
      <c r="T190" s="1307"/>
      <c r="U190" s="1307"/>
      <c r="V190" s="1307"/>
      <c r="W190" s="1307"/>
      <c r="X190" s="1308"/>
      <c r="Y190" s="1292"/>
      <c r="Z190" s="1292"/>
      <c r="AA190" s="1292"/>
      <c r="AB190" s="1293"/>
      <c r="AC190" s="1544"/>
      <c r="AD190" s="1544"/>
      <c r="AE190" s="1544"/>
      <c r="AF190" s="1544"/>
      <c r="AI190" s="3056" t="str">
        <f>"22:unitcare_code:" &amp; IF(I190="■",1,IF(M190="■",2,0))</f>
        <v>22:unitcare_code:0</v>
      </c>
    </row>
    <row r="191" spans="1:36" s="3056" customFormat="1" ht="18.75" customHeight="1">
      <c r="A191" s="735"/>
      <c r="B191" s="1407"/>
      <c r="C191" s="1287"/>
      <c r="D191" s="1288"/>
      <c r="E191" s="1275"/>
      <c r="F191" s="1289"/>
      <c r="G191" s="1305"/>
      <c r="H191" s="3193" t="s">
        <v>1241</v>
      </c>
      <c r="I191" s="3096" t="s">
        <v>121</v>
      </c>
      <c r="J191" s="3091" t="s">
        <v>1242</v>
      </c>
      <c r="K191" s="3095"/>
      <c r="L191" s="3094"/>
      <c r="M191" s="3093" t="s">
        <v>121</v>
      </c>
      <c r="N191" s="3091" t="s">
        <v>1243</v>
      </c>
      <c r="O191" s="3095"/>
      <c r="P191" s="3192"/>
      <c r="Q191" s="3192"/>
      <c r="R191" s="3192"/>
      <c r="S191" s="3192"/>
      <c r="T191" s="3192"/>
      <c r="U191" s="3192"/>
      <c r="V191" s="3192"/>
      <c r="W191" s="3192"/>
      <c r="X191" s="3191"/>
      <c r="Y191" s="1295"/>
      <c r="Z191" s="1292"/>
      <c r="AA191" s="1292"/>
      <c r="AB191" s="1293"/>
      <c r="AC191" s="1544"/>
      <c r="AD191" s="1544"/>
      <c r="AE191" s="1544"/>
      <c r="AF191" s="1544"/>
      <c r="AI191" s="3056" t="str">
        <f>"22:sintaikousoku_code:" &amp; IF(I191="■",1,IF(M191="■",2,0))</f>
        <v>22:sintaikousoku_code:0</v>
      </c>
    </row>
    <row r="192" spans="1:36" s="3056" customFormat="1" ht="19.5" customHeight="1">
      <c r="A192" s="735"/>
      <c r="B192" s="1407"/>
      <c r="C192" s="1303"/>
      <c r="D192" s="1304"/>
      <c r="E192" s="1275"/>
      <c r="F192" s="1289"/>
      <c r="G192" s="1305"/>
      <c r="H192" s="1306" t="s">
        <v>1244</v>
      </c>
      <c r="I192" s="3066" t="s">
        <v>121</v>
      </c>
      <c r="J192" s="1298" t="s">
        <v>1242</v>
      </c>
      <c r="K192" s="1299"/>
      <c r="L192" s="1300"/>
      <c r="M192" s="3065" t="s">
        <v>121</v>
      </c>
      <c r="N192" s="1298" t="s">
        <v>1245</v>
      </c>
      <c r="O192" s="1301"/>
      <c r="P192" s="1298"/>
      <c r="Q192" s="1307"/>
      <c r="R192" s="1307"/>
      <c r="S192" s="1307"/>
      <c r="T192" s="1307"/>
      <c r="U192" s="1307"/>
      <c r="V192" s="1307"/>
      <c r="W192" s="1307"/>
      <c r="X192" s="1308"/>
      <c r="Y192" s="1292"/>
      <c r="Z192" s="1292"/>
      <c r="AA192" s="1292"/>
      <c r="AB192" s="1293"/>
      <c r="AC192" s="1544"/>
      <c r="AD192" s="1544"/>
      <c r="AE192" s="1544"/>
      <c r="AF192" s="1544"/>
      <c r="AI192" s="3056" t="str">
        <f>"22:field223:" &amp; IF(I192="■",1,IF(M192="■",2,0))</f>
        <v>22:field223:0</v>
      </c>
    </row>
    <row r="193" spans="1:36" s="3056" customFormat="1" ht="19.5" customHeight="1">
      <c r="A193" s="735"/>
      <c r="B193" s="1407"/>
      <c r="C193" s="1303"/>
      <c r="D193" s="1304"/>
      <c r="E193" s="1275"/>
      <c r="F193" s="1289"/>
      <c r="G193" s="1305"/>
      <c r="H193" s="1306" t="s">
        <v>1246</v>
      </c>
      <c r="I193" s="3066" t="s">
        <v>121</v>
      </c>
      <c r="J193" s="1298" t="s">
        <v>1242</v>
      </c>
      <c r="K193" s="1299"/>
      <c r="L193" s="1300"/>
      <c r="M193" s="3065" t="s">
        <v>121</v>
      </c>
      <c r="N193" s="1298" t="s">
        <v>1245</v>
      </c>
      <c r="O193" s="1301"/>
      <c r="P193" s="1298"/>
      <c r="Q193" s="1307"/>
      <c r="R193" s="1307"/>
      <c r="S193" s="1307"/>
      <c r="T193" s="1307"/>
      <c r="U193" s="1307"/>
      <c r="V193" s="1307"/>
      <c r="W193" s="1307"/>
      <c r="X193" s="1308"/>
      <c r="Y193" s="1292"/>
      <c r="Z193" s="1292"/>
      <c r="AA193" s="1292"/>
      <c r="AB193" s="1293"/>
      <c r="AC193" s="1544"/>
      <c r="AD193" s="1544"/>
      <c r="AE193" s="1544"/>
      <c r="AF193" s="1544"/>
      <c r="AI193" s="3056" t="str">
        <f>"22:field232:" &amp; IF(I193="■",1,IF(M193="■",2,0))</f>
        <v>22:field232:0</v>
      </c>
    </row>
    <row r="194" spans="1:36" s="3056" customFormat="1" ht="18.75" customHeight="1">
      <c r="A194" s="735"/>
      <c r="B194" s="1407"/>
      <c r="C194" s="1303"/>
      <c r="D194" s="1304"/>
      <c r="E194" s="1275"/>
      <c r="F194" s="1289"/>
      <c r="G194" s="1275"/>
      <c r="H194" s="1363" t="s">
        <v>140</v>
      </c>
      <c r="I194" s="3066" t="s">
        <v>121</v>
      </c>
      <c r="J194" s="1298" t="s">
        <v>1230</v>
      </c>
      <c r="K194" s="1299"/>
      <c r="L194" s="3065" t="s">
        <v>121</v>
      </c>
      <c r="M194" s="1298" t="s">
        <v>1248</v>
      </c>
      <c r="N194" s="1307"/>
      <c r="O194" s="1307"/>
      <c r="P194" s="1307"/>
      <c r="Q194" s="1307"/>
      <c r="R194" s="1307"/>
      <c r="S194" s="1307"/>
      <c r="T194" s="1307"/>
      <c r="U194" s="1307"/>
      <c r="V194" s="1307"/>
      <c r="W194" s="1307"/>
      <c r="X194" s="1308"/>
      <c r="Y194" s="1292"/>
      <c r="Z194" s="1292"/>
      <c r="AA194" s="1292"/>
      <c r="AB194" s="1293"/>
      <c r="AC194" s="1544"/>
      <c r="AD194" s="1544"/>
      <c r="AE194" s="1544"/>
      <c r="AF194" s="1544"/>
      <c r="AI194" s="3056" t="str">
        <f>"22:yakinhaiti_code:" &amp; IF(I194="■",1,IF(L194="■",2,0))</f>
        <v>22:yakinhaiti_code:0</v>
      </c>
    </row>
    <row r="195" spans="1:36" s="3056" customFormat="1" ht="18.75" customHeight="1">
      <c r="A195" s="735"/>
      <c r="B195" s="1407"/>
      <c r="C195" s="1303"/>
      <c r="D195" s="1304"/>
      <c r="E195" s="1275"/>
      <c r="F195" s="1289"/>
      <c r="G195" s="1275"/>
      <c r="H195" s="1363" t="s">
        <v>1250</v>
      </c>
      <c r="I195" s="3066" t="s">
        <v>121</v>
      </c>
      <c r="J195" s="1298" t="s">
        <v>1230</v>
      </c>
      <c r="K195" s="1299"/>
      <c r="L195" s="3065" t="s">
        <v>121</v>
      </c>
      <c r="M195" s="1298" t="s">
        <v>1248</v>
      </c>
      <c r="N195" s="1307"/>
      <c r="O195" s="1307"/>
      <c r="P195" s="1307"/>
      <c r="Q195" s="1307"/>
      <c r="R195" s="1307"/>
      <c r="S195" s="1307"/>
      <c r="T195" s="1307"/>
      <c r="U195" s="1307"/>
      <c r="V195" s="1307"/>
      <c r="W195" s="1307"/>
      <c r="X195" s="1308"/>
      <c r="Y195" s="1292"/>
      <c r="Z195" s="1292"/>
      <c r="AA195" s="1292"/>
      <c r="AB195" s="1293"/>
      <c r="AC195" s="1544"/>
      <c r="AD195" s="1544"/>
      <c r="AE195" s="1544"/>
      <c r="AF195" s="1544"/>
      <c r="AI195" s="3056" t="str">
        <f>"22:ninticare_code:" &amp; IF(I195="■",1,IF(L195="■",2,0))</f>
        <v>22:ninticare_code:0</v>
      </c>
    </row>
    <row r="196" spans="1:36" s="3056" customFormat="1" ht="18.75" customHeight="1">
      <c r="A196" s="3069" t="s">
        <v>121</v>
      </c>
      <c r="B196" s="1407">
        <v>22</v>
      </c>
      <c r="C196" s="1303" t="s">
        <v>1321</v>
      </c>
      <c r="D196" s="3122" t="s">
        <v>121</v>
      </c>
      <c r="E196" s="1275" t="s">
        <v>1323</v>
      </c>
      <c r="F196" s="3122" t="s">
        <v>121</v>
      </c>
      <c r="G196" s="1275" t="s">
        <v>1254</v>
      </c>
      <c r="H196" s="1363" t="s">
        <v>1305</v>
      </c>
      <c r="I196" s="3066" t="s">
        <v>121</v>
      </c>
      <c r="J196" s="1298" t="s">
        <v>1230</v>
      </c>
      <c r="K196" s="1299"/>
      <c r="L196" s="3065" t="s">
        <v>121</v>
      </c>
      <c r="M196" s="1298" t="s">
        <v>1248</v>
      </c>
      <c r="N196" s="1307"/>
      <c r="O196" s="1307"/>
      <c r="P196" s="1307"/>
      <c r="Q196" s="1307"/>
      <c r="R196" s="1307"/>
      <c r="S196" s="1307"/>
      <c r="T196" s="1307"/>
      <c r="U196" s="1307"/>
      <c r="V196" s="1307"/>
      <c r="W196" s="1307"/>
      <c r="X196" s="1308"/>
      <c r="Y196" s="1292"/>
      <c r="Z196" s="1292"/>
      <c r="AA196" s="1292"/>
      <c r="AB196" s="1293"/>
      <c r="AC196" s="1544"/>
      <c r="AD196" s="1544"/>
      <c r="AE196" s="1544"/>
      <c r="AF196" s="1544"/>
      <c r="AI196" s="3056" t="str">
        <f>"22:jyakuninti_uke_code:" &amp; IF(I196="■",1,IF(L196="■",2,0))</f>
        <v>22:jyakuninti_uke_code:0</v>
      </c>
    </row>
    <row r="197" spans="1:36" s="3056" customFormat="1" ht="18.75" customHeight="1">
      <c r="A197" s="735"/>
      <c r="B197" s="1407"/>
      <c r="C197" s="1303"/>
      <c r="D197" s="1304"/>
      <c r="E197" s="1275"/>
      <c r="F197" s="3122" t="s">
        <v>121</v>
      </c>
      <c r="G197" s="1275" t="s">
        <v>1259</v>
      </c>
      <c r="H197" s="1363" t="s">
        <v>1255</v>
      </c>
      <c r="I197" s="3066" t="s">
        <v>121</v>
      </c>
      <c r="J197" s="1298" t="s">
        <v>1230</v>
      </c>
      <c r="K197" s="1298"/>
      <c r="L197" s="3065" t="s">
        <v>121</v>
      </c>
      <c r="M197" s="1298" t="s">
        <v>1256</v>
      </c>
      <c r="N197" s="1298"/>
      <c r="O197" s="3065" t="s">
        <v>121</v>
      </c>
      <c r="P197" s="1298" t="s">
        <v>1257</v>
      </c>
      <c r="Q197" s="1307"/>
      <c r="R197" s="1307"/>
      <c r="S197" s="1307"/>
      <c r="T197" s="1307"/>
      <c r="U197" s="1307"/>
      <c r="V197" s="1307"/>
      <c r="W197" s="1307"/>
      <c r="X197" s="1308"/>
      <c r="Y197" s="1292"/>
      <c r="Z197" s="1292"/>
      <c r="AA197" s="1292"/>
      <c r="AB197" s="1293"/>
      <c r="AC197" s="1544"/>
      <c r="AD197" s="1544"/>
      <c r="AE197" s="1544"/>
      <c r="AF197" s="1544"/>
      <c r="AI197" s="3056" t="str">
        <f>"22:zaitaku_hukki_code:" &amp; IF(I197="■",1,IF(L197="■",2,IF(O197="■",3,0)))</f>
        <v>22:zaitaku_hukki_code:0</v>
      </c>
    </row>
    <row r="198" spans="1:36" s="3056" customFormat="1" ht="18.75" customHeight="1">
      <c r="A198" s="735"/>
      <c r="B198" s="1407"/>
      <c r="C198" s="1303"/>
      <c r="D198" s="1304"/>
      <c r="E198" s="1275"/>
      <c r="F198" s="1289"/>
      <c r="G198" s="1275"/>
      <c r="H198" s="1363" t="s">
        <v>1324</v>
      </c>
      <c r="I198" s="3066" t="s">
        <v>121</v>
      </c>
      <c r="J198" s="1298" t="s">
        <v>1239</v>
      </c>
      <c r="K198" s="1299"/>
      <c r="L198" s="1300"/>
      <c r="M198" s="3065" t="s">
        <v>121</v>
      </c>
      <c r="N198" s="1298" t="s">
        <v>1240</v>
      </c>
      <c r="O198" s="1307"/>
      <c r="P198" s="1307"/>
      <c r="Q198" s="1307"/>
      <c r="R198" s="1307"/>
      <c r="S198" s="1307"/>
      <c r="T198" s="1307"/>
      <c r="U198" s="1307"/>
      <c r="V198" s="1307"/>
      <c r="W198" s="1307"/>
      <c r="X198" s="1308"/>
      <c r="Y198" s="1292"/>
      <c r="Z198" s="1292"/>
      <c r="AA198" s="1292"/>
      <c r="AB198" s="1293"/>
      <c r="AC198" s="1544"/>
      <c r="AD198" s="1544"/>
      <c r="AE198" s="1544"/>
      <c r="AF198" s="1544"/>
      <c r="AI198" s="3056" t="str">
        <f>"22:sougei_code:" &amp; IF(I198="■",1,IF(M198="■",2,0))</f>
        <v>22:sougei_code:0</v>
      </c>
    </row>
    <row r="199" spans="1:36" s="3056" customFormat="1" ht="19.5" customHeight="1">
      <c r="A199" s="735"/>
      <c r="B199" s="1407"/>
      <c r="C199" s="1303"/>
      <c r="D199" s="1304"/>
      <c r="E199" s="1275"/>
      <c r="F199" s="1289"/>
      <c r="G199" s="1275"/>
      <c r="H199" s="1306" t="s">
        <v>1325</v>
      </c>
      <c r="I199" s="3066" t="s">
        <v>121</v>
      </c>
      <c r="J199" s="1298" t="s">
        <v>1230</v>
      </c>
      <c r="K199" s="1298"/>
      <c r="L199" s="3065" t="s">
        <v>121</v>
      </c>
      <c r="M199" s="1298" t="s">
        <v>1248</v>
      </c>
      <c r="N199" s="1298"/>
      <c r="O199" s="1307"/>
      <c r="P199" s="1298"/>
      <c r="Q199" s="1307"/>
      <c r="R199" s="1307"/>
      <c r="S199" s="1307"/>
      <c r="T199" s="1307"/>
      <c r="U199" s="1307"/>
      <c r="V199" s="1307"/>
      <c r="W199" s="1307"/>
      <c r="X199" s="1308"/>
      <c r="Y199" s="1292"/>
      <c r="Z199" s="1292"/>
      <c r="AA199" s="1292"/>
      <c r="AB199" s="1293"/>
      <c r="AC199" s="1544"/>
      <c r="AD199" s="1544"/>
      <c r="AE199" s="1544"/>
      <c r="AF199" s="1544"/>
      <c r="AI199" s="3056" t="str">
        <f>"22:field224:" &amp; IF(I199="■",1,IF(L199="■",2,0))</f>
        <v>22:field224:0</v>
      </c>
    </row>
    <row r="200" spans="1:36" s="3056" customFormat="1" ht="18.75" customHeight="1">
      <c r="A200" s="735"/>
      <c r="B200" s="1407"/>
      <c r="C200" s="1303"/>
      <c r="D200" s="1304"/>
      <c r="E200" s="1275"/>
      <c r="F200" s="1289"/>
      <c r="G200" s="1275"/>
      <c r="H200" s="1363" t="s">
        <v>145</v>
      </c>
      <c r="I200" s="3066" t="s">
        <v>121</v>
      </c>
      <c r="J200" s="1298" t="s">
        <v>1230</v>
      </c>
      <c r="K200" s="1299"/>
      <c r="L200" s="3065" t="s">
        <v>121</v>
      </c>
      <c r="M200" s="1298" t="s">
        <v>1248</v>
      </c>
      <c r="N200" s="1307"/>
      <c r="O200" s="1307"/>
      <c r="P200" s="1307"/>
      <c r="Q200" s="1307"/>
      <c r="R200" s="1307"/>
      <c r="S200" s="1307"/>
      <c r="T200" s="1307"/>
      <c r="U200" s="1307"/>
      <c r="V200" s="1307"/>
      <c r="W200" s="1307"/>
      <c r="X200" s="1308"/>
      <c r="Y200" s="1292"/>
      <c r="Z200" s="1292"/>
      <c r="AA200" s="1292"/>
      <c r="AB200" s="1293"/>
      <c r="AC200" s="1544"/>
      <c r="AD200" s="1544"/>
      <c r="AE200" s="1544"/>
      <c r="AF200" s="1544"/>
      <c r="AI200" s="3056" t="str">
        <f>"22:ryouyoushoku_code:" &amp; IF(I200="■",1,IF(L200="■",2,0))</f>
        <v>22:ryouyoushoku_code:0</v>
      </c>
    </row>
    <row r="201" spans="1:36" s="3056" customFormat="1" ht="18.75" customHeight="1">
      <c r="A201" s="735"/>
      <c r="B201" s="1407"/>
      <c r="C201" s="1303"/>
      <c r="D201" s="1304"/>
      <c r="E201" s="1275"/>
      <c r="F201" s="1289"/>
      <c r="G201" s="1275"/>
      <c r="H201" s="1363" t="s">
        <v>1326</v>
      </c>
      <c r="I201" s="3066" t="s">
        <v>121</v>
      </c>
      <c r="J201" s="1298" t="s">
        <v>1230</v>
      </c>
      <c r="K201" s="1298"/>
      <c r="L201" s="3065" t="s">
        <v>121</v>
      </c>
      <c r="M201" s="1298" t="s">
        <v>1256</v>
      </c>
      <c r="N201" s="1298"/>
      <c r="O201" s="3065" t="s">
        <v>121</v>
      </c>
      <c r="P201" s="1298" t="s">
        <v>1257</v>
      </c>
      <c r="Q201" s="1307"/>
      <c r="R201" s="1307"/>
      <c r="S201" s="1307"/>
      <c r="T201" s="1307"/>
      <c r="U201" s="1307"/>
      <c r="V201" s="1307"/>
      <c r="W201" s="1307"/>
      <c r="X201" s="1308"/>
      <c r="Y201" s="1292"/>
      <c r="Z201" s="1292"/>
      <c r="AA201" s="1292"/>
      <c r="AB201" s="1293"/>
      <c r="AC201" s="1544"/>
      <c r="AD201" s="1544"/>
      <c r="AE201" s="1544"/>
      <c r="AF201" s="1544"/>
      <c r="AI201" s="3056" t="str">
        <f>"22:ninti_senmoncare_code:" &amp; IF(I201="■",1,IF(O201="■",3,IF(L201="■",2,0)))</f>
        <v>22:ninti_senmoncare_code:0</v>
      </c>
    </row>
    <row r="202" spans="1:36" s="3056" customFormat="1" ht="18.75" customHeight="1">
      <c r="A202" s="735"/>
      <c r="B202" s="1407"/>
      <c r="C202" s="1303"/>
      <c r="D202" s="1304"/>
      <c r="E202" s="1275"/>
      <c r="F202" s="1289"/>
      <c r="G202" s="1275"/>
      <c r="H202" s="1313" t="s">
        <v>1265</v>
      </c>
      <c r="I202" s="3066" t="s">
        <v>121</v>
      </c>
      <c r="J202" s="1298" t="s">
        <v>1230</v>
      </c>
      <c r="K202" s="1298"/>
      <c r="L202" s="3065" t="s">
        <v>121</v>
      </c>
      <c r="M202" s="1298" t="s">
        <v>1256</v>
      </c>
      <c r="N202" s="1298"/>
      <c r="O202" s="3065" t="s">
        <v>121</v>
      </c>
      <c r="P202" s="1298" t="s">
        <v>1257</v>
      </c>
      <c r="Q202" s="1307"/>
      <c r="R202" s="1307"/>
      <c r="S202" s="1307"/>
      <c r="T202" s="1307"/>
      <c r="U202" s="1314"/>
      <c r="V202" s="1314"/>
      <c r="W202" s="1314"/>
      <c r="X202" s="1315"/>
      <c r="Y202" s="1292"/>
      <c r="Z202" s="1292"/>
      <c r="AA202" s="1292"/>
      <c r="AB202" s="1293"/>
      <c r="AC202" s="1544"/>
      <c r="AD202" s="1544"/>
      <c r="AE202" s="1544"/>
      <c r="AF202" s="1544"/>
      <c r="AI202" s="3056" t="str">
        <f>"22:field225:" &amp; IF(I202="■",1,IF(L202="■",2,IF(O202="■",3,0)))</f>
        <v>22:field225:0</v>
      </c>
    </row>
    <row r="203" spans="1:36" s="3056" customFormat="1" ht="18.75" customHeight="1">
      <c r="A203" s="735"/>
      <c r="B203" s="1407"/>
      <c r="C203" s="1303"/>
      <c r="D203" s="1304"/>
      <c r="E203" s="1275"/>
      <c r="F203" s="1289"/>
      <c r="G203" s="1275"/>
      <c r="H203" s="1364" t="s">
        <v>1266</v>
      </c>
      <c r="I203" s="3066" t="s">
        <v>121</v>
      </c>
      <c r="J203" s="1298" t="s">
        <v>1230</v>
      </c>
      <c r="K203" s="1298"/>
      <c r="L203" s="3065" t="s">
        <v>121</v>
      </c>
      <c r="M203" s="1298" t="s">
        <v>1267</v>
      </c>
      <c r="N203" s="1298"/>
      <c r="O203" s="3065" t="s">
        <v>121</v>
      </c>
      <c r="P203" s="1298" t="s">
        <v>1268</v>
      </c>
      <c r="Q203" s="1326"/>
      <c r="R203" s="3065" t="s">
        <v>121</v>
      </c>
      <c r="S203" s="1298" t="s">
        <v>1269</v>
      </c>
      <c r="T203" s="1326"/>
      <c r="U203" s="1326"/>
      <c r="V203" s="1326"/>
      <c r="W203" s="1326"/>
      <c r="X203" s="1327"/>
      <c r="Y203" s="1292"/>
      <c r="Z203" s="1292"/>
      <c r="AA203" s="1292"/>
      <c r="AB203" s="1293"/>
      <c r="AC203" s="1544"/>
      <c r="AD203" s="1544"/>
      <c r="AE203" s="1544"/>
      <c r="AF203" s="1544"/>
      <c r="AI203" s="3056" t="str">
        <f>"22:serteikyo_kyoka_code:" &amp; IF(I203="■",1,IF(L203="■",6,IF(O203="■",5,IF(R203="■",7,0))))</f>
        <v>22:serteikyo_kyoka_code:0</v>
      </c>
    </row>
    <row r="204" spans="1:36" s="3056" customFormat="1" ht="18.75" customHeight="1">
      <c r="A204" s="735"/>
      <c r="B204" s="1407"/>
      <c r="C204" s="1303"/>
      <c r="D204" s="1304"/>
      <c r="E204" s="1275"/>
      <c r="F204" s="1289"/>
      <c r="G204" s="1275"/>
      <c r="H204" s="1539" t="s">
        <v>2390</v>
      </c>
      <c r="I204" s="3162" t="s">
        <v>121</v>
      </c>
      <c r="J204" s="3161" t="s">
        <v>1230</v>
      </c>
      <c r="K204" s="3161"/>
      <c r="L204" s="3160" t="s">
        <v>121</v>
      </c>
      <c r="M204" s="3161" t="s">
        <v>1248</v>
      </c>
      <c r="N204" s="3161"/>
      <c r="O204" s="1290"/>
      <c r="P204" s="1290"/>
      <c r="Q204" s="1290"/>
      <c r="R204" s="1290"/>
      <c r="S204" s="1290"/>
      <c r="T204" s="1290"/>
      <c r="U204" s="1290"/>
      <c r="V204" s="1290"/>
      <c r="W204" s="1290"/>
      <c r="X204" s="1331"/>
      <c r="Y204" s="1292"/>
      <c r="Z204" s="1292"/>
      <c r="AA204" s="1292"/>
      <c r="AB204" s="1293"/>
      <c r="AC204" s="1544"/>
      <c r="AD204" s="1544"/>
      <c r="AE204" s="1544"/>
      <c r="AF204" s="1544"/>
      <c r="AI204" s="3056" t="str">
        <f>"22:field221:" &amp; IF(I204="■",1,IF(L204="■",2,0))</f>
        <v>22:field221:0</v>
      </c>
    </row>
    <row r="205" spans="1:36" s="3056" customFormat="1" ht="18.75" customHeight="1">
      <c r="A205" s="735"/>
      <c r="B205" s="1407"/>
      <c r="C205" s="1303"/>
      <c r="D205" s="1304"/>
      <c r="E205" s="1275"/>
      <c r="F205" s="1289"/>
      <c r="G205" s="1275"/>
      <c r="H205" s="1540"/>
      <c r="I205" s="3162"/>
      <c r="J205" s="3161"/>
      <c r="K205" s="3161"/>
      <c r="L205" s="3160"/>
      <c r="M205" s="3161"/>
      <c r="N205" s="3161"/>
      <c r="O205" s="1296"/>
      <c r="P205" s="1296"/>
      <c r="Q205" s="1296"/>
      <c r="R205" s="1296"/>
      <c r="S205" s="1296"/>
      <c r="T205" s="1296"/>
      <c r="U205" s="1296"/>
      <c r="V205" s="1296"/>
      <c r="W205" s="1296"/>
      <c r="X205" s="1332"/>
      <c r="Y205" s="1292"/>
      <c r="Z205" s="1292"/>
      <c r="AA205" s="1292"/>
      <c r="AB205" s="1293"/>
      <c r="AC205" s="1544"/>
      <c r="AD205" s="1544"/>
      <c r="AE205" s="1544"/>
      <c r="AF205" s="1544"/>
    </row>
    <row r="206" spans="1:36" s="3056" customFormat="1" ht="18.75" customHeight="1">
      <c r="A206" s="736"/>
      <c r="B206" s="1316"/>
      <c r="C206" s="1346"/>
      <c r="D206" s="1348"/>
      <c r="E206" s="1317"/>
      <c r="F206" s="1318"/>
      <c r="G206" s="1361"/>
      <c r="H206" s="3134" t="s">
        <v>2288</v>
      </c>
      <c r="I206" s="3060" t="s">
        <v>121</v>
      </c>
      <c r="J206" s="3130" t="s">
        <v>1230</v>
      </c>
      <c r="K206" s="3130"/>
      <c r="L206" s="3059" t="s">
        <v>121</v>
      </c>
      <c r="M206" s="3130" t="s">
        <v>2287</v>
      </c>
      <c r="N206" s="3133"/>
      <c r="O206" s="3059" t="s">
        <v>121</v>
      </c>
      <c r="P206" s="3132" t="s">
        <v>2286</v>
      </c>
      <c r="Q206" s="3131"/>
      <c r="R206" s="3059" t="s">
        <v>121</v>
      </c>
      <c r="S206" s="3130" t="s">
        <v>2285</v>
      </c>
      <c r="T206" s="3131"/>
      <c r="U206" s="3059" t="s">
        <v>121</v>
      </c>
      <c r="V206" s="3130" t="s">
        <v>2284</v>
      </c>
      <c r="W206" s="3129"/>
      <c r="X206" s="3128"/>
      <c r="Y206" s="1323"/>
      <c r="Z206" s="1323"/>
      <c r="AA206" s="1323"/>
      <c r="AB206" s="1324"/>
      <c r="AC206" s="1558"/>
      <c r="AD206" s="1558"/>
      <c r="AE206" s="1558"/>
      <c r="AF206" s="1558"/>
      <c r="AI206" s="3056" t="str">
        <f>"22:shoguukaizen_code:"&amp;IF(I206="■",1,IF(L206="■",7,IF(O206="■",8,IF(R206="■",9,IF(U206="■","A",0)))))</f>
        <v>22:shoguukaizen_code:0</v>
      </c>
    </row>
    <row r="207" spans="1:36" s="3056" customFormat="1" ht="18.75" customHeight="1">
      <c r="A207" s="1276"/>
      <c r="B207" s="1405"/>
      <c r="C207" s="1333"/>
      <c r="D207" s="1335"/>
      <c r="E207" s="1272"/>
      <c r="F207" s="1279"/>
      <c r="G207" s="1272"/>
      <c r="H207" s="1408" t="s">
        <v>1226</v>
      </c>
      <c r="I207" s="3074" t="s">
        <v>121</v>
      </c>
      <c r="J207" s="1280" t="s">
        <v>1227</v>
      </c>
      <c r="K207" s="1281"/>
      <c r="L207" s="1282"/>
      <c r="M207" s="3073" t="s">
        <v>121</v>
      </c>
      <c r="N207" s="1280" t="s">
        <v>1228</v>
      </c>
      <c r="O207" s="1284"/>
      <c r="P207" s="1284"/>
      <c r="Q207" s="1284"/>
      <c r="R207" s="1284"/>
      <c r="S207" s="1284"/>
      <c r="T207" s="1284"/>
      <c r="U207" s="1284"/>
      <c r="V207" s="1284"/>
      <c r="W207" s="1284"/>
      <c r="X207" s="1325"/>
      <c r="Y207" s="3138" t="s">
        <v>121</v>
      </c>
      <c r="Z207" s="1270" t="s">
        <v>1229</v>
      </c>
      <c r="AA207" s="1270"/>
      <c r="AB207" s="1286"/>
      <c r="AC207" s="1543"/>
      <c r="AD207" s="1543"/>
      <c r="AE207" s="1543"/>
      <c r="AF207" s="1543"/>
      <c r="AG207" s="3056" t="str">
        <f>"ser_code = '" &amp; IF(A218="■",22,"") &amp; "'"</f>
        <v>ser_code = ''</v>
      </c>
      <c r="AI207" s="3056" t="str">
        <f>"22:yakan_kinmu_code:" &amp; IF(I207="■",1,IF(M207="■",6,0))</f>
        <v>22:yakan_kinmu_code:0</v>
      </c>
      <c r="AJ207" s="3056" t="str">
        <f>"22:field203:" &amp; IF(Y207="■",1,IF(Y208="■",2,0))</f>
        <v>22:field203:0</v>
      </c>
    </row>
    <row r="208" spans="1:36" s="3056" customFormat="1" ht="18.75" customHeight="1">
      <c r="A208" s="735"/>
      <c r="B208" s="1407"/>
      <c r="C208" s="1303"/>
      <c r="D208" s="1304"/>
      <c r="E208" s="1275"/>
      <c r="F208" s="1289"/>
      <c r="G208" s="1275"/>
      <c r="H208" s="1541" t="s">
        <v>1290</v>
      </c>
      <c r="I208" s="3137" t="s">
        <v>121</v>
      </c>
      <c r="J208" s="1290" t="s">
        <v>1230</v>
      </c>
      <c r="K208" s="1290"/>
      <c r="L208" s="1329"/>
      <c r="M208" s="3136" t="s">
        <v>121</v>
      </c>
      <c r="N208" s="1290" t="s">
        <v>1231</v>
      </c>
      <c r="O208" s="1290"/>
      <c r="P208" s="1329"/>
      <c r="Q208" s="3136" t="s">
        <v>121</v>
      </c>
      <c r="R208" s="1402" t="s">
        <v>1232</v>
      </c>
      <c r="S208" s="1402"/>
      <c r="T208" s="1402"/>
      <c r="U208" s="3136" t="s">
        <v>121</v>
      </c>
      <c r="V208" s="1402" t="s">
        <v>1233</v>
      </c>
      <c r="W208" s="1402"/>
      <c r="X208" s="1291"/>
      <c r="Y208" s="3122" t="s">
        <v>121</v>
      </c>
      <c r="Z208" s="1273" t="s">
        <v>1234</v>
      </c>
      <c r="AA208" s="1292"/>
      <c r="AB208" s="1293"/>
      <c r="AC208" s="1544"/>
      <c r="AD208" s="1544"/>
      <c r="AE208" s="1544"/>
      <c r="AF208" s="1544"/>
      <c r="AG208" s="3056" t="str">
        <f>"22:sisetukbn_code:" &amp; IF(D217="■",5,IF(D218="■",7,0))</f>
        <v>22:sisetukbn_code:0</v>
      </c>
      <c r="AI208" s="3056" t="str">
        <f>"22:"&amp;IF(AND(I208="□",M208="□",Q208="□",U208="□",I209="□",M209="□",Q209="□"),"ketu_doctor_code:0",IF(I208="■","ketu_doctor_code:1:ketu_kangos_code:1:ketu_kshoku_code:1:ketu_rryoho_code:1:ketu_sryoho_code:1:ketu_gengo_code:1",
IF(M208="■","ketu_doctor_code:2","ketu_doctor_code:1")
&amp;IF(Q208="■",":ketu_kangos_code:2",":ketu_kangos_code:1")
&amp;IF(U208="■",":ketu_kshoku_code:2",":ketu_kshoku_code:1")
&amp;IF(I209="■",":ketu_rryoho_code:2",":ketu_rryoho_code:1")
&amp;IF(M209="■",":ketu_sryoho_code:2",":ketu_sryoho_code:1")
&amp;IF(Q209="■",":ketu_gengo_code:2",":ketu_gengo_code:1")))</f>
        <v>22:ketu_doctor_code:0</v>
      </c>
    </row>
    <row r="209" spans="1:35" s="3056" customFormat="1" ht="18.75" customHeight="1">
      <c r="A209" s="735"/>
      <c r="B209" s="1407"/>
      <c r="C209" s="1303"/>
      <c r="D209" s="1304"/>
      <c r="E209" s="1275"/>
      <c r="F209" s="1289"/>
      <c r="G209" s="1275"/>
      <c r="H209" s="1542"/>
      <c r="I209" s="3063" t="s">
        <v>121</v>
      </c>
      <c r="J209" s="1296" t="s">
        <v>1235</v>
      </c>
      <c r="K209" s="1296"/>
      <c r="L209" s="1355"/>
      <c r="M209" s="3062" t="s">
        <v>121</v>
      </c>
      <c r="N209" s="1296" t="s">
        <v>1236</v>
      </c>
      <c r="O209" s="1296"/>
      <c r="P209" s="1355"/>
      <c r="Q209" s="3062" t="s">
        <v>121</v>
      </c>
      <c r="R209" s="1403" t="s">
        <v>1291</v>
      </c>
      <c r="S209" s="1403"/>
      <c r="T209" s="1403"/>
      <c r="U209" s="1403"/>
      <c r="V209" s="1403"/>
      <c r="W209" s="1403"/>
      <c r="X209" s="1297"/>
      <c r="Y209" s="1295"/>
      <c r="Z209" s="1292"/>
      <c r="AA209" s="1292"/>
      <c r="AB209" s="1293"/>
      <c r="AC209" s="1544"/>
      <c r="AD209" s="1544"/>
      <c r="AE209" s="1544"/>
      <c r="AF209" s="1544"/>
    </row>
    <row r="210" spans="1:35" s="3056" customFormat="1" ht="18.75" customHeight="1">
      <c r="A210" s="735"/>
      <c r="B210" s="1407"/>
      <c r="C210" s="1303"/>
      <c r="D210" s="1304"/>
      <c r="E210" s="1275"/>
      <c r="F210" s="1289"/>
      <c r="G210" s="1275"/>
      <c r="H210" s="1409" t="s">
        <v>91</v>
      </c>
      <c r="I210" s="3066" t="s">
        <v>121</v>
      </c>
      <c r="J210" s="1298" t="s">
        <v>1239</v>
      </c>
      <c r="K210" s="1299"/>
      <c r="L210" s="1300"/>
      <c r="M210" s="3065" t="s">
        <v>121</v>
      </c>
      <c r="N210" s="1298" t="s">
        <v>1240</v>
      </c>
      <c r="O210" s="1307"/>
      <c r="P210" s="1307"/>
      <c r="Q210" s="1307"/>
      <c r="R210" s="1307"/>
      <c r="S210" s="1307"/>
      <c r="T210" s="1307"/>
      <c r="U210" s="1307"/>
      <c r="V210" s="1307"/>
      <c r="W210" s="1307"/>
      <c r="X210" s="1308"/>
      <c r="Y210" s="1295"/>
      <c r="Z210" s="1292"/>
      <c r="AA210" s="1292"/>
      <c r="AB210" s="1293"/>
      <c r="AC210" s="1544"/>
      <c r="AD210" s="1544"/>
      <c r="AE210" s="1544"/>
      <c r="AF210" s="1544"/>
      <c r="AI210" s="3056" t="str">
        <f>"22:unitcare_code:" &amp; IF(I210="■",1,IF(M210="■",2,0))</f>
        <v>22:unitcare_code:0</v>
      </c>
    </row>
    <row r="211" spans="1:35" s="3056" customFormat="1" ht="18.75" customHeight="1">
      <c r="A211" s="735"/>
      <c r="B211" s="1407"/>
      <c r="C211" s="1287"/>
      <c r="D211" s="1288"/>
      <c r="E211" s="1275"/>
      <c r="F211" s="1289"/>
      <c r="G211" s="1305"/>
      <c r="H211" s="3193" t="s">
        <v>1241</v>
      </c>
      <c r="I211" s="3096" t="s">
        <v>121</v>
      </c>
      <c r="J211" s="3091" t="s">
        <v>1242</v>
      </c>
      <c r="K211" s="3095"/>
      <c r="L211" s="3094"/>
      <c r="M211" s="3093" t="s">
        <v>121</v>
      </c>
      <c r="N211" s="3091" t="s">
        <v>1243</v>
      </c>
      <c r="O211" s="3095"/>
      <c r="P211" s="3192"/>
      <c r="Q211" s="3192"/>
      <c r="R211" s="3192"/>
      <c r="S211" s="3192"/>
      <c r="T211" s="3192"/>
      <c r="U211" s="3192"/>
      <c r="V211" s="3192"/>
      <c r="W211" s="3192"/>
      <c r="X211" s="3191"/>
      <c r="Y211" s="1295"/>
      <c r="Z211" s="1292"/>
      <c r="AA211" s="1292"/>
      <c r="AB211" s="1293"/>
      <c r="AC211" s="1544"/>
      <c r="AD211" s="1544"/>
      <c r="AE211" s="1544"/>
      <c r="AF211" s="1544"/>
      <c r="AI211" s="3056" t="str">
        <f>"22:sintaikousoku_code:" &amp; IF(I211="■",1,IF(M211="■",2,0))</f>
        <v>22:sintaikousoku_code:0</v>
      </c>
    </row>
    <row r="212" spans="1:35" s="3056" customFormat="1" ht="19.5" customHeight="1">
      <c r="A212" s="735"/>
      <c r="B212" s="1407"/>
      <c r="C212" s="1303"/>
      <c r="D212" s="1304"/>
      <c r="E212" s="1275"/>
      <c r="F212" s="1289"/>
      <c r="G212" s="1305"/>
      <c r="H212" s="1306" t="s">
        <v>1244</v>
      </c>
      <c r="I212" s="3066" t="s">
        <v>121</v>
      </c>
      <c r="J212" s="1298" t="s">
        <v>1242</v>
      </c>
      <c r="K212" s="1299"/>
      <c r="L212" s="1300"/>
      <c r="M212" s="3065" t="s">
        <v>121</v>
      </c>
      <c r="N212" s="1298" t="s">
        <v>1245</v>
      </c>
      <c r="O212" s="1301"/>
      <c r="P212" s="1298"/>
      <c r="Q212" s="1307"/>
      <c r="R212" s="1307"/>
      <c r="S212" s="1307"/>
      <c r="T212" s="1307"/>
      <c r="U212" s="1307"/>
      <c r="V212" s="1307"/>
      <c r="W212" s="1307"/>
      <c r="X212" s="1308"/>
      <c r="Y212" s="1292"/>
      <c r="Z212" s="1292"/>
      <c r="AA212" s="1292"/>
      <c r="AB212" s="1293"/>
      <c r="AC212" s="1544"/>
      <c r="AD212" s="1544"/>
      <c r="AE212" s="1544"/>
      <c r="AF212" s="1544"/>
      <c r="AI212" s="3056" t="str">
        <f>"22:field223:" &amp; IF(I212="■",1,IF(M212="■",2,0))</f>
        <v>22:field223:0</v>
      </c>
    </row>
    <row r="213" spans="1:35" s="3056" customFormat="1" ht="19.5" customHeight="1">
      <c r="A213" s="735"/>
      <c r="B213" s="1407"/>
      <c r="C213" s="1303"/>
      <c r="D213" s="1304"/>
      <c r="E213" s="1275"/>
      <c r="F213" s="1289"/>
      <c r="G213" s="1305"/>
      <c r="H213" s="1306" t="s">
        <v>1246</v>
      </c>
      <c r="I213" s="3066" t="s">
        <v>121</v>
      </c>
      <c r="J213" s="1298" t="s">
        <v>1242</v>
      </c>
      <c r="K213" s="1299"/>
      <c r="L213" s="1300"/>
      <c r="M213" s="3065" t="s">
        <v>121</v>
      </c>
      <c r="N213" s="1298" t="s">
        <v>1245</v>
      </c>
      <c r="O213" s="1301"/>
      <c r="P213" s="1298"/>
      <c r="Q213" s="1307"/>
      <c r="R213" s="1307"/>
      <c r="S213" s="1307"/>
      <c r="T213" s="1307"/>
      <c r="U213" s="1307"/>
      <c r="V213" s="1307"/>
      <c r="W213" s="1307"/>
      <c r="X213" s="1308"/>
      <c r="Y213" s="1292"/>
      <c r="Z213" s="1292"/>
      <c r="AA213" s="1292"/>
      <c r="AB213" s="1293"/>
      <c r="AC213" s="1544"/>
      <c r="AD213" s="1544"/>
      <c r="AE213" s="1544"/>
      <c r="AF213" s="1544"/>
      <c r="AI213" s="3056" t="str">
        <f>"22:field232:" &amp; IF(I213="■",1,IF(M213="■",2,0))</f>
        <v>22:field232:0</v>
      </c>
    </row>
    <row r="214" spans="1:35" s="1418" customFormat="1" ht="19.5" customHeight="1">
      <c r="A214" s="625"/>
      <c r="B214" s="1416"/>
      <c r="C214" s="629"/>
      <c r="D214" s="1417"/>
      <c r="E214" s="1420"/>
      <c r="F214" s="1415"/>
      <c r="G214" s="617"/>
      <c r="H214" s="3148" t="s">
        <v>2328</v>
      </c>
      <c r="I214" s="3066" t="s">
        <v>121</v>
      </c>
      <c r="J214" s="3144" t="s">
        <v>2326</v>
      </c>
      <c r="K214" s="3147"/>
      <c r="L214" s="3146"/>
      <c r="M214" s="3065" t="s">
        <v>121</v>
      </c>
      <c r="N214" s="3144" t="s">
        <v>2325</v>
      </c>
      <c r="O214" s="3145"/>
      <c r="P214" s="3144"/>
      <c r="Q214" s="3143"/>
      <c r="R214" s="3143"/>
      <c r="S214" s="3143"/>
      <c r="T214" s="3143"/>
      <c r="U214" s="3143"/>
      <c r="V214" s="3143"/>
      <c r="W214" s="3143"/>
      <c r="X214" s="3142"/>
      <c r="Y214" s="1421"/>
      <c r="Z214" s="2"/>
      <c r="AA214" s="626"/>
      <c r="AB214" s="627"/>
      <c r="AC214" s="1544"/>
      <c r="AD214" s="1544"/>
      <c r="AE214" s="1544"/>
      <c r="AF214" s="1544"/>
      <c r="AI214" s="3056" t="str">
        <f>"22:field242:" &amp; IF(I214="■",1,IF(M214="■",2,0))</f>
        <v>22:field242:0</v>
      </c>
    </row>
    <row r="215" spans="1:35" s="3056" customFormat="1" ht="18.75" customHeight="1">
      <c r="A215" s="735"/>
      <c r="B215" s="1407"/>
      <c r="C215" s="1303"/>
      <c r="D215" s="1304"/>
      <c r="E215" s="1275"/>
      <c r="F215" s="1289"/>
      <c r="G215" s="1275"/>
      <c r="H215" s="1409" t="s">
        <v>140</v>
      </c>
      <c r="I215" s="3066" t="s">
        <v>121</v>
      </c>
      <c r="J215" s="1298" t="s">
        <v>1230</v>
      </c>
      <c r="K215" s="1299"/>
      <c r="L215" s="3065" t="s">
        <v>121</v>
      </c>
      <c r="M215" s="1298" t="s">
        <v>1248</v>
      </c>
      <c r="N215" s="1307"/>
      <c r="O215" s="1307"/>
      <c r="P215" s="1307"/>
      <c r="Q215" s="1307"/>
      <c r="R215" s="1307"/>
      <c r="S215" s="1307"/>
      <c r="T215" s="1307"/>
      <c r="U215" s="1307"/>
      <c r="V215" s="1307"/>
      <c r="W215" s="1307"/>
      <c r="X215" s="1308"/>
      <c r="Y215" s="1295"/>
      <c r="Z215" s="1292"/>
      <c r="AA215" s="1292"/>
      <c r="AB215" s="1293"/>
      <c r="AC215" s="1544"/>
      <c r="AD215" s="1544"/>
      <c r="AE215" s="1544"/>
      <c r="AF215" s="1544"/>
      <c r="AI215" s="3056" t="str">
        <f>"22:yakinhaiti_code:" &amp; IF(I215="■",1,IF(L215="■",2,0))</f>
        <v>22:yakinhaiti_code:0</v>
      </c>
    </row>
    <row r="216" spans="1:35" s="3056" customFormat="1" ht="18.75" customHeight="1">
      <c r="A216" s="735"/>
      <c r="B216" s="1407"/>
      <c r="C216" s="1303"/>
      <c r="D216" s="1304"/>
      <c r="E216" s="1275"/>
      <c r="F216" s="1289"/>
      <c r="G216" s="1275"/>
      <c r="H216" s="1409" t="s">
        <v>1327</v>
      </c>
      <c r="I216" s="3066" t="s">
        <v>121</v>
      </c>
      <c r="J216" s="1298" t="s">
        <v>1328</v>
      </c>
      <c r="K216" s="1298"/>
      <c r="L216" s="1300"/>
      <c r="M216" s="1300"/>
      <c r="N216" s="3065" t="s">
        <v>121</v>
      </c>
      <c r="O216" s="1298" t="s">
        <v>1329</v>
      </c>
      <c r="P216" s="1307"/>
      <c r="Q216" s="1307"/>
      <c r="R216" s="1307"/>
      <c r="S216" s="3065" t="s">
        <v>121</v>
      </c>
      <c r="T216" s="1298" t="s">
        <v>1330</v>
      </c>
      <c r="U216" s="1307"/>
      <c r="V216" s="1307"/>
      <c r="W216" s="1307"/>
      <c r="X216" s="1308"/>
      <c r="Y216" s="1295"/>
      <c r="Z216" s="1292"/>
      <c r="AA216" s="1292"/>
      <c r="AB216" s="1293"/>
      <c r="AC216" s="1544"/>
      <c r="AD216" s="1544"/>
      <c r="AE216" s="1544"/>
      <c r="AF216" s="1544"/>
      <c r="AI216" s="3056" t="str">
        <f>"22:"&amp;IF(AND(I216="□",N216="□",S216="□"),"koriha_gengo_code:0:riha_seisin_code:0:koriha_other_code:0",IF(I216="■","koriha_gengo_code:2","koriha_gengo_code:1")
&amp;IF(N216="■",":riha_seisin_code:2",":riha_seisin_code:1")
&amp;IF(S216="■",":koriha_other_code:2",":koriha_other_code:1"))</f>
        <v>22:koriha_gengo_code:0:riha_seisin_code:0:koriha_other_code:0</v>
      </c>
    </row>
    <row r="217" spans="1:35" s="3056" customFormat="1" ht="18.75" customHeight="1">
      <c r="A217" s="735"/>
      <c r="B217" s="1407"/>
      <c r="C217" s="1303"/>
      <c r="D217" s="3122" t="s">
        <v>121</v>
      </c>
      <c r="E217" s="1275" t="s">
        <v>1331</v>
      </c>
      <c r="F217" s="1289"/>
      <c r="G217" s="1275"/>
      <c r="H217" s="1409" t="s">
        <v>1250</v>
      </c>
      <c r="I217" s="3066" t="s">
        <v>121</v>
      </c>
      <c r="J217" s="1298" t="s">
        <v>1230</v>
      </c>
      <c r="K217" s="1299"/>
      <c r="L217" s="3065" t="s">
        <v>121</v>
      </c>
      <c r="M217" s="1298" t="s">
        <v>1248</v>
      </c>
      <c r="N217" s="1307"/>
      <c r="O217" s="1307"/>
      <c r="P217" s="1307"/>
      <c r="Q217" s="1307"/>
      <c r="R217" s="1307"/>
      <c r="S217" s="1307"/>
      <c r="T217" s="1307"/>
      <c r="U217" s="1307"/>
      <c r="V217" s="1307"/>
      <c r="W217" s="1307"/>
      <c r="X217" s="1308"/>
      <c r="Y217" s="1295"/>
      <c r="Z217" s="1292"/>
      <c r="AA217" s="1292"/>
      <c r="AB217" s="1293"/>
      <c r="AC217" s="1544"/>
      <c r="AD217" s="1544"/>
      <c r="AE217" s="1544"/>
      <c r="AF217" s="1544"/>
      <c r="AI217" s="3056" t="str">
        <f>"22:ninticare_code:" &amp; IF(I217="■",1,IF(L217="■",2,0))</f>
        <v>22:ninticare_code:0</v>
      </c>
    </row>
    <row r="218" spans="1:35" s="3056" customFormat="1" ht="18.75" customHeight="1">
      <c r="A218" s="3069" t="s">
        <v>121</v>
      </c>
      <c r="B218" s="1407">
        <v>22</v>
      </c>
      <c r="C218" s="1303" t="s">
        <v>1321</v>
      </c>
      <c r="D218" s="3122" t="s">
        <v>121</v>
      </c>
      <c r="E218" s="1275" t="s">
        <v>1333</v>
      </c>
      <c r="F218" s="1289"/>
      <c r="G218" s="1275"/>
      <c r="H218" s="1409" t="s">
        <v>1305</v>
      </c>
      <c r="I218" s="3066" t="s">
        <v>121</v>
      </c>
      <c r="J218" s="1298" t="s">
        <v>1230</v>
      </c>
      <c r="K218" s="1299"/>
      <c r="L218" s="3065" t="s">
        <v>121</v>
      </c>
      <c r="M218" s="1298" t="s">
        <v>1248</v>
      </c>
      <c r="N218" s="1307"/>
      <c r="O218" s="1307"/>
      <c r="P218" s="1307"/>
      <c r="Q218" s="1307"/>
      <c r="R218" s="1307"/>
      <c r="S218" s="1307"/>
      <c r="T218" s="1307"/>
      <c r="U218" s="1307"/>
      <c r="V218" s="1307"/>
      <c r="W218" s="1307"/>
      <c r="X218" s="1308"/>
      <c r="Y218" s="1295"/>
      <c r="Z218" s="1292"/>
      <c r="AA218" s="1292"/>
      <c r="AB218" s="1293"/>
      <c r="AC218" s="1544"/>
      <c r="AD218" s="1544"/>
      <c r="AE218" s="1544"/>
      <c r="AF218" s="1544"/>
      <c r="AI218" s="3056" t="str">
        <f>"22:jyakuninti_uke_code:" &amp; IF(I218="■",1,IF(L218="■",2,0))</f>
        <v>22:jyakuninti_uke_code:0</v>
      </c>
    </row>
    <row r="219" spans="1:35" s="3056" customFormat="1" ht="18.75" customHeight="1">
      <c r="A219" s="735"/>
      <c r="B219" s="1407"/>
      <c r="C219" s="1303"/>
      <c r="D219" s="1304"/>
      <c r="E219" s="1275"/>
      <c r="F219" s="1289"/>
      <c r="G219" s="1275"/>
      <c r="H219" s="1409" t="s">
        <v>1324</v>
      </c>
      <c r="I219" s="3066" t="s">
        <v>121</v>
      </c>
      <c r="J219" s="1298" t="s">
        <v>1239</v>
      </c>
      <c r="K219" s="1299"/>
      <c r="L219" s="1300"/>
      <c r="M219" s="3065" t="s">
        <v>121</v>
      </c>
      <c r="N219" s="1298" t="s">
        <v>1240</v>
      </c>
      <c r="O219" s="1307"/>
      <c r="P219" s="1307"/>
      <c r="Q219" s="1307"/>
      <c r="R219" s="1307"/>
      <c r="S219" s="1307"/>
      <c r="T219" s="1307"/>
      <c r="U219" s="1307"/>
      <c r="V219" s="1307"/>
      <c r="W219" s="1307"/>
      <c r="X219" s="1308"/>
      <c r="Y219" s="1295"/>
      <c r="Z219" s="1292"/>
      <c r="AA219" s="1292"/>
      <c r="AB219" s="1293"/>
      <c r="AC219" s="1544"/>
      <c r="AD219" s="1544"/>
      <c r="AE219" s="1544"/>
      <c r="AF219" s="1544"/>
      <c r="AI219" s="3056" t="str">
        <f>"22:sougei_code:" &amp; IF(I219="■",1,IF(M219="■",2,0))</f>
        <v>22:sougei_code:0</v>
      </c>
    </row>
    <row r="220" spans="1:35" s="3056" customFormat="1" ht="18.75" customHeight="1">
      <c r="A220" s="735"/>
      <c r="B220" s="1407"/>
      <c r="C220" s="1303"/>
      <c r="D220" s="1304"/>
      <c r="E220" s="1275"/>
      <c r="F220" s="1289"/>
      <c r="G220" s="1275"/>
      <c r="H220" s="1409" t="s">
        <v>1335</v>
      </c>
      <c r="I220" s="3066" t="s">
        <v>121</v>
      </c>
      <c r="J220" s="1298" t="s">
        <v>1273</v>
      </c>
      <c r="K220" s="1307"/>
      <c r="L220" s="1307"/>
      <c r="M220" s="1307"/>
      <c r="N220" s="1307"/>
      <c r="O220" s="1307"/>
      <c r="P220" s="3065" t="s">
        <v>121</v>
      </c>
      <c r="Q220" s="1298" t="s">
        <v>1274</v>
      </c>
      <c r="R220" s="1307"/>
      <c r="S220" s="1326"/>
      <c r="T220" s="1307"/>
      <c r="U220" s="1307"/>
      <c r="V220" s="1307"/>
      <c r="W220" s="1307"/>
      <c r="X220" s="1308"/>
      <c r="Y220" s="1295"/>
      <c r="Z220" s="1292"/>
      <c r="AA220" s="1292"/>
      <c r="AB220" s="1293"/>
      <c r="AC220" s="1544"/>
      <c r="AD220" s="1544"/>
      <c r="AE220" s="1544"/>
      <c r="AF220" s="1544"/>
      <c r="AI220" s="3056" t="str">
        <f>"22:" &amp; IF(AND(I220="□",P220="□"),"tokusin_jyusho_code:0:tokusin_yakuzai_code:0",IF(I220="■","tokusin_jyusho_code:2","tokusin_jyusho_code:1")
&amp;IF(P220="■",":tokusin_yakuzai_code:2",":tokusin_yakuzai_code:1"))</f>
        <v>22:tokusin_jyusho_code:0:tokusin_yakuzai_code:0</v>
      </c>
    </row>
    <row r="221" spans="1:35" s="3056" customFormat="1" ht="18.75" customHeight="1">
      <c r="A221" s="735"/>
      <c r="B221" s="1407"/>
      <c r="C221" s="1303"/>
      <c r="D221" s="1304"/>
      <c r="E221" s="1275"/>
      <c r="F221" s="1289"/>
      <c r="G221" s="1275"/>
      <c r="H221" s="1409" t="s">
        <v>1277</v>
      </c>
      <c r="I221" s="3066" t="s">
        <v>121</v>
      </c>
      <c r="J221" s="1298" t="s">
        <v>1230</v>
      </c>
      <c r="K221" s="1299"/>
      <c r="L221" s="3065" t="s">
        <v>121</v>
      </c>
      <c r="M221" s="1298" t="s">
        <v>1248</v>
      </c>
      <c r="N221" s="1326"/>
      <c r="O221" s="1326"/>
      <c r="P221" s="1326"/>
      <c r="Q221" s="1326"/>
      <c r="R221" s="1326"/>
      <c r="S221" s="1326"/>
      <c r="T221" s="1326"/>
      <c r="U221" s="1326"/>
      <c r="V221" s="1326"/>
      <c r="W221" s="1326"/>
      <c r="X221" s="1327"/>
      <c r="Y221" s="1295"/>
      <c r="Z221" s="1292"/>
      <c r="AA221" s="1292"/>
      <c r="AB221" s="1293"/>
      <c r="AC221" s="1544"/>
      <c r="AD221" s="1544"/>
      <c r="AE221" s="1544"/>
      <c r="AF221" s="1544"/>
      <c r="AI221" s="3056" t="str">
        <f>"22:field198:" &amp; IF(I221="■",1,IF(L221="■",2,0))</f>
        <v>22:field198:0</v>
      </c>
    </row>
    <row r="222" spans="1:35" s="3056" customFormat="1" ht="18.75" customHeight="1">
      <c r="A222" s="735"/>
      <c r="B222" s="1407"/>
      <c r="C222" s="1303"/>
      <c r="D222" s="1304"/>
      <c r="E222" s="1275"/>
      <c r="F222" s="1289"/>
      <c r="G222" s="1275"/>
      <c r="H222" s="1409" t="s">
        <v>1336</v>
      </c>
      <c r="I222" s="3066" t="s">
        <v>121</v>
      </c>
      <c r="J222" s="1298" t="s">
        <v>1230</v>
      </c>
      <c r="K222" s="1299"/>
      <c r="L222" s="3065" t="s">
        <v>121</v>
      </c>
      <c r="M222" s="1298" t="s">
        <v>1248</v>
      </c>
      <c r="N222" s="1326"/>
      <c r="O222" s="1326"/>
      <c r="P222" s="1326"/>
      <c r="Q222" s="1326"/>
      <c r="R222" s="1326"/>
      <c r="S222" s="1326"/>
      <c r="T222" s="1326"/>
      <c r="U222" s="1326"/>
      <c r="V222" s="1326"/>
      <c r="W222" s="1326"/>
      <c r="X222" s="1327"/>
      <c r="Y222" s="1295"/>
      <c r="Z222" s="1292"/>
      <c r="AA222" s="1292"/>
      <c r="AB222" s="1293"/>
      <c r="AC222" s="1544"/>
      <c r="AD222" s="1544"/>
      <c r="AE222" s="1544"/>
      <c r="AF222" s="1544"/>
      <c r="AI222" s="3056" t="str">
        <f>"22:field199:" &amp; IF(I222="■",1,IF(L222="■",2,0))</f>
        <v>22:field199:0</v>
      </c>
    </row>
    <row r="223" spans="1:35" s="3056" customFormat="1" ht="19.5" customHeight="1">
      <c r="A223" s="735"/>
      <c r="B223" s="1407"/>
      <c r="C223" s="1303"/>
      <c r="D223" s="1304"/>
      <c r="E223" s="1275"/>
      <c r="F223" s="1289"/>
      <c r="G223" s="1305"/>
      <c r="H223" s="1306" t="s">
        <v>1325</v>
      </c>
      <c r="I223" s="3066" t="s">
        <v>121</v>
      </c>
      <c r="J223" s="1298" t="s">
        <v>1230</v>
      </c>
      <c r="K223" s="1298"/>
      <c r="L223" s="3065" t="s">
        <v>121</v>
      </c>
      <c r="M223" s="1298" t="s">
        <v>1248</v>
      </c>
      <c r="N223" s="1298"/>
      <c r="O223" s="1307"/>
      <c r="P223" s="1298"/>
      <c r="Q223" s="1307"/>
      <c r="R223" s="1307"/>
      <c r="S223" s="1307"/>
      <c r="T223" s="1307"/>
      <c r="U223" s="1307"/>
      <c r="V223" s="1307"/>
      <c r="W223" s="1307"/>
      <c r="X223" s="1308"/>
      <c r="Y223" s="1292"/>
      <c r="Z223" s="1292"/>
      <c r="AA223" s="1292"/>
      <c r="AB223" s="1293"/>
      <c r="AC223" s="1544"/>
      <c r="AD223" s="1544"/>
      <c r="AE223" s="1544"/>
      <c r="AF223" s="1544"/>
      <c r="AI223" s="3056" t="str">
        <f>"22:field224:" &amp; IF(I223="■",1,IF(L223="■",2,0))</f>
        <v>22:field224:0</v>
      </c>
    </row>
    <row r="224" spans="1:35" s="3056" customFormat="1" ht="18.75" customHeight="1">
      <c r="A224" s="735"/>
      <c r="B224" s="1407"/>
      <c r="C224" s="1303"/>
      <c r="D224" s="1304"/>
      <c r="E224" s="1275"/>
      <c r="F224" s="1289"/>
      <c r="G224" s="1275"/>
      <c r="H224" s="1409" t="s">
        <v>145</v>
      </c>
      <c r="I224" s="3066" t="s">
        <v>121</v>
      </c>
      <c r="J224" s="1298" t="s">
        <v>1230</v>
      </c>
      <c r="K224" s="1299"/>
      <c r="L224" s="3065" t="s">
        <v>121</v>
      </c>
      <c r="M224" s="1298" t="s">
        <v>1248</v>
      </c>
      <c r="N224" s="1307"/>
      <c r="O224" s="1307"/>
      <c r="P224" s="1307"/>
      <c r="Q224" s="1307"/>
      <c r="R224" s="1307"/>
      <c r="S224" s="1307"/>
      <c r="T224" s="1307"/>
      <c r="U224" s="1307"/>
      <c r="V224" s="1307"/>
      <c r="W224" s="1307"/>
      <c r="X224" s="1308"/>
      <c r="Y224" s="1295"/>
      <c r="Z224" s="1292"/>
      <c r="AA224" s="1292"/>
      <c r="AB224" s="1293"/>
      <c r="AC224" s="1544"/>
      <c r="AD224" s="1544"/>
      <c r="AE224" s="1544"/>
      <c r="AF224" s="1544"/>
      <c r="AI224" s="3056" t="str">
        <f>"22:ryouyoushoku_code:" &amp; IF(I224="■",1,IF(L224="■",2,0))</f>
        <v>22:ryouyoushoku_code:0</v>
      </c>
    </row>
    <row r="225" spans="1:36" s="3056" customFormat="1" ht="18.75" customHeight="1">
      <c r="A225" s="735"/>
      <c r="B225" s="1407"/>
      <c r="C225" s="1303"/>
      <c r="D225" s="1304"/>
      <c r="E225" s="1275"/>
      <c r="F225" s="1289"/>
      <c r="G225" s="1275"/>
      <c r="H225" s="1409" t="s">
        <v>1326</v>
      </c>
      <c r="I225" s="3066" t="s">
        <v>121</v>
      </c>
      <c r="J225" s="1298" t="s">
        <v>1230</v>
      </c>
      <c r="K225" s="1298"/>
      <c r="L225" s="3065" t="s">
        <v>121</v>
      </c>
      <c r="M225" s="1298" t="s">
        <v>1256</v>
      </c>
      <c r="N225" s="1298"/>
      <c r="O225" s="3065" t="s">
        <v>121</v>
      </c>
      <c r="P225" s="1298" t="s">
        <v>1257</v>
      </c>
      <c r="Q225" s="1307"/>
      <c r="R225" s="1307"/>
      <c r="S225" s="1307"/>
      <c r="T225" s="1307"/>
      <c r="U225" s="1307"/>
      <c r="V225" s="1307"/>
      <c r="W225" s="1307"/>
      <c r="X225" s="1308"/>
      <c r="Y225" s="1295"/>
      <c r="Z225" s="1292"/>
      <c r="AA225" s="1292"/>
      <c r="AB225" s="1293"/>
      <c r="AC225" s="1544"/>
      <c r="AD225" s="1544"/>
      <c r="AE225" s="1544"/>
      <c r="AF225" s="1544"/>
      <c r="AI225" s="3056" t="str">
        <f>"22:ninti_senmoncare_code:" &amp; IF(I225="■",1,IF(O225="■",3,IF(L225="■",2,0)))</f>
        <v>22:ninti_senmoncare_code:0</v>
      </c>
    </row>
    <row r="226" spans="1:36" s="3056" customFormat="1" ht="18.75" customHeight="1">
      <c r="A226" s="735"/>
      <c r="B226" s="1407"/>
      <c r="C226" s="1303"/>
      <c r="D226" s="1304"/>
      <c r="E226" s="1275"/>
      <c r="F226" s="1289"/>
      <c r="G226" s="1275"/>
      <c r="H226" s="1313" t="s">
        <v>1265</v>
      </c>
      <c r="I226" s="3066" t="s">
        <v>121</v>
      </c>
      <c r="J226" s="1298" t="s">
        <v>1230</v>
      </c>
      <c r="K226" s="1298"/>
      <c r="L226" s="3065" t="s">
        <v>121</v>
      </c>
      <c r="M226" s="1298" t="s">
        <v>1256</v>
      </c>
      <c r="N226" s="1298"/>
      <c r="O226" s="3065" t="s">
        <v>121</v>
      </c>
      <c r="P226" s="1298" t="s">
        <v>1257</v>
      </c>
      <c r="Q226" s="1307"/>
      <c r="R226" s="1307"/>
      <c r="S226" s="1307"/>
      <c r="T226" s="1307"/>
      <c r="U226" s="1314"/>
      <c r="V226" s="1314"/>
      <c r="W226" s="1314"/>
      <c r="X226" s="1315"/>
      <c r="Y226" s="1295"/>
      <c r="Z226" s="1292"/>
      <c r="AA226" s="1292"/>
      <c r="AB226" s="1293"/>
      <c r="AC226" s="1544"/>
      <c r="AD226" s="1544"/>
      <c r="AE226" s="1544"/>
      <c r="AF226" s="1544"/>
      <c r="AI226" s="3056" t="str">
        <f>"22:field225:" &amp; IF(I226="■",1,IF(L226="■",2,IF(O226="■",3,0)))</f>
        <v>22:field225:0</v>
      </c>
    </row>
    <row r="227" spans="1:36" s="3056" customFormat="1" ht="18.75" customHeight="1">
      <c r="A227" s="735"/>
      <c r="B227" s="1407"/>
      <c r="C227" s="1303"/>
      <c r="D227" s="1304"/>
      <c r="E227" s="1275"/>
      <c r="F227" s="1289"/>
      <c r="G227" s="1275"/>
      <c r="H227" s="1312" t="s">
        <v>1266</v>
      </c>
      <c r="I227" s="3066" t="s">
        <v>121</v>
      </c>
      <c r="J227" s="1298" t="s">
        <v>1230</v>
      </c>
      <c r="K227" s="1298"/>
      <c r="L227" s="3065" t="s">
        <v>121</v>
      </c>
      <c r="M227" s="1298" t="s">
        <v>1267</v>
      </c>
      <c r="N227" s="1298"/>
      <c r="O227" s="3065" t="s">
        <v>121</v>
      </c>
      <c r="P227" s="1298" t="s">
        <v>1268</v>
      </c>
      <c r="Q227" s="1326"/>
      <c r="R227" s="3065" t="s">
        <v>121</v>
      </c>
      <c r="S227" s="1298" t="s">
        <v>1269</v>
      </c>
      <c r="T227" s="1326"/>
      <c r="U227" s="1326"/>
      <c r="V227" s="1326"/>
      <c r="W227" s="1326"/>
      <c r="X227" s="1327"/>
      <c r="Y227" s="1295"/>
      <c r="Z227" s="1292"/>
      <c r="AA227" s="1292"/>
      <c r="AB227" s="1293"/>
      <c r="AC227" s="1544"/>
      <c r="AD227" s="1544"/>
      <c r="AE227" s="1544"/>
      <c r="AF227" s="1544"/>
      <c r="AI227" s="3056" t="str">
        <f>"22:serteikyo_kyoka_code:" &amp; IF(I227="■",1,IF(L227="■",6,IF(O227="■",5,IF(R227="■",7,0))))</f>
        <v>22:serteikyo_kyoka_code:0</v>
      </c>
    </row>
    <row r="228" spans="1:36" s="3056" customFormat="1" ht="18.75" customHeight="1">
      <c r="A228" s="735"/>
      <c r="B228" s="1407"/>
      <c r="C228" s="1303"/>
      <c r="D228" s="1304"/>
      <c r="E228" s="1275"/>
      <c r="F228" s="1289"/>
      <c r="G228" s="1275"/>
      <c r="H228" s="1539" t="s">
        <v>2390</v>
      </c>
      <c r="I228" s="3162" t="s">
        <v>121</v>
      </c>
      <c r="J228" s="3161" t="s">
        <v>1230</v>
      </c>
      <c r="K228" s="3161"/>
      <c r="L228" s="3160" t="s">
        <v>121</v>
      </c>
      <c r="M228" s="3161" t="s">
        <v>1248</v>
      </c>
      <c r="N228" s="3161"/>
      <c r="O228" s="1290"/>
      <c r="P228" s="1290"/>
      <c r="Q228" s="1290"/>
      <c r="R228" s="1290"/>
      <c r="S228" s="1290"/>
      <c r="T228" s="1290"/>
      <c r="U228" s="1290"/>
      <c r="V228" s="1290"/>
      <c r="W228" s="1290"/>
      <c r="X228" s="1331"/>
      <c r="Y228" s="1295"/>
      <c r="Z228" s="1292"/>
      <c r="AA228" s="1292"/>
      <c r="AB228" s="1293"/>
      <c r="AC228" s="1544"/>
      <c r="AD228" s="1544"/>
      <c r="AE228" s="1544"/>
      <c r="AF228" s="1544"/>
      <c r="AI228" s="3056" t="str">
        <f>"22:field221:" &amp; IF(I228="■",1,IF(L228="■",2,0))</f>
        <v>22:field221:0</v>
      </c>
    </row>
    <row r="229" spans="1:36" s="3056" customFormat="1" ht="18.75" customHeight="1">
      <c r="A229" s="735"/>
      <c r="B229" s="1407"/>
      <c r="C229" s="1303"/>
      <c r="D229" s="1304"/>
      <c r="E229" s="1275"/>
      <c r="F229" s="1289"/>
      <c r="G229" s="1275"/>
      <c r="H229" s="1540"/>
      <c r="I229" s="3162"/>
      <c r="J229" s="3161"/>
      <c r="K229" s="3161"/>
      <c r="L229" s="3160"/>
      <c r="M229" s="3161"/>
      <c r="N229" s="3161"/>
      <c r="O229" s="1296"/>
      <c r="P229" s="1296"/>
      <c r="Q229" s="1296"/>
      <c r="R229" s="1296"/>
      <c r="S229" s="1296"/>
      <c r="T229" s="1296"/>
      <c r="U229" s="1296"/>
      <c r="V229" s="1296"/>
      <c r="W229" s="1296"/>
      <c r="X229" s="1332"/>
      <c r="Y229" s="1295"/>
      <c r="Z229" s="1292"/>
      <c r="AA229" s="1292"/>
      <c r="AB229" s="1293"/>
      <c r="AC229" s="1544"/>
      <c r="AD229" s="1544"/>
      <c r="AE229" s="1544"/>
      <c r="AF229" s="1544"/>
    </row>
    <row r="230" spans="1:36" s="3056" customFormat="1" ht="18.75" customHeight="1">
      <c r="A230" s="736"/>
      <c r="B230" s="1316"/>
      <c r="C230" s="1346"/>
      <c r="D230" s="1348"/>
      <c r="E230" s="1317"/>
      <c r="F230" s="1318"/>
      <c r="G230" s="1361"/>
      <c r="H230" s="3134" t="s">
        <v>2288</v>
      </c>
      <c r="I230" s="3060" t="s">
        <v>121</v>
      </c>
      <c r="J230" s="3130" t="s">
        <v>1230</v>
      </c>
      <c r="K230" s="3130"/>
      <c r="L230" s="3059" t="s">
        <v>121</v>
      </c>
      <c r="M230" s="3130" t="s">
        <v>2287</v>
      </c>
      <c r="N230" s="3133"/>
      <c r="O230" s="3059" t="s">
        <v>121</v>
      </c>
      <c r="P230" s="3132" t="s">
        <v>2286</v>
      </c>
      <c r="Q230" s="3131"/>
      <c r="R230" s="3059" t="s">
        <v>121</v>
      </c>
      <c r="S230" s="3130" t="s">
        <v>2285</v>
      </c>
      <c r="T230" s="3131"/>
      <c r="U230" s="3059" t="s">
        <v>121</v>
      </c>
      <c r="V230" s="3130" t="s">
        <v>2284</v>
      </c>
      <c r="W230" s="3129"/>
      <c r="X230" s="3128"/>
      <c r="Y230" s="1323"/>
      <c r="Z230" s="1323"/>
      <c r="AA230" s="1323"/>
      <c r="AB230" s="1324"/>
      <c r="AC230" s="1558"/>
      <c r="AD230" s="1558"/>
      <c r="AE230" s="1558"/>
      <c r="AF230" s="1558"/>
      <c r="AI230" s="3056" t="str">
        <f>"22:shoguukaizen_code:"&amp;IF(I230="■",1,IF(L230="■",7,IF(O230="■",8,IF(R230="■",9,IF(U230="■","A",0)))))</f>
        <v>22:shoguukaizen_code:0</v>
      </c>
    </row>
    <row r="231" spans="1:36" s="3056" customFormat="1" ht="18.75" customHeight="1">
      <c r="A231" s="1276"/>
      <c r="B231" s="1405"/>
      <c r="C231" s="1333"/>
      <c r="D231" s="1335"/>
      <c r="E231" s="1272"/>
      <c r="F231" s="1279"/>
      <c r="G231" s="1272"/>
      <c r="H231" s="1408" t="s">
        <v>1226</v>
      </c>
      <c r="I231" s="3074" t="s">
        <v>121</v>
      </c>
      <c r="J231" s="1280" t="s">
        <v>1227</v>
      </c>
      <c r="K231" s="1281"/>
      <c r="L231" s="1282"/>
      <c r="M231" s="3073" t="s">
        <v>121</v>
      </c>
      <c r="N231" s="1280" t="s">
        <v>1228</v>
      </c>
      <c r="O231" s="1284"/>
      <c r="P231" s="1284"/>
      <c r="Q231" s="1284"/>
      <c r="R231" s="1284"/>
      <c r="S231" s="1284"/>
      <c r="T231" s="1284"/>
      <c r="U231" s="1284"/>
      <c r="V231" s="1284"/>
      <c r="W231" s="1284"/>
      <c r="X231" s="1325"/>
      <c r="Y231" s="3138" t="s">
        <v>121</v>
      </c>
      <c r="Z231" s="1270" t="s">
        <v>1229</v>
      </c>
      <c r="AA231" s="1270"/>
      <c r="AB231" s="1286"/>
      <c r="AC231" s="1543"/>
      <c r="AD231" s="1543"/>
      <c r="AE231" s="1543"/>
      <c r="AF231" s="1543"/>
      <c r="AG231" s="3056" t="str">
        <f>"ser_code = '" &amp; IF(A241="■",22,"") &amp; "'"</f>
        <v>ser_code = ''</v>
      </c>
      <c r="AI231" s="3056" t="str">
        <f>"22:yakan_kinmu_code:" &amp; IF(I231="■",1,IF(M231="■",6,0))</f>
        <v>22:yakan_kinmu_code:0</v>
      </c>
      <c r="AJ231" s="3056" t="str">
        <f>"22:field203:" &amp; IF(Y231="■",1,IF(Y232="■",2,0))</f>
        <v>22:field203:0</v>
      </c>
    </row>
    <row r="232" spans="1:36" s="3056" customFormat="1" ht="18.75" customHeight="1">
      <c r="A232" s="735"/>
      <c r="B232" s="1407"/>
      <c r="C232" s="1303"/>
      <c r="D232" s="1304"/>
      <c r="E232" s="1275"/>
      <c r="F232" s="1289"/>
      <c r="G232" s="1275"/>
      <c r="H232" s="1541" t="s">
        <v>1290</v>
      </c>
      <c r="I232" s="3137" t="s">
        <v>121</v>
      </c>
      <c r="J232" s="1290" t="s">
        <v>1230</v>
      </c>
      <c r="K232" s="1290"/>
      <c r="L232" s="1329"/>
      <c r="M232" s="3136" t="s">
        <v>121</v>
      </c>
      <c r="N232" s="1290" t="s">
        <v>1231</v>
      </c>
      <c r="O232" s="1290"/>
      <c r="P232" s="1329"/>
      <c r="Q232" s="3136" t="s">
        <v>121</v>
      </c>
      <c r="R232" s="1402" t="s">
        <v>1232</v>
      </c>
      <c r="S232" s="1402"/>
      <c r="T232" s="1402"/>
      <c r="U232" s="3136" t="s">
        <v>121</v>
      </c>
      <c r="V232" s="1402" t="s">
        <v>1233</v>
      </c>
      <c r="W232" s="1402"/>
      <c r="X232" s="1291"/>
      <c r="Y232" s="3122" t="s">
        <v>121</v>
      </c>
      <c r="Z232" s="1273" t="s">
        <v>1234</v>
      </c>
      <c r="AA232" s="1292"/>
      <c r="AB232" s="1293"/>
      <c r="AC232" s="1544"/>
      <c r="AD232" s="1544"/>
      <c r="AE232" s="1544"/>
      <c r="AF232" s="1544"/>
      <c r="AG232" s="3056" t="str">
        <f>"22:sisetukbn_code:" &amp; IF(D241="■",6,IF(D242="■",8,0))</f>
        <v>22:sisetukbn_code:0</v>
      </c>
      <c r="AI232" s="3056" t="str">
        <f>"22:"&amp;IF(AND(I232="□",M232="□",Q232="□",U232="□",I233="□",M233="□",Q233="□"),"ketu_doctor_code:0",IF(I232="■","ketu_doctor_code:1:ketu_kangos_code:1:ketu_kshoku_code:1:ketu_rryoho_code:1:ketu_sryoho_code:1:ketu_gengo_code:1",
IF(M232="■","ketu_doctor_code:2","ketu_doctor_code:1")
&amp;IF(Q232="■",":ketu_kangos_code:2",":ketu_kangos_code:1")
&amp;IF(U232="■",":ketu_kshoku_code:2",":ketu_kshoku_code:1")
&amp;IF(I233="■",":ketu_rryoho_code:2",":ketu_rryoho_code:1")
&amp;IF(M233="■",":ketu_sryoho_code:2",":ketu_sryoho_code:1")
&amp;IF(Q233="■",":ketu_gengo_code:2",":ketu_gengo_code:1")))</f>
        <v>22:ketu_doctor_code:0</v>
      </c>
    </row>
    <row r="233" spans="1:36" s="3056" customFormat="1" ht="18.75" customHeight="1">
      <c r="A233" s="735"/>
      <c r="B233" s="1407"/>
      <c r="C233" s="1303"/>
      <c r="D233" s="1304"/>
      <c r="E233" s="1275"/>
      <c r="F233" s="1289"/>
      <c r="G233" s="1275"/>
      <c r="H233" s="1542"/>
      <c r="I233" s="3063" t="s">
        <v>121</v>
      </c>
      <c r="J233" s="1296" t="s">
        <v>1235</v>
      </c>
      <c r="K233" s="1296"/>
      <c r="L233" s="1355"/>
      <c r="M233" s="3062" t="s">
        <v>121</v>
      </c>
      <c r="N233" s="1296" t="s">
        <v>1236</v>
      </c>
      <c r="O233" s="1296"/>
      <c r="P233" s="1355"/>
      <c r="Q233" s="3062" t="s">
        <v>121</v>
      </c>
      <c r="R233" s="1403" t="s">
        <v>1291</v>
      </c>
      <c r="S233" s="1403"/>
      <c r="T233" s="1403"/>
      <c r="U233" s="1403"/>
      <c r="V233" s="1403"/>
      <c r="W233" s="1403"/>
      <c r="X233" s="1297"/>
      <c r="Y233" s="1295"/>
      <c r="Z233" s="1292"/>
      <c r="AA233" s="1292"/>
      <c r="AB233" s="1293"/>
      <c r="AC233" s="1544"/>
      <c r="AD233" s="1544"/>
      <c r="AE233" s="1544"/>
      <c r="AF233" s="1544"/>
    </row>
    <row r="234" spans="1:36" s="3056" customFormat="1" ht="18.75" customHeight="1">
      <c r="A234" s="735"/>
      <c r="B234" s="1407"/>
      <c r="C234" s="1303"/>
      <c r="D234" s="1304"/>
      <c r="E234" s="1275"/>
      <c r="F234" s="1289"/>
      <c r="G234" s="1275"/>
      <c r="H234" s="1409" t="s">
        <v>91</v>
      </c>
      <c r="I234" s="3066" t="s">
        <v>121</v>
      </c>
      <c r="J234" s="1298" t="s">
        <v>1239</v>
      </c>
      <c r="K234" s="1299"/>
      <c r="L234" s="1300"/>
      <c r="M234" s="3065" t="s">
        <v>121</v>
      </c>
      <c r="N234" s="1298" t="s">
        <v>1240</v>
      </c>
      <c r="O234" s="1307"/>
      <c r="P234" s="1307"/>
      <c r="Q234" s="1307"/>
      <c r="R234" s="1307"/>
      <c r="S234" s="1307"/>
      <c r="T234" s="1307"/>
      <c r="U234" s="1307"/>
      <c r="V234" s="1307"/>
      <c r="W234" s="1307"/>
      <c r="X234" s="1308"/>
      <c r="Y234" s="1295"/>
      <c r="Z234" s="1292"/>
      <c r="AA234" s="1292"/>
      <c r="AB234" s="1293"/>
      <c r="AC234" s="1544"/>
      <c r="AD234" s="1544"/>
      <c r="AE234" s="1544"/>
      <c r="AF234" s="1544"/>
      <c r="AI234" s="3056" t="str">
        <f>"22:unitcare_code:" &amp; IF(I234="■",1,IF(M234="■",2,0))</f>
        <v>22:unitcare_code:0</v>
      </c>
    </row>
    <row r="235" spans="1:36" s="3056" customFormat="1" ht="18.75" customHeight="1">
      <c r="A235" s="735"/>
      <c r="B235" s="1407"/>
      <c r="C235" s="1287"/>
      <c r="D235" s="1288"/>
      <c r="E235" s="1275"/>
      <c r="F235" s="1289"/>
      <c r="G235" s="1305"/>
      <c r="H235" s="3193" t="s">
        <v>1241</v>
      </c>
      <c r="I235" s="3096" t="s">
        <v>121</v>
      </c>
      <c r="J235" s="3091" t="s">
        <v>1242</v>
      </c>
      <c r="K235" s="3095"/>
      <c r="L235" s="3094"/>
      <c r="M235" s="3093" t="s">
        <v>121</v>
      </c>
      <c r="N235" s="3091" t="s">
        <v>1243</v>
      </c>
      <c r="O235" s="3095"/>
      <c r="P235" s="3192"/>
      <c r="Q235" s="3192"/>
      <c r="R235" s="3192"/>
      <c r="S235" s="3192"/>
      <c r="T235" s="3192"/>
      <c r="U235" s="3192"/>
      <c r="V235" s="3192"/>
      <c r="W235" s="3192"/>
      <c r="X235" s="3191"/>
      <c r="Y235" s="1295"/>
      <c r="Z235" s="1292"/>
      <c r="AA235" s="1292"/>
      <c r="AB235" s="1293"/>
      <c r="AC235" s="1544"/>
      <c r="AD235" s="1544"/>
      <c r="AE235" s="1544"/>
      <c r="AF235" s="1544"/>
      <c r="AI235" s="3056" t="str">
        <f>"22:sintaikousoku_code:" &amp; IF(I235="■",1,IF(M235="■",2,0))</f>
        <v>22:sintaikousoku_code:0</v>
      </c>
    </row>
    <row r="236" spans="1:36" s="3056" customFormat="1" ht="19.5" customHeight="1">
      <c r="A236" s="735"/>
      <c r="B236" s="1407"/>
      <c r="C236" s="1303"/>
      <c r="D236" s="1304"/>
      <c r="E236" s="1275"/>
      <c r="F236" s="1289"/>
      <c r="G236" s="1305"/>
      <c r="H236" s="1306" t="s">
        <v>1244</v>
      </c>
      <c r="I236" s="3066" t="s">
        <v>121</v>
      </c>
      <c r="J236" s="1298" t="s">
        <v>1242</v>
      </c>
      <c r="K236" s="1299"/>
      <c r="L236" s="1300"/>
      <c r="M236" s="3065" t="s">
        <v>121</v>
      </c>
      <c r="N236" s="1298" t="s">
        <v>1245</v>
      </c>
      <c r="O236" s="1301"/>
      <c r="P236" s="1298"/>
      <c r="Q236" s="1307"/>
      <c r="R236" s="1307"/>
      <c r="S236" s="1307"/>
      <c r="T236" s="1307"/>
      <c r="U236" s="1307"/>
      <c r="V236" s="1307"/>
      <c r="W236" s="1307"/>
      <c r="X236" s="1308"/>
      <c r="Y236" s="1292"/>
      <c r="Z236" s="1292"/>
      <c r="AA236" s="1292"/>
      <c r="AB236" s="1293"/>
      <c r="AC236" s="1544"/>
      <c r="AD236" s="1544"/>
      <c r="AE236" s="1544"/>
      <c r="AF236" s="1544"/>
      <c r="AI236" s="3056" t="str">
        <f>"22:field223:" &amp; IF(I236="■",1,IF(M236="■",2,0))</f>
        <v>22:field223:0</v>
      </c>
    </row>
    <row r="237" spans="1:36" s="3056" customFormat="1" ht="19.5" customHeight="1">
      <c r="A237" s="735"/>
      <c r="B237" s="1407"/>
      <c r="C237" s="1303"/>
      <c r="D237" s="1304"/>
      <c r="E237" s="1275"/>
      <c r="F237" s="1289"/>
      <c r="G237" s="1305"/>
      <c r="H237" s="1306" t="s">
        <v>1246</v>
      </c>
      <c r="I237" s="3066" t="s">
        <v>121</v>
      </c>
      <c r="J237" s="1298" t="s">
        <v>1242</v>
      </c>
      <c r="K237" s="1299"/>
      <c r="L237" s="1300"/>
      <c r="M237" s="3065" t="s">
        <v>121</v>
      </c>
      <c r="N237" s="1298" t="s">
        <v>1245</v>
      </c>
      <c r="O237" s="1301"/>
      <c r="P237" s="1298"/>
      <c r="Q237" s="1307"/>
      <c r="R237" s="1307"/>
      <c r="S237" s="1307"/>
      <c r="T237" s="1307"/>
      <c r="U237" s="1307"/>
      <c r="V237" s="1307"/>
      <c r="W237" s="1307"/>
      <c r="X237" s="1308"/>
      <c r="Y237" s="1292"/>
      <c r="Z237" s="1292"/>
      <c r="AA237" s="1292"/>
      <c r="AB237" s="1293"/>
      <c r="AC237" s="1544"/>
      <c r="AD237" s="1544"/>
      <c r="AE237" s="1544"/>
      <c r="AF237" s="1544"/>
      <c r="AI237" s="3056" t="str">
        <f>"22:field232:" &amp; IF(I237="■",1,IF(M237="■",2,0))</f>
        <v>22:field232:0</v>
      </c>
    </row>
    <row r="238" spans="1:36" s="3056" customFormat="1" ht="18.75" customHeight="1">
      <c r="A238" s="735"/>
      <c r="B238" s="1407"/>
      <c r="C238" s="1303"/>
      <c r="D238" s="1304"/>
      <c r="E238" s="1275"/>
      <c r="F238" s="1289"/>
      <c r="G238" s="1275"/>
      <c r="H238" s="1409" t="s">
        <v>140</v>
      </c>
      <c r="I238" s="3066" t="s">
        <v>121</v>
      </c>
      <c r="J238" s="1298" t="s">
        <v>1230</v>
      </c>
      <c r="K238" s="1299"/>
      <c r="L238" s="3065" t="s">
        <v>121</v>
      </c>
      <c r="M238" s="1298" t="s">
        <v>1248</v>
      </c>
      <c r="N238" s="1307"/>
      <c r="O238" s="1307"/>
      <c r="P238" s="1307"/>
      <c r="Q238" s="1307"/>
      <c r="R238" s="1307"/>
      <c r="S238" s="1307"/>
      <c r="T238" s="1307"/>
      <c r="U238" s="1307"/>
      <c r="V238" s="1307"/>
      <c r="W238" s="1307"/>
      <c r="X238" s="1308"/>
      <c r="Y238" s="1295"/>
      <c r="Z238" s="1292"/>
      <c r="AA238" s="1292"/>
      <c r="AB238" s="1293"/>
      <c r="AC238" s="1544"/>
      <c r="AD238" s="1544"/>
      <c r="AE238" s="1544"/>
      <c r="AF238" s="1544"/>
      <c r="AI238" s="3056" t="str">
        <f>"22:yakinhaiti_code:" &amp; IF(I238="■",1,IF(L238="■",2,0))</f>
        <v>22:yakinhaiti_code:0</v>
      </c>
    </row>
    <row r="239" spans="1:36" s="3056" customFormat="1" ht="18.75" customHeight="1">
      <c r="A239" s="735"/>
      <c r="B239" s="1407"/>
      <c r="C239" s="1303"/>
      <c r="D239" s="1304"/>
      <c r="E239" s="1275"/>
      <c r="F239" s="1289"/>
      <c r="G239" s="1275"/>
      <c r="H239" s="1409" t="s">
        <v>1327</v>
      </c>
      <c r="I239" s="3066" t="s">
        <v>121</v>
      </c>
      <c r="J239" s="1298" t="s">
        <v>1328</v>
      </c>
      <c r="K239" s="1298"/>
      <c r="L239" s="1300"/>
      <c r="M239" s="1300"/>
      <c r="N239" s="3065" t="s">
        <v>121</v>
      </c>
      <c r="O239" s="1298" t="s">
        <v>1329</v>
      </c>
      <c r="P239" s="1307"/>
      <c r="Q239" s="1307"/>
      <c r="R239" s="1307"/>
      <c r="S239" s="3065" t="s">
        <v>121</v>
      </c>
      <c r="T239" s="1298" t="s">
        <v>1330</v>
      </c>
      <c r="U239" s="1307"/>
      <c r="V239" s="1307"/>
      <c r="W239" s="1307"/>
      <c r="X239" s="1308"/>
      <c r="Y239" s="1295"/>
      <c r="Z239" s="1292"/>
      <c r="AA239" s="1292"/>
      <c r="AB239" s="1293"/>
      <c r="AC239" s="1544"/>
      <c r="AD239" s="1544"/>
      <c r="AE239" s="1544"/>
      <c r="AF239" s="1544"/>
      <c r="AI239" s="3056" t="str">
        <f>"22:"&amp;IF(AND(I239="□",N239="□",S239="□"),"koriha_gengo_code:0:riha_seisin_code:0:koriha_other_code:0",IF(I239="■","koriha_gengo_code:2","koriha_gengo_code:1")
&amp;IF(N239="■",":riha_seisin_code:2",":riha_seisin_code:1")
&amp;IF(S239="■",":koriha_other_code:2",":koriha_other_code:1"))</f>
        <v>22:koriha_gengo_code:0:riha_seisin_code:0:koriha_other_code:0</v>
      </c>
    </row>
    <row r="240" spans="1:36" s="3056" customFormat="1" ht="18.75" customHeight="1">
      <c r="A240" s="735"/>
      <c r="B240" s="1407"/>
      <c r="C240" s="1303"/>
      <c r="D240" s="1304"/>
      <c r="E240" s="1275"/>
      <c r="F240" s="1289"/>
      <c r="G240" s="1275"/>
      <c r="H240" s="1409" t="s">
        <v>1250</v>
      </c>
      <c r="I240" s="3066" t="s">
        <v>121</v>
      </c>
      <c r="J240" s="1298" t="s">
        <v>1230</v>
      </c>
      <c r="K240" s="1299"/>
      <c r="L240" s="3065" t="s">
        <v>121</v>
      </c>
      <c r="M240" s="1298" t="s">
        <v>1248</v>
      </c>
      <c r="N240" s="1307"/>
      <c r="O240" s="1307"/>
      <c r="P240" s="1307"/>
      <c r="Q240" s="1307"/>
      <c r="R240" s="1307"/>
      <c r="S240" s="1307"/>
      <c r="T240" s="1307"/>
      <c r="U240" s="1307"/>
      <c r="V240" s="1307"/>
      <c r="W240" s="1307"/>
      <c r="X240" s="1308"/>
      <c r="Y240" s="1295"/>
      <c r="Z240" s="1292"/>
      <c r="AA240" s="1292"/>
      <c r="AB240" s="1293"/>
      <c r="AC240" s="1544"/>
      <c r="AD240" s="1544"/>
      <c r="AE240" s="1544"/>
      <c r="AF240" s="1544"/>
      <c r="AI240" s="3056" t="str">
        <f>"22:ninticare_code:" &amp; IF(I240="■",1,IF(L240="■",2,0))</f>
        <v>22:ninticare_code:0</v>
      </c>
    </row>
    <row r="241" spans="1:36" s="3056" customFormat="1" ht="18.75" customHeight="1">
      <c r="A241" s="3069" t="s">
        <v>121</v>
      </c>
      <c r="B241" s="1407">
        <v>22</v>
      </c>
      <c r="C241" s="1303" t="s">
        <v>1321</v>
      </c>
      <c r="D241" s="3122" t="s">
        <v>121</v>
      </c>
      <c r="E241" s="1275" t="s">
        <v>1332</v>
      </c>
      <c r="F241" s="1289"/>
      <c r="G241" s="1275"/>
      <c r="H241" s="1409" t="s">
        <v>1305</v>
      </c>
      <c r="I241" s="3066" t="s">
        <v>121</v>
      </c>
      <c r="J241" s="1298" t="s">
        <v>1230</v>
      </c>
      <c r="K241" s="1299"/>
      <c r="L241" s="3065" t="s">
        <v>121</v>
      </c>
      <c r="M241" s="1298" t="s">
        <v>1248</v>
      </c>
      <c r="N241" s="1307"/>
      <c r="O241" s="1307"/>
      <c r="P241" s="1307"/>
      <c r="Q241" s="1307"/>
      <c r="R241" s="1307"/>
      <c r="S241" s="1307"/>
      <c r="T241" s="1307"/>
      <c r="U241" s="1307"/>
      <c r="V241" s="1307"/>
      <c r="W241" s="1307"/>
      <c r="X241" s="1308"/>
      <c r="Y241" s="1295"/>
      <c r="Z241" s="1292"/>
      <c r="AA241" s="1292"/>
      <c r="AB241" s="1293"/>
      <c r="AC241" s="1544"/>
      <c r="AD241" s="1544"/>
      <c r="AE241" s="1544"/>
      <c r="AF241" s="1544"/>
      <c r="AI241" s="3056" t="str">
        <f>"22:jyakuninti_uke_code:" &amp; IF(I241="■",1,IF(L241="■",2,0))</f>
        <v>22:jyakuninti_uke_code:0</v>
      </c>
    </row>
    <row r="242" spans="1:36" s="3056" customFormat="1" ht="18.75" customHeight="1">
      <c r="A242" s="735"/>
      <c r="B242" s="1407"/>
      <c r="C242" s="1303"/>
      <c r="D242" s="3122" t="s">
        <v>121</v>
      </c>
      <c r="E242" s="1275" t="s">
        <v>1334</v>
      </c>
      <c r="F242" s="1289"/>
      <c r="G242" s="1275"/>
      <c r="H242" s="1409" t="s">
        <v>1324</v>
      </c>
      <c r="I242" s="3066" t="s">
        <v>121</v>
      </c>
      <c r="J242" s="1298" t="s">
        <v>1239</v>
      </c>
      <c r="K242" s="1299"/>
      <c r="L242" s="1300"/>
      <c r="M242" s="3065" t="s">
        <v>121</v>
      </c>
      <c r="N242" s="1298" t="s">
        <v>1240</v>
      </c>
      <c r="O242" s="1307"/>
      <c r="P242" s="1307"/>
      <c r="Q242" s="1307"/>
      <c r="R242" s="1307"/>
      <c r="S242" s="1307"/>
      <c r="T242" s="1307"/>
      <c r="U242" s="1307"/>
      <c r="V242" s="1307"/>
      <c r="W242" s="1307"/>
      <c r="X242" s="1308"/>
      <c r="Y242" s="1295"/>
      <c r="Z242" s="1292"/>
      <c r="AA242" s="1292"/>
      <c r="AB242" s="1293"/>
      <c r="AC242" s="1544"/>
      <c r="AD242" s="1544"/>
      <c r="AE242" s="1544"/>
      <c r="AF242" s="1544"/>
      <c r="AI242" s="3056" t="str">
        <f>"22:sougei_code:" &amp; IF(I242="■",1,IF(M242="■",2,0))</f>
        <v>22:sougei_code:0</v>
      </c>
    </row>
    <row r="243" spans="1:36" s="3056" customFormat="1" ht="18.75" customHeight="1">
      <c r="A243" s="735"/>
      <c r="B243" s="1407"/>
      <c r="C243" s="1303"/>
      <c r="D243" s="1304"/>
      <c r="E243" s="1275"/>
      <c r="F243" s="1289"/>
      <c r="G243" s="1275"/>
      <c r="H243" s="1409" t="s">
        <v>1335</v>
      </c>
      <c r="I243" s="3066" t="s">
        <v>121</v>
      </c>
      <c r="J243" s="1298" t="s">
        <v>1273</v>
      </c>
      <c r="K243" s="1307"/>
      <c r="L243" s="1307"/>
      <c r="M243" s="1307"/>
      <c r="N243" s="1307"/>
      <c r="O243" s="1307"/>
      <c r="P243" s="3065" t="s">
        <v>121</v>
      </c>
      <c r="Q243" s="1298" t="s">
        <v>1274</v>
      </c>
      <c r="R243" s="1307"/>
      <c r="S243" s="1326"/>
      <c r="T243" s="1307"/>
      <c r="U243" s="1307"/>
      <c r="V243" s="1307"/>
      <c r="W243" s="1307"/>
      <c r="X243" s="1308"/>
      <c r="Y243" s="1295"/>
      <c r="Z243" s="1292"/>
      <c r="AA243" s="1292"/>
      <c r="AB243" s="1293"/>
      <c r="AC243" s="1544"/>
      <c r="AD243" s="1544"/>
      <c r="AE243" s="1544"/>
      <c r="AF243" s="1544"/>
      <c r="AI243" s="3056" t="str">
        <f>"22:" &amp; IF(AND(I243="□",P243="□"),"tokusin_jyusho_code:0:tokusin_yakuzai_code:0",IF(I243="■","tokusin_jyusho_code:2","tokusin_jyusho_code:1")
&amp;IF(P243="■",":tokusin_yakuzai_code:2",":tokusin_yakuzai_code:1"))</f>
        <v>22:tokusin_jyusho_code:0:tokusin_yakuzai_code:0</v>
      </c>
    </row>
    <row r="244" spans="1:36" s="3056" customFormat="1" ht="18.75" customHeight="1">
      <c r="A244" s="735"/>
      <c r="B244" s="1407"/>
      <c r="C244" s="1303"/>
      <c r="D244" s="1304"/>
      <c r="E244" s="1275"/>
      <c r="F244" s="1289"/>
      <c r="G244" s="1275"/>
      <c r="H244" s="1409" t="s">
        <v>1277</v>
      </c>
      <c r="I244" s="3066" t="s">
        <v>121</v>
      </c>
      <c r="J244" s="1298" t="s">
        <v>1230</v>
      </c>
      <c r="K244" s="1299"/>
      <c r="L244" s="3065" t="s">
        <v>121</v>
      </c>
      <c r="M244" s="1298" t="s">
        <v>1248</v>
      </c>
      <c r="N244" s="1326"/>
      <c r="O244" s="1326"/>
      <c r="P244" s="1326"/>
      <c r="Q244" s="1326"/>
      <c r="R244" s="1326"/>
      <c r="S244" s="1326"/>
      <c r="T244" s="1326"/>
      <c r="U244" s="1326"/>
      <c r="V244" s="1326"/>
      <c r="W244" s="1326"/>
      <c r="X244" s="1327"/>
      <c r="Y244" s="1295"/>
      <c r="Z244" s="1292"/>
      <c r="AA244" s="1292"/>
      <c r="AB244" s="1293"/>
      <c r="AC244" s="1544"/>
      <c r="AD244" s="1544"/>
      <c r="AE244" s="1544"/>
      <c r="AF244" s="1544"/>
      <c r="AI244" s="3056" t="str">
        <f>"22:field198:" &amp; IF(I244="■",1,IF(L244="■",2,0))</f>
        <v>22:field198:0</v>
      </c>
    </row>
    <row r="245" spans="1:36" s="3056" customFormat="1" ht="18.75" customHeight="1">
      <c r="A245" s="735"/>
      <c r="B245" s="1407"/>
      <c r="C245" s="1303"/>
      <c r="D245" s="1304"/>
      <c r="E245" s="1275"/>
      <c r="F245" s="1289"/>
      <c r="G245" s="1275"/>
      <c r="H245" s="1409" t="s">
        <v>1336</v>
      </c>
      <c r="I245" s="3066" t="s">
        <v>121</v>
      </c>
      <c r="J245" s="1298" t="s">
        <v>1230</v>
      </c>
      <c r="K245" s="1299"/>
      <c r="L245" s="3065" t="s">
        <v>121</v>
      </c>
      <c r="M245" s="1298" t="s">
        <v>1248</v>
      </c>
      <c r="N245" s="1326"/>
      <c r="O245" s="1326"/>
      <c r="P245" s="1326"/>
      <c r="Q245" s="1326"/>
      <c r="R245" s="1326"/>
      <c r="S245" s="1326"/>
      <c r="T245" s="1326"/>
      <c r="U245" s="1326"/>
      <c r="V245" s="1326"/>
      <c r="W245" s="1326"/>
      <c r="X245" s="1327"/>
      <c r="Y245" s="1295"/>
      <c r="Z245" s="1292"/>
      <c r="AA245" s="1292"/>
      <c r="AB245" s="1293"/>
      <c r="AC245" s="1544"/>
      <c r="AD245" s="1544"/>
      <c r="AE245" s="1544"/>
      <c r="AF245" s="1544"/>
      <c r="AI245" s="3056" t="str">
        <f>"22:field199:" &amp; IF(I245="■",1,IF(L245="■",2,0))</f>
        <v>22:field199:0</v>
      </c>
    </row>
    <row r="246" spans="1:36" s="3056" customFormat="1" ht="19.5" customHeight="1">
      <c r="A246" s="735"/>
      <c r="B246" s="1407"/>
      <c r="C246" s="1303"/>
      <c r="D246" s="1304"/>
      <c r="E246" s="1275"/>
      <c r="F246" s="1289"/>
      <c r="G246" s="1305"/>
      <c r="H246" s="1306" t="s">
        <v>1325</v>
      </c>
      <c r="I246" s="3066" t="s">
        <v>121</v>
      </c>
      <c r="J246" s="1298" t="s">
        <v>1230</v>
      </c>
      <c r="K246" s="1298"/>
      <c r="L246" s="3065" t="s">
        <v>121</v>
      </c>
      <c r="M246" s="1298" t="s">
        <v>1248</v>
      </c>
      <c r="N246" s="1298"/>
      <c r="O246" s="1307"/>
      <c r="P246" s="1298"/>
      <c r="Q246" s="1307"/>
      <c r="R246" s="1307"/>
      <c r="S246" s="1307"/>
      <c r="T246" s="1307"/>
      <c r="U246" s="1307"/>
      <c r="V246" s="1307"/>
      <c r="W246" s="1307"/>
      <c r="X246" s="1308"/>
      <c r="Y246" s="1292"/>
      <c r="Z246" s="1292"/>
      <c r="AA246" s="1292"/>
      <c r="AB246" s="1293"/>
      <c r="AC246" s="1544"/>
      <c r="AD246" s="1544"/>
      <c r="AE246" s="1544"/>
      <c r="AF246" s="1544"/>
      <c r="AI246" s="3056" t="str">
        <f>"22:field224:" &amp; IF(I246="■",1,IF(L246="■",2,0))</f>
        <v>22:field224:0</v>
      </c>
    </row>
    <row r="247" spans="1:36" s="3056" customFormat="1" ht="18.75" customHeight="1">
      <c r="A247" s="735"/>
      <c r="B247" s="1407"/>
      <c r="C247" s="1303"/>
      <c r="D247" s="1304"/>
      <c r="E247" s="1275"/>
      <c r="F247" s="1289"/>
      <c r="G247" s="1275"/>
      <c r="H247" s="1409" t="s">
        <v>145</v>
      </c>
      <c r="I247" s="3066" t="s">
        <v>121</v>
      </c>
      <c r="J247" s="1298" t="s">
        <v>1230</v>
      </c>
      <c r="K247" s="1299"/>
      <c r="L247" s="3065" t="s">
        <v>121</v>
      </c>
      <c r="M247" s="1298" t="s">
        <v>1248</v>
      </c>
      <c r="N247" s="1307"/>
      <c r="O247" s="1307"/>
      <c r="P247" s="1307"/>
      <c r="Q247" s="1307"/>
      <c r="R247" s="1307"/>
      <c r="S247" s="1307"/>
      <c r="T247" s="1307"/>
      <c r="U247" s="1307"/>
      <c r="V247" s="1307"/>
      <c r="W247" s="1307"/>
      <c r="X247" s="1308"/>
      <c r="Y247" s="1295"/>
      <c r="Z247" s="1292"/>
      <c r="AA247" s="1292"/>
      <c r="AB247" s="1293"/>
      <c r="AC247" s="1544"/>
      <c r="AD247" s="1544"/>
      <c r="AE247" s="1544"/>
      <c r="AF247" s="1544"/>
      <c r="AI247" s="3056" t="str">
        <f>"22:ryouyoushoku_code:" &amp; IF(I247="■",1,IF(L247="■",2,0))</f>
        <v>22:ryouyoushoku_code:0</v>
      </c>
    </row>
    <row r="248" spans="1:36" s="3056" customFormat="1" ht="18.75" customHeight="1">
      <c r="A248" s="735"/>
      <c r="B248" s="1407"/>
      <c r="C248" s="1303"/>
      <c r="D248" s="1304"/>
      <c r="E248" s="1275"/>
      <c r="F248" s="1289"/>
      <c r="G248" s="1275"/>
      <c r="H248" s="1409" t="s">
        <v>1326</v>
      </c>
      <c r="I248" s="3066" t="s">
        <v>121</v>
      </c>
      <c r="J248" s="1298" t="s">
        <v>1230</v>
      </c>
      <c r="K248" s="1298"/>
      <c r="L248" s="3065" t="s">
        <v>121</v>
      </c>
      <c r="M248" s="1298" t="s">
        <v>1256</v>
      </c>
      <c r="N248" s="1298"/>
      <c r="O248" s="3065" t="s">
        <v>121</v>
      </c>
      <c r="P248" s="1298" t="s">
        <v>1257</v>
      </c>
      <c r="Q248" s="1307"/>
      <c r="R248" s="1307"/>
      <c r="S248" s="1307"/>
      <c r="T248" s="1307"/>
      <c r="U248" s="1307"/>
      <c r="V248" s="1307"/>
      <c r="W248" s="1307"/>
      <c r="X248" s="1308"/>
      <c r="Y248" s="1295"/>
      <c r="Z248" s="1292"/>
      <c r="AA248" s="1292"/>
      <c r="AB248" s="1293"/>
      <c r="AC248" s="1544"/>
      <c r="AD248" s="1544"/>
      <c r="AE248" s="1544"/>
      <c r="AF248" s="1544"/>
      <c r="AI248" s="3056" t="str">
        <f>"22:ninti_senmoncare_code:" &amp; IF(I248="■",1,IF(O248="■",3,IF(L248="■",2,0)))</f>
        <v>22:ninti_senmoncare_code:0</v>
      </c>
    </row>
    <row r="249" spans="1:36" s="3056" customFormat="1" ht="18.75" customHeight="1">
      <c r="A249" s="735"/>
      <c r="B249" s="1407"/>
      <c r="C249" s="1303"/>
      <c r="D249" s="1304"/>
      <c r="E249" s="1275"/>
      <c r="F249" s="1289"/>
      <c r="G249" s="1275"/>
      <c r="H249" s="1313" t="s">
        <v>1265</v>
      </c>
      <c r="I249" s="3066" t="s">
        <v>121</v>
      </c>
      <c r="J249" s="1298" t="s">
        <v>1230</v>
      </c>
      <c r="K249" s="1298"/>
      <c r="L249" s="3065" t="s">
        <v>121</v>
      </c>
      <c r="M249" s="1298" t="s">
        <v>1256</v>
      </c>
      <c r="N249" s="1298"/>
      <c r="O249" s="3065" t="s">
        <v>121</v>
      </c>
      <c r="P249" s="1298" t="s">
        <v>1257</v>
      </c>
      <c r="Q249" s="1307"/>
      <c r="R249" s="1307"/>
      <c r="S249" s="1307"/>
      <c r="T249" s="1307"/>
      <c r="U249" s="1314"/>
      <c r="V249" s="1314"/>
      <c r="W249" s="1314"/>
      <c r="X249" s="1315"/>
      <c r="Y249" s="1295"/>
      <c r="Z249" s="1292"/>
      <c r="AA249" s="1292"/>
      <c r="AB249" s="1293"/>
      <c r="AC249" s="1544"/>
      <c r="AD249" s="1544"/>
      <c r="AE249" s="1544"/>
      <c r="AF249" s="1544"/>
      <c r="AI249" s="3056" t="str">
        <f>"22:field225:" &amp; IF(I249="■",1,IF(L249="■",2,IF(O249="■",3,0)))</f>
        <v>22:field225:0</v>
      </c>
    </row>
    <row r="250" spans="1:36" s="3056" customFormat="1" ht="18.75" customHeight="1">
      <c r="A250" s="735"/>
      <c r="B250" s="1407"/>
      <c r="C250" s="1303"/>
      <c r="D250" s="1304"/>
      <c r="E250" s="1275"/>
      <c r="F250" s="1289"/>
      <c r="G250" s="1275"/>
      <c r="H250" s="1312" t="s">
        <v>1266</v>
      </c>
      <c r="I250" s="3066" t="s">
        <v>121</v>
      </c>
      <c r="J250" s="1298" t="s">
        <v>1230</v>
      </c>
      <c r="K250" s="1298"/>
      <c r="L250" s="3065" t="s">
        <v>121</v>
      </c>
      <c r="M250" s="1298" t="s">
        <v>1267</v>
      </c>
      <c r="N250" s="1298"/>
      <c r="O250" s="3065" t="s">
        <v>121</v>
      </c>
      <c r="P250" s="1298" t="s">
        <v>1268</v>
      </c>
      <c r="Q250" s="1326"/>
      <c r="R250" s="3065" t="s">
        <v>121</v>
      </c>
      <c r="S250" s="1298" t="s">
        <v>1269</v>
      </c>
      <c r="T250" s="1326"/>
      <c r="U250" s="1326"/>
      <c r="V250" s="1326"/>
      <c r="W250" s="1326"/>
      <c r="X250" s="1327"/>
      <c r="Y250" s="1295"/>
      <c r="Z250" s="1292"/>
      <c r="AA250" s="1292"/>
      <c r="AB250" s="1293"/>
      <c r="AC250" s="1544"/>
      <c r="AD250" s="1544"/>
      <c r="AE250" s="1544"/>
      <c r="AF250" s="1544"/>
      <c r="AI250" s="3056" t="str">
        <f>"22:serteikyo_kyoka_code:" &amp; IF(I250="■",1,IF(L250="■",6,IF(O250="■",5,IF(R250="■",7,0))))</f>
        <v>22:serteikyo_kyoka_code:0</v>
      </c>
    </row>
    <row r="251" spans="1:36" s="3056" customFormat="1" ht="18.75" customHeight="1">
      <c r="A251" s="735"/>
      <c r="B251" s="1407"/>
      <c r="C251" s="1303"/>
      <c r="D251" s="1304"/>
      <c r="E251" s="1275"/>
      <c r="F251" s="1289"/>
      <c r="G251" s="1275"/>
      <c r="H251" s="1539" t="s">
        <v>2390</v>
      </c>
      <c r="I251" s="3162" t="s">
        <v>121</v>
      </c>
      <c r="J251" s="3161" t="s">
        <v>1230</v>
      </c>
      <c r="K251" s="3161"/>
      <c r="L251" s="3160" t="s">
        <v>121</v>
      </c>
      <c r="M251" s="3161" t="s">
        <v>1248</v>
      </c>
      <c r="N251" s="3161"/>
      <c r="O251" s="1290"/>
      <c r="P251" s="1290"/>
      <c r="Q251" s="1290"/>
      <c r="R251" s="1290"/>
      <c r="S251" s="1290"/>
      <c r="T251" s="1290"/>
      <c r="U251" s="1290"/>
      <c r="V251" s="1290"/>
      <c r="W251" s="1290"/>
      <c r="X251" s="1331"/>
      <c r="Y251" s="1295"/>
      <c r="Z251" s="1292"/>
      <c r="AA251" s="1292"/>
      <c r="AB251" s="1293"/>
      <c r="AC251" s="1544"/>
      <c r="AD251" s="1544"/>
      <c r="AE251" s="1544"/>
      <c r="AF251" s="1544"/>
      <c r="AI251" s="3056" t="str">
        <f>"22:field221:" &amp; IF(I251="■",1,IF(L251="■",2,0))</f>
        <v>22:field221:0</v>
      </c>
    </row>
    <row r="252" spans="1:36" s="3056" customFormat="1" ht="18.75" customHeight="1">
      <c r="A252" s="735"/>
      <c r="B252" s="1407"/>
      <c r="C252" s="1303"/>
      <c r="D252" s="1304"/>
      <c r="E252" s="1275"/>
      <c r="F252" s="1289"/>
      <c r="G252" s="1275"/>
      <c r="H252" s="1540"/>
      <c r="I252" s="3162"/>
      <c r="J252" s="3161"/>
      <c r="K252" s="3161"/>
      <c r="L252" s="3160"/>
      <c r="M252" s="3161"/>
      <c r="N252" s="3161"/>
      <c r="O252" s="1296"/>
      <c r="P252" s="1296"/>
      <c r="Q252" s="1296"/>
      <c r="R252" s="1296"/>
      <c r="S252" s="1296"/>
      <c r="T252" s="1296"/>
      <c r="U252" s="1296"/>
      <c r="V252" s="1296"/>
      <c r="W252" s="1296"/>
      <c r="X252" s="1332"/>
      <c r="Y252" s="1295"/>
      <c r="Z252" s="1292"/>
      <c r="AA252" s="1292"/>
      <c r="AB252" s="1293"/>
      <c r="AC252" s="1544"/>
      <c r="AD252" s="1544"/>
      <c r="AE252" s="1544"/>
      <c r="AF252" s="1544"/>
    </row>
    <row r="253" spans="1:36" s="3056" customFormat="1" ht="18.75" customHeight="1">
      <c r="A253" s="736"/>
      <c r="B253" s="1316"/>
      <c r="C253" s="1346"/>
      <c r="D253" s="1348"/>
      <c r="E253" s="1317"/>
      <c r="F253" s="1318"/>
      <c r="G253" s="1361"/>
      <c r="H253" s="3134" t="s">
        <v>2288</v>
      </c>
      <c r="I253" s="3060" t="s">
        <v>121</v>
      </c>
      <c r="J253" s="3130" t="s">
        <v>1230</v>
      </c>
      <c r="K253" s="3130"/>
      <c r="L253" s="3059" t="s">
        <v>121</v>
      </c>
      <c r="M253" s="3130" t="s">
        <v>2287</v>
      </c>
      <c r="N253" s="3133"/>
      <c r="O253" s="3059" t="s">
        <v>121</v>
      </c>
      <c r="P253" s="3132" t="s">
        <v>2286</v>
      </c>
      <c r="Q253" s="3131"/>
      <c r="R253" s="3059" t="s">
        <v>121</v>
      </c>
      <c r="S253" s="3130" t="s">
        <v>2285</v>
      </c>
      <c r="T253" s="3131"/>
      <c r="U253" s="3059" t="s">
        <v>121</v>
      </c>
      <c r="V253" s="3130" t="s">
        <v>2284</v>
      </c>
      <c r="W253" s="3129"/>
      <c r="X253" s="3128"/>
      <c r="Y253" s="1323"/>
      <c r="Z253" s="1323"/>
      <c r="AA253" s="1323"/>
      <c r="AB253" s="1324"/>
      <c r="AC253" s="1558"/>
      <c r="AD253" s="1558"/>
      <c r="AE253" s="1558"/>
      <c r="AF253" s="1558"/>
      <c r="AI253" s="3056" t="str">
        <f>"22:shoguukaizen_code:"&amp;IF(I253="■",1,IF(L253="■",7,IF(O253="■",8,IF(R253="■",9,IF(U253="■","A",0)))))</f>
        <v>22:shoguukaizen_code:0</v>
      </c>
    </row>
    <row r="254" spans="1:36" s="3056" customFormat="1" ht="18.75" customHeight="1">
      <c r="A254" s="1276"/>
      <c r="B254" s="1405"/>
      <c r="C254" s="1333"/>
      <c r="D254" s="1335"/>
      <c r="E254" s="1272"/>
      <c r="F254" s="1335"/>
      <c r="G254" s="1351"/>
      <c r="H254" s="1408" t="s">
        <v>1226</v>
      </c>
      <c r="I254" s="3074" t="s">
        <v>121</v>
      </c>
      <c r="J254" s="1280" t="s">
        <v>1227</v>
      </c>
      <c r="K254" s="1281"/>
      <c r="L254" s="1282"/>
      <c r="M254" s="3073" t="s">
        <v>121</v>
      </c>
      <c r="N254" s="1280" t="s">
        <v>1228</v>
      </c>
      <c r="O254" s="1284"/>
      <c r="P254" s="1284"/>
      <c r="Q254" s="1284"/>
      <c r="R254" s="1284"/>
      <c r="S254" s="1284"/>
      <c r="T254" s="1284"/>
      <c r="U254" s="1284"/>
      <c r="V254" s="1284"/>
      <c r="W254" s="1284"/>
      <c r="X254" s="1325"/>
      <c r="Y254" s="3119" t="s">
        <v>121</v>
      </c>
      <c r="Z254" s="1270" t="s">
        <v>1229</v>
      </c>
      <c r="AA254" s="1270"/>
      <c r="AB254" s="1286"/>
      <c r="AC254" s="1543"/>
      <c r="AD254" s="1543"/>
      <c r="AE254" s="1543"/>
      <c r="AF254" s="1543"/>
      <c r="AG254" s="3056" t="str">
        <f>"ser_code = '" &amp; IF(A263="■",22,"") &amp; "'"</f>
        <v>ser_code = ''</v>
      </c>
      <c r="AI254" s="3056" t="str">
        <f>"22:yakan_kinmu_code:" &amp; IF(I254="■",1,IF(M254="■",6,0))</f>
        <v>22:yakan_kinmu_code:0</v>
      </c>
      <c r="AJ254" s="3056" t="str">
        <f>"22:field203:" &amp; IF(Y254="■",1,IF(Y255="■",2,0))</f>
        <v>22:field203:0</v>
      </c>
    </row>
    <row r="255" spans="1:36" s="3056" customFormat="1" ht="18.75" customHeight="1">
      <c r="A255" s="735"/>
      <c r="B255" s="1407"/>
      <c r="C255" s="1303"/>
      <c r="D255" s="1304"/>
      <c r="E255" s="1275"/>
      <c r="F255" s="1304"/>
      <c r="G255" s="1305"/>
      <c r="H255" s="1541" t="s">
        <v>1290</v>
      </c>
      <c r="I255" s="3137" t="s">
        <v>121</v>
      </c>
      <c r="J255" s="1290" t="s">
        <v>1230</v>
      </c>
      <c r="K255" s="1290"/>
      <c r="L255" s="1329"/>
      <c r="M255" s="3136" t="s">
        <v>121</v>
      </c>
      <c r="N255" s="1290" t="s">
        <v>1231</v>
      </c>
      <c r="O255" s="1290"/>
      <c r="P255" s="1329"/>
      <c r="Q255" s="3136" t="s">
        <v>121</v>
      </c>
      <c r="R255" s="1402" t="s">
        <v>1232</v>
      </c>
      <c r="S255" s="1402"/>
      <c r="T255" s="1402"/>
      <c r="U255" s="3136" t="s">
        <v>121</v>
      </c>
      <c r="V255" s="1402" t="s">
        <v>1233</v>
      </c>
      <c r="W255" s="1402"/>
      <c r="X255" s="1291"/>
      <c r="Y255" s="3122" t="s">
        <v>121</v>
      </c>
      <c r="Z255" s="1273" t="s">
        <v>1234</v>
      </c>
      <c r="AA255" s="1292"/>
      <c r="AB255" s="1293"/>
      <c r="AC255" s="1544"/>
      <c r="AD255" s="1544"/>
      <c r="AE255" s="1544"/>
      <c r="AF255" s="1544"/>
      <c r="AG255" s="3056" t="str">
        <f>"22:sisetukbn_code:" &amp; IF(D263="■",9,0)</f>
        <v>22:sisetukbn_code:0</v>
      </c>
      <c r="AI255" s="3056" t="str">
        <f>"22:"&amp;IF(AND(I255="□",M255="□",Q255="□",U255="□",I256="□",M256="□",Q256="□"),"ketu_doctor_code:0",IF(I255="■","ketu_doctor_code:1:ketu_kangos_code:1:ketu_kshoku_code:1:ketu_rryoho_code:1:ketu_sryoho_code:1:ketu_gengo_code:1",
IF(M255="■","ketu_doctor_code:2","ketu_doctor_code:1")
&amp;IF(Q255="■",":ketu_kangos_code:2",":ketu_kangos_code:1")
&amp;IF(U255="■",":ketu_kshoku_code:2",":ketu_kshoku_code:1")
&amp;IF(I256="■",":ketu_rryoho_code:2",":ketu_rryoho_code:1")
&amp;IF(M256="■",":ketu_sryoho_code:2",":ketu_sryoho_code:1")
&amp;IF(Q256="■",":ketu_gengo_code:2",":ketu_gengo_code:1")))</f>
        <v>22:ketu_doctor_code:0</v>
      </c>
    </row>
    <row r="256" spans="1:36" s="3056" customFormat="1" ht="18.75" customHeight="1">
      <c r="A256" s="735"/>
      <c r="B256" s="1407"/>
      <c r="C256" s="1303"/>
      <c r="D256" s="1304"/>
      <c r="E256" s="1275"/>
      <c r="F256" s="1304"/>
      <c r="G256" s="1305"/>
      <c r="H256" s="1542"/>
      <c r="I256" s="3063" t="s">
        <v>121</v>
      </c>
      <c r="J256" s="1296" t="s">
        <v>1235</v>
      </c>
      <c r="K256" s="1296"/>
      <c r="L256" s="1355"/>
      <c r="M256" s="3062" t="s">
        <v>121</v>
      </c>
      <c r="N256" s="1296" t="s">
        <v>1236</v>
      </c>
      <c r="O256" s="1296"/>
      <c r="P256" s="1355"/>
      <c r="Q256" s="3062" t="s">
        <v>121</v>
      </c>
      <c r="R256" s="1403" t="s">
        <v>1291</v>
      </c>
      <c r="S256" s="1403"/>
      <c r="T256" s="1403"/>
      <c r="U256" s="1403"/>
      <c r="V256" s="1403"/>
      <c r="W256" s="1403"/>
      <c r="X256" s="1297"/>
      <c r="Y256" s="1295"/>
      <c r="Z256" s="1292"/>
      <c r="AA256" s="1292"/>
      <c r="AB256" s="1293"/>
      <c r="AC256" s="1544"/>
      <c r="AD256" s="1544"/>
      <c r="AE256" s="1544"/>
      <c r="AF256" s="1544"/>
    </row>
    <row r="257" spans="1:35" s="3056" customFormat="1" ht="18.75" customHeight="1">
      <c r="A257" s="735"/>
      <c r="B257" s="1407"/>
      <c r="C257" s="1303"/>
      <c r="D257" s="1304"/>
      <c r="E257" s="1275"/>
      <c r="F257" s="1304"/>
      <c r="G257" s="1305"/>
      <c r="H257" s="1409" t="s">
        <v>91</v>
      </c>
      <c r="I257" s="3066" t="s">
        <v>121</v>
      </c>
      <c r="J257" s="1298" t="s">
        <v>1239</v>
      </c>
      <c r="K257" s="1299"/>
      <c r="L257" s="1300"/>
      <c r="M257" s="3065" t="s">
        <v>121</v>
      </c>
      <c r="N257" s="1298" t="s">
        <v>1240</v>
      </c>
      <c r="O257" s="1307"/>
      <c r="P257" s="1307"/>
      <c r="Q257" s="1307"/>
      <c r="R257" s="1307"/>
      <c r="S257" s="1307"/>
      <c r="T257" s="1307"/>
      <c r="U257" s="1307"/>
      <c r="V257" s="1307"/>
      <c r="W257" s="1307"/>
      <c r="X257" s="1308"/>
      <c r="Y257" s="1295"/>
      <c r="Z257" s="1292"/>
      <c r="AA257" s="1292"/>
      <c r="AB257" s="1293"/>
      <c r="AC257" s="1544"/>
      <c r="AD257" s="1544"/>
      <c r="AE257" s="1544"/>
      <c r="AF257" s="1544"/>
      <c r="AI257" s="3056" t="str">
        <f>"22:unitcare_code:" &amp; IF(I257="■",1,IF(M257="■",2,0))</f>
        <v>22:unitcare_code:0</v>
      </c>
    </row>
    <row r="258" spans="1:35" s="3056" customFormat="1" ht="18.75" customHeight="1">
      <c r="A258" s="735"/>
      <c r="B258" s="1407"/>
      <c r="C258" s="1287"/>
      <c r="D258" s="1288"/>
      <c r="E258" s="1275"/>
      <c r="F258" s="1289"/>
      <c r="G258" s="1305"/>
      <c r="H258" s="3193" t="s">
        <v>1241</v>
      </c>
      <c r="I258" s="3096" t="s">
        <v>121</v>
      </c>
      <c r="J258" s="3091" t="s">
        <v>1242</v>
      </c>
      <c r="K258" s="3095"/>
      <c r="L258" s="3094"/>
      <c r="M258" s="3093" t="s">
        <v>121</v>
      </c>
      <c r="N258" s="3091" t="s">
        <v>1243</v>
      </c>
      <c r="O258" s="3095"/>
      <c r="P258" s="3192"/>
      <c r="Q258" s="3192"/>
      <c r="R258" s="3192"/>
      <c r="S258" s="3192"/>
      <c r="T258" s="3192"/>
      <c r="U258" s="3192"/>
      <c r="V258" s="3192"/>
      <c r="W258" s="3192"/>
      <c r="X258" s="3191"/>
      <c r="Y258" s="1295"/>
      <c r="Z258" s="1292"/>
      <c r="AA258" s="1292"/>
      <c r="AB258" s="1293"/>
      <c r="AC258" s="1544"/>
      <c r="AD258" s="1544"/>
      <c r="AE258" s="1544"/>
      <c r="AF258" s="1544"/>
      <c r="AI258" s="3056" t="str">
        <f>"22:sintaikousoku_code:" &amp; IF(I258="■",1,IF(M258="■",2,0))</f>
        <v>22:sintaikousoku_code:0</v>
      </c>
    </row>
    <row r="259" spans="1:35" s="3056" customFormat="1" ht="19.5" customHeight="1">
      <c r="A259" s="735"/>
      <c r="B259" s="1407"/>
      <c r="C259" s="1303"/>
      <c r="D259" s="1304"/>
      <c r="E259" s="1275"/>
      <c r="F259" s="1289"/>
      <c r="G259" s="1305"/>
      <c r="H259" s="1306" t="s">
        <v>1244</v>
      </c>
      <c r="I259" s="3066" t="s">
        <v>121</v>
      </c>
      <c r="J259" s="1298" t="s">
        <v>1242</v>
      </c>
      <c r="K259" s="1299"/>
      <c r="L259" s="1300"/>
      <c r="M259" s="3065" t="s">
        <v>121</v>
      </c>
      <c r="N259" s="1298" t="s">
        <v>1245</v>
      </c>
      <c r="O259" s="1301"/>
      <c r="P259" s="1298"/>
      <c r="Q259" s="1307"/>
      <c r="R259" s="1307"/>
      <c r="S259" s="1307"/>
      <c r="T259" s="1307"/>
      <c r="U259" s="1307"/>
      <c r="V259" s="1307"/>
      <c r="W259" s="1307"/>
      <c r="X259" s="1308"/>
      <c r="Y259" s="1292"/>
      <c r="Z259" s="1292"/>
      <c r="AA259" s="1292"/>
      <c r="AB259" s="1293"/>
      <c r="AC259" s="1544"/>
      <c r="AD259" s="1544"/>
      <c r="AE259" s="1544"/>
      <c r="AF259" s="1544"/>
      <c r="AI259" s="3056" t="str">
        <f>"22:field223:" &amp; IF(I259="■",1,IF(M259="■",2,0))</f>
        <v>22:field223:0</v>
      </c>
    </row>
    <row r="260" spans="1:35" s="3056" customFormat="1" ht="19.5" customHeight="1">
      <c r="A260" s="735"/>
      <c r="B260" s="1407"/>
      <c r="C260" s="1303"/>
      <c r="D260" s="1304"/>
      <c r="E260" s="1275"/>
      <c r="F260" s="1289"/>
      <c r="G260" s="1305"/>
      <c r="H260" s="1306" t="s">
        <v>1246</v>
      </c>
      <c r="I260" s="3066" t="s">
        <v>121</v>
      </c>
      <c r="J260" s="1298" t="s">
        <v>1242</v>
      </c>
      <c r="K260" s="1299"/>
      <c r="L260" s="1300"/>
      <c r="M260" s="3065" t="s">
        <v>121</v>
      </c>
      <c r="N260" s="1298" t="s">
        <v>1245</v>
      </c>
      <c r="O260" s="1301"/>
      <c r="P260" s="1298"/>
      <c r="Q260" s="1307"/>
      <c r="R260" s="1307"/>
      <c r="S260" s="1307"/>
      <c r="T260" s="1307"/>
      <c r="U260" s="1307"/>
      <c r="V260" s="1307"/>
      <c r="W260" s="1307"/>
      <c r="X260" s="1308"/>
      <c r="Y260" s="1292"/>
      <c r="Z260" s="1292"/>
      <c r="AA260" s="1292"/>
      <c r="AB260" s="1293"/>
      <c r="AC260" s="1544"/>
      <c r="AD260" s="1544"/>
      <c r="AE260" s="1544"/>
      <c r="AF260" s="1544"/>
      <c r="AI260" s="3056" t="str">
        <f>"22:field232:" &amp; IF(I260="■",1,IF(M260="■",2,0))</f>
        <v>22:field232:0</v>
      </c>
    </row>
    <row r="261" spans="1:35" s="1418" customFormat="1" ht="19.5" customHeight="1">
      <c r="A261" s="625"/>
      <c r="B261" s="1416"/>
      <c r="C261" s="629"/>
      <c r="D261" s="1417"/>
      <c r="E261" s="1420"/>
      <c r="F261" s="1415"/>
      <c r="G261" s="617"/>
      <c r="H261" s="3148" t="s">
        <v>2328</v>
      </c>
      <c r="I261" s="3066" t="s">
        <v>121</v>
      </c>
      <c r="J261" s="3144" t="s">
        <v>2326</v>
      </c>
      <c r="K261" s="3147"/>
      <c r="L261" s="3146"/>
      <c r="M261" s="3065" t="s">
        <v>121</v>
      </c>
      <c r="N261" s="3144" t="s">
        <v>2325</v>
      </c>
      <c r="O261" s="3145"/>
      <c r="P261" s="3144"/>
      <c r="Q261" s="3143"/>
      <c r="R261" s="3143"/>
      <c r="S261" s="3143"/>
      <c r="T261" s="3143"/>
      <c r="U261" s="3143"/>
      <c r="V261" s="3143"/>
      <c r="W261" s="3143"/>
      <c r="X261" s="3142"/>
      <c r="Y261" s="1421"/>
      <c r="Z261" s="2"/>
      <c r="AA261" s="626"/>
      <c r="AB261" s="627"/>
      <c r="AC261" s="1544"/>
      <c r="AD261" s="1544"/>
      <c r="AE261" s="1544"/>
      <c r="AF261" s="1544"/>
      <c r="AI261" s="3056" t="str">
        <f>"22:field242:" &amp; IF(I261="■",1,IF(M261="■",2,0))</f>
        <v>22:field242:0</v>
      </c>
    </row>
    <row r="262" spans="1:35" s="3056" customFormat="1" ht="18.75" customHeight="1">
      <c r="A262" s="735"/>
      <c r="B262" s="1407"/>
      <c r="C262" s="1303"/>
      <c r="D262" s="1304"/>
      <c r="E262" s="1275"/>
      <c r="F262" s="1304"/>
      <c r="G262" s="1305"/>
      <c r="H262" s="1409" t="s">
        <v>140</v>
      </c>
      <c r="I262" s="3066" t="s">
        <v>121</v>
      </c>
      <c r="J262" s="1298" t="s">
        <v>1230</v>
      </c>
      <c r="K262" s="1299"/>
      <c r="L262" s="3065" t="s">
        <v>121</v>
      </c>
      <c r="M262" s="1298" t="s">
        <v>1248</v>
      </c>
      <c r="N262" s="1307"/>
      <c r="O262" s="1307"/>
      <c r="P262" s="1307"/>
      <c r="Q262" s="1307"/>
      <c r="R262" s="1307"/>
      <c r="S262" s="1307"/>
      <c r="T262" s="1307"/>
      <c r="U262" s="1307"/>
      <c r="V262" s="1307"/>
      <c r="W262" s="1307"/>
      <c r="X262" s="1308"/>
      <c r="Y262" s="1295"/>
      <c r="Z262" s="1292"/>
      <c r="AA262" s="1292"/>
      <c r="AB262" s="1293"/>
      <c r="AC262" s="1544"/>
      <c r="AD262" s="1544"/>
      <c r="AE262" s="1544"/>
      <c r="AF262" s="1544"/>
      <c r="AI262" s="3056" t="str">
        <f>"22:yakinhaiti_code:" &amp; IF(I262="■",1,IF(L262="■",2,0))</f>
        <v>22:yakinhaiti_code:0</v>
      </c>
    </row>
    <row r="263" spans="1:35" s="3056" customFormat="1" ht="18.75" customHeight="1">
      <c r="A263" s="3069" t="s">
        <v>121</v>
      </c>
      <c r="B263" s="1407">
        <v>22</v>
      </c>
      <c r="C263" s="1303" t="s">
        <v>1321</v>
      </c>
      <c r="D263" s="3122" t="s">
        <v>121</v>
      </c>
      <c r="E263" s="1275" t="s">
        <v>1338</v>
      </c>
      <c r="F263" s="1304"/>
      <c r="G263" s="1305"/>
      <c r="H263" s="1409" t="s">
        <v>1250</v>
      </c>
      <c r="I263" s="3066" t="s">
        <v>121</v>
      </c>
      <c r="J263" s="1298" t="s">
        <v>1230</v>
      </c>
      <c r="K263" s="1299"/>
      <c r="L263" s="3065" t="s">
        <v>121</v>
      </c>
      <c r="M263" s="1298" t="s">
        <v>1248</v>
      </c>
      <c r="N263" s="1307"/>
      <c r="O263" s="1307"/>
      <c r="P263" s="1307"/>
      <c r="Q263" s="1307"/>
      <c r="R263" s="1307"/>
      <c r="S263" s="1307"/>
      <c r="T263" s="1307"/>
      <c r="U263" s="1307"/>
      <c r="V263" s="1307"/>
      <c r="W263" s="1307"/>
      <c r="X263" s="1308"/>
      <c r="Y263" s="1295"/>
      <c r="Z263" s="1292"/>
      <c r="AA263" s="1292"/>
      <c r="AB263" s="1293"/>
      <c r="AC263" s="1544"/>
      <c r="AD263" s="1544"/>
      <c r="AE263" s="1544"/>
      <c r="AF263" s="1544"/>
      <c r="AI263" s="3056" t="str">
        <f>"22:ninticare_code:" &amp; IF(I263="■",1,IF(L263="■",2,0))</f>
        <v>22:ninticare_code:0</v>
      </c>
    </row>
    <row r="264" spans="1:35" s="3056" customFormat="1" ht="18.75" customHeight="1">
      <c r="A264" s="735"/>
      <c r="B264" s="1407"/>
      <c r="C264" s="1303"/>
      <c r="D264" s="1304"/>
      <c r="E264" s="1275"/>
      <c r="F264" s="1304"/>
      <c r="G264" s="1305"/>
      <c r="H264" s="1409" t="s">
        <v>1305</v>
      </c>
      <c r="I264" s="3066" t="s">
        <v>121</v>
      </c>
      <c r="J264" s="1298" t="s">
        <v>1230</v>
      </c>
      <c r="K264" s="1299"/>
      <c r="L264" s="3065" t="s">
        <v>121</v>
      </c>
      <c r="M264" s="1298" t="s">
        <v>1248</v>
      </c>
      <c r="N264" s="1307"/>
      <c r="O264" s="1307"/>
      <c r="P264" s="1307"/>
      <c r="Q264" s="1307"/>
      <c r="R264" s="1307"/>
      <c r="S264" s="1307"/>
      <c r="T264" s="1307"/>
      <c r="U264" s="1307"/>
      <c r="V264" s="1307"/>
      <c r="W264" s="1307"/>
      <c r="X264" s="1308"/>
      <c r="Y264" s="1295"/>
      <c r="Z264" s="1292"/>
      <c r="AA264" s="1292"/>
      <c r="AB264" s="1293"/>
      <c r="AC264" s="1544"/>
      <c r="AD264" s="1544"/>
      <c r="AE264" s="1544"/>
      <c r="AF264" s="1544"/>
      <c r="AI264" s="3056" t="str">
        <f>"22:jyakuninti_uke_code:" &amp; IF(I264="■",1,IF(L264="■",2,0))</f>
        <v>22:jyakuninti_uke_code:0</v>
      </c>
    </row>
    <row r="265" spans="1:35" s="3056" customFormat="1" ht="18.75" customHeight="1">
      <c r="A265" s="735"/>
      <c r="B265" s="1407"/>
      <c r="C265" s="1303"/>
      <c r="D265" s="1304"/>
      <c r="E265" s="1275"/>
      <c r="F265" s="1304"/>
      <c r="G265" s="1305"/>
      <c r="H265" s="1409" t="s">
        <v>1324</v>
      </c>
      <c r="I265" s="3066" t="s">
        <v>121</v>
      </c>
      <c r="J265" s="1298" t="s">
        <v>1239</v>
      </c>
      <c r="K265" s="1299"/>
      <c r="L265" s="1300"/>
      <c r="M265" s="3065" t="s">
        <v>121</v>
      </c>
      <c r="N265" s="1298" t="s">
        <v>1240</v>
      </c>
      <c r="O265" s="1307"/>
      <c r="P265" s="1307"/>
      <c r="Q265" s="1307"/>
      <c r="R265" s="1307"/>
      <c r="S265" s="1307"/>
      <c r="T265" s="1307"/>
      <c r="U265" s="1307"/>
      <c r="V265" s="1307"/>
      <c r="W265" s="1307"/>
      <c r="X265" s="1308"/>
      <c r="Y265" s="1295"/>
      <c r="Z265" s="1292"/>
      <c r="AA265" s="1292"/>
      <c r="AB265" s="1293"/>
      <c r="AC265" s="1544"/>
      <c r="AD265" s="1544"/>
      <c r="AE265" s="1544"/>
      <c r="AF265" s="1544"/>
      <c r="AI265" s="3056" t="str">
        <f>"22:sougei_code:" &amp; IF(I265="■",1,IF(M265="■",2,0))</f>
        <v>22:sougei_code:0</v>
      </c>
    </row>
    <row r="266" spans="1:35" s="3056" customFormat="1" ht="19.5" customHeight="1">
      <c r="A266" s="735"/>
      <c r="B266" s="1407"/>
      <c r="C266" s="1303"/>
      <c r="D266" s="1304"/>
      <c r="E266" s="1275"/>
      <c r="F266" s="1289"/>
      <c r="G266" s="1305"/>
      <c r="H266" s="1306" t="s">
        <v>1325</v>
      </c>
      <c r="I266" s="3066" t="s">
        <v>121</v>
      </c>
      <c r="J266" s="1298" t="s">
        <v>1230</v>
      </c>
      <c r="K266" s="1298"/>
      <c r="L266" s="3065" t="s">
        <v>121</v>
      </c>
      <c r="M266" s="1298" t="s">
        <v>1248</v>
      </c>
      <c r="N266" s="1298"/>
      <c r="O266" s="1307"/>
      <c r="P266" s="1298"/>
      <c r="Q266" s="1307"/>
      <c r="R266" s="1307"/>
      <c r="S266" s="1307"/>
      <c r="T266" s="1307"/>
      <c r="U266" s="1307"/>
      <c r="V266" s="1307"/>
      <c r="W266" s="1307"/>
      <c r="X266" s="1308"/>
      <c r="Y266" s="1292"/>
      <c r="Z266" s="1292"/>
      <c r="AA266" s="1292"/>
      <c r="AB266" s="1293"/>
      <c r="AC266" s="1544"/>
      <c r="AD266" s="1544"/>
      <c r="AE266" s="1544"/>
      <c r="AF266" s="1544"/>
      <c r="AI266" s="3056" t="str">
        <f>"22:field224:" &amp; IF(I266="■",1,IF(L266="■",2,0))</f>
        <v>22:field224:0</v>
      </c>
    </row>
    <row r="267" spans="1:35" s="3056" customFormat="1" ht="18.75" customHeight="1">
      <c r="A267" s="735"/>
      <c r="B267" s="1407"/>
      <c r="C267" s="1303"/>
      <c r="D267" s="1304"/>
      <c r="E267" s="1275"/>
      <c r="F267" s="1304"/>
      <c r="G267" s="1305"/>
      <c r="H267" s="1409" t="s">
        <v>145</v>
      </c>
      <c r="I267" s="3066" t="s">
        <v>121</v>
      </c>
      <c r="J267" s="1298" t="s">
        <v>1230</v>
      </c>
      <c r="K267" s="1299"/>
      <c r="L267" s="3065" t="s">
        <v>121</v>
      </c>
      <c r="M267" s="1298" t="s">
        <v>1248</v>
      </c>
      <c r="N267" s="1307"/>
      <c r="O267" s="1307"/>
      <c r="P267" s="1307"/>
      <c r="Q267" s="1307"/>
      <c r="R267" s="1307"/>
      <c r="S267" s="1307"/>
      <c r="T267" s="1307"/>
      <c r="U267" s="1307"/>
      <c r="V267" s="1307"/>
      <c r="W267" s="1307"/>
      <c r="X267" s="1308"/>
      <c r="Y267" s="1295"/>
      <c r="Z267" s="1292"/>
      <c r="AA267" s="1292"/>
      <c r="AB267" s="1293"/>
      <c r="AC267" s="1544"/>
      <c r="AD267" s="1544"/>
      <c r="AE267" s="1544"/>
      <c r="AF267" s="1544"/>
      <c r="AI267" s="3056" t="str">
        <f>"22:ryouyoushoku_code:" &amp; IF(I267="■",1,IF(L267="■",2,0))</f>
        <v>22:ryouyoushoku_code:0</v>
      </c>
    </row>
    <row r="268" spans="1:35" s="3056" customFormat="1" ht="18.75" customHeight="1">
      <c r="A268" s="735"/>
      <c r="B268" s="1407"/>
      <c r="C268" s="1303"/>
      <c r="D268" s="1304"/>
      <c r="E268" s="1275"/>
      <c r="F268" s="1304"/>
      <c r="G268" s="1305"/>
      <c r="H268" s="1409" t="s">
        <v>1326</v>
      </c>
      <c r="I268" s="3066" t="s">
        <v>121</v>
      </c>
      <c r="J268" s="1298" t="s">
        <v>1230</v>
      </c>
      <c r="K268" s="1298"/>
      <c r="L268" s="3065" t="s">
        <v>121</v>
      </c>
      <c r="M268" s="1298" t="s">
        <v>1256</v>
      </c>
      <c r="N268" s="1298"/>
      <c r="O268" s="3065" t="s">
        <v>121</v>
      </c>
      <c r="P268" s="1298" t="s">
        <v>1257</v>
      </c>
      <c r="Q268" s="1307"/>
      <c r="R268" s="1307"/>
      <c r="S268" s="1307"/>
      <c r="T268" s="1307"/>
      <c r="U268" s="1307"/>
      <c r="V268" s="1307"/>
      <c r="W268" s="1307"/>
      <c r="X268" s="1308"/>
      <c r="Y268" s="1295"/>
      <c r="Z268" s="1292"/>
      <c r="AA268" s="1292"/>
      <c r="AB268" s="1293"/>
      <c r="AC268" s="1544"/>
      <c r="AD268" s="1544"/>
      <c r="AE268" s="1544"/>
      <c r="AF268" s="1544"/>
      <c r="AI268" s="3056" t="str">
        <f>"22:ninti_senmoncare_code:" &amp; IF(I268="■",1,IF(O268="■",3,IF(L268="■",2,0)))</f>
        <v>22:ninti_senmoncare_code:0</v>
      </c>
    </row>
    <row r="269" spans="1:35" s="3056" customFormat="1" ht="18.75" customHeight="1">
      <c r="A269" s="735"/>
      <c r="B269" s="1407"/>
      <c r="C269" s="1303"/>
      <c r="D269" s="1304"/>
      <c r="E269" s="1275"/>
      <c r="F269" s="1304"/>
      <c r="G269" s="1305"/>
      <c r="H269" s="1313" t="s">
        <v>1265</v>
      </c>
      <c r="I269" s="3066" t="s">
        <v>121</v>
      </c>
      <c r="J269" s="1298" t="s">
        <v>1230</v>
      </c>
      <c r="K269" s="1298"/>
      <c r="L269" s="3065" t="s">
        <v>121</v>
      </c>
      <c r="M269" s="1298" t="s">
        <v>1256</v>
      </c>
      <c r="N269" s="1298"/>
      <c r="O269" s="3065" t="s">
        <v>121</v>
      </c>
      <c r="P269" s="1298" t="s">
        <v>1257</v>
      </c>
      <c r="Q269" s="1307"/>
      <c r="R269" s="1307"/>
      <c r="S269" s="1307"/>
      <c r="T269" s="1307"/>
      <c r="U269" s="1314"/>
      <c r="V269" s="1314"/>
      <c r="W269" s="1314"/>
      <c r="X269" s="1315"/>
      <c r="Y269" s="1295"/>
      <c r="Z269" s="1292"/>
      <c r="AA269" s="1292"/>
      <c r="AB269" s="1293"/>
      <c r="AC269" s="1544"/>
      <c r="AD269" s="1544"/>
      <c r="AE269" s="1544"/>
      <c r="AF269" s="1544"/>
      <c r="AI269" s="3056" t="str">
        <f>"22:field225:" &amp; IF(I269="■",1,IF(L269="■",2,IF(O269="■",3,0)))</f>
        <v>22:field225:0</v>
      </c>
    </row>
    <row r="270" spans="1:35" s="3056" customFormat="1" ht="18.75" customHeight="1">
      <c r="A270" s="735"/>
      <c r="B270" s="1407"/>
      <c r="C270" s="1303"/>
      <c r="D270" s="1304"/>
      <c r="E270" s="1275"/>
      <c r="F270" s="1304"/>
      <c r="G270" s="1305"/>
      <c r="H270" s="1312" t="s">
        <v>1266</v>
      </c>
      <c r="I270" s="3066" t="s">
        <v>121</v>
      </c>
      <c r="J270" s="1298" t="s">
        <v>1230</v>
      </c>
      <c r="K270" s="1298"/>
      <c r="L270" s="3065" t="s">
        <v>121</v>
      </c>
      <c r="M270" s="1298" t="s">
        <v>1267</v>
      </c>
      <c r="N270" s="1298"/>
      <c r="O270" s="3065" t="s">
        <v>121</v>
      </c>
      <c r="P270" s="1298" t="s">
        <v>1268</v>
      </c>
      <c r="Q270" s="1326"/>
      <c r="R270" s="3065" t="s">
        <v>121</v>
      </c>
      <c r="S270" s="1298" t="s">
        <v>1269</v>
      </c>
      <c r="T270" s="1326"/>
      <c r="U270" s="1326"/>
      <c r="V270" s="1326"/>
      <c r="W270" s="1326"/>
      <c r="X270" s="1327"/>
      <c r="Y270" s="1295"/>
      <c r="Z270" s="1292"/>
      <c r="AA270" s="1292"/>
      <c r="AB270" s="1293"/>
      <c r="AC270" s="1544"/>
      <c r="AD270" s="1544"/>
      <c r="AE270" s="1544"/>
      <c r="AF270" s="1544"/>
      <c r="AI270" s="3056" t="str">
        <f>"22:serteikyo_kyoka_code:" &amp; IF(I270="■",1,IF(L270="■",6,IF(O270="■",5,IF(R270="■",7,0))))</f>
        <v>22:serteikyo_kyoka_code:0</v>
      </c>
    </row>
    <row r="271" spans="1:35" s="3056" customFormat="1" ht="18.75" customHeight="1">
      <c r="A271" s="735"/>
      <c r="B271" s="1407"/>
      <c r="C271" s="1303"/>
      <c r="D271" s="1304"/>
      <c r="E271" s="1275"/>
      <c r="F271" s="1304"/>
      <c r="G271" s="1305"/>
      <c r="H271" s="1539" t="s">
        <v>2390</v>
      </c>
      <c r="I271" s="3162" t="s">
        <v>121</v>
      </c>
      <c r="J271" s="3161" t="s">
        <v>1230</v>
      </c>
      <c r="K271" s="3161"/>
      <c r="L271" s="3160" t="s">
        <v>121</v>
      </c>
      <c r="M271" s="3161" t="s">
        <v>1248</v>
      </c>
      <c r="N271" s="3161"/>
      <c r="O271" s="1290"/>
      <c r="P271" s="1290"/>
      <c r="Q271" s="1290"/>
      <c r="R271" s="1290"/>
      <c r="S271" s="1290"/>
      <c r="T271" s="1290"/>
      <c r="U271" s="1290"/>
      <c r="V271" s="1290"/>
      <c r="W271" s="1290"/>
      <c r="X271" s="1331"/>
      <c r="Y271" s="1295"/>
      <c r="Z271" s="1292"/>
      <c r="AA271" s="1292"/>
      <c r="AB271" s="1293"/>
      <c r="AC271" s="1544"/>
      <c r="AD271" s="1544"/>
      <c r="AE271" s="1544"/>
      <c r="AF271" s="1544"/>
      <c r="AI271" s="3056" t="str">
        <f>"22:field221:" &amp; IF(I271="■",1,IF(L271="■",2,0))</f>
        <v>22:field221:0</v>
      </c>
    </row>
    <row r="272" spans="1:35" s="3056" customFormat="1" ht="18.75" customHeight="1">
      <c r="A272" s="735"/>
      <c r="B272" s="1407"/>
      <c r="C272" s="1303"/>
      <c r="D272" s="1304"/>
      <c r="E272" s="1275"/>
      <c r="F272" s="1304"/>
      <c r="G272" s="1305"/>
      <c r="H272" s="1540"/>
      <c r="I272" s="3162"/>
      <c r="J272" s="3161"/>
      <c r="K272" s="3161"/>
      <c r="L272" s="3160"/>
      <c r="M272" s="3161"/>
      <c r="N272" s="3161"/>
      <c r="O272" s="1296"/>
      <c r="P272" s="1296"/>
      <c r="Q272" s="1296"/>
      <c r="R272" s="1296"/>
      <c r="S272" s="1296"/>
      <c r="T272" s="1296"/>
      <c r="U272" s="1296"/>
      <c r="V272" s="1296"/>
      <c r="W272" s="1296"/>
      <c r="X272" s="1332"/>
      <c r="Y272" s="1295"/>
      <c r="Z272" s="1292"/>
      <c r="AA272" s="1292"/>
      <c r="AB272" s="1293"/>
      <c r="AC272" s="1544"/>
      <c r="AD272" s="1544"/>
      <c r="AE272" s="1544"/>
      <c r="AF272" s="1544"/>
    </row>
    <row r="273" spans="1:36" s="3056" customFormat="1" ht="18.75" customHeight="1">
      <c r="A273" s="735"/>
      <c r="B273" s="1407"/>
      <c r="C273" s="1303"/>
      <c r="D273" s="1304"/>
      <c r="E273" s="1275"/>
      <c r="F273" s="1289"/>
      <c r="G273" s="1305"/>
      <c r="H273" s="3155" t="s">
        <v>2288</v>
      </c>
      <c r="I273" s="3137" t="s">
        <v>121</v>
      </c>
      <c r="J273" s="3151" t="s">
        <v>1230</v>
      </c>
      <c r="K273" s="3151"/>
      <c r="L273" s="3136" t="s">
        <v>121</v>
      </c>
      <c r="M273" s="3151" t="s">
        <v>2287</v>
      </c>
      <c r="N273" s="3154"/>
      <c r="O273" s="3136" t="s">
        <v>121</v>
      </c>
      <c r="P273" s="3153" t="s">
        <v>2286</v>
      </c>
      <c r="Q273" s="3152"/>
      <c r="R273" s="3136" t="s">
        <v>121</v>
      </c>
      <c r="S273" s="3151" t="s">
        <v>2285</v>
      </c>
      <c r="T273" s="3152"/>
      <c r="U273" s="3136" t="s">
        <v>121</v>
      </c>
      <c r="V273" s="3151" t="s">
        <v>2284</v>
      </c>
      <c r="W273" s="3150"/>
      <c r="X273" s="3149"/>
      <c r="Y273" s="1292"/>
      <c r="Z273" s="1292"/>
      <c r="AA273" s="1292"/>
      <c r="AB273" s="1293"/>
      <c r="AC273" s="1544"/>
      <c r="AD273" s="1544"/>
      <c r="AE273" s="1544"/>
      <c r="AF273" s="1544"/>
      <c r="AI273" s="3056" t="str">
        <f>"22:shoguukaizen_code:"&amp;IF(I273="■",1,IF(L273="■",7,IF(O273="■",8,IF(R273="■",9,IF(U273="■","A",0)))))</f>
        <v>22:shoguukaizen_code:0</v>
      </c>
    </row>
    <row r="274" spans="1:36" s="3056" customFormat="1" ht="18.75" customHeight="1">
      <c r="A274" s="1276"/>
      <c r="B274" s="1405"/>
      <c r="C274" s="1333"/>
      <c r="D274" s="1335"/>
      <c r="E274" s="1272"/>
      <c r="F274" s="1335"/>
      <c r="G274" s="1351"/>
      <c r="H274" s="1408" t="s">
        <v>1226</v>
      </c>
      <c r="I274" s="3074" t="s">
        <v>121</v>
      </c>
      <c r="J274" s="1280" t="s">
        <v>1227</v>
      </c>
      <c r="K274" s="1281"/>
      <c r="L274" s="1282"/>
      <c r="M274" s="3073" t="s">
        <v>121</v>
      </c>
      <c r="N274" s="1280" t="s">
        <v>1228</v>
      </c>
      <c r="O274" s="1284"/>
      <c r="P274" s="1284"/>
      <c r="Q274" s="1284"/>
      <c r="R274" s="1284"/>
      <c r="S274" s="1284"/>
      <c r="T274" s="1284"/>
      <c r="U274" s="1284"/>
      <c r="V274" s="1284"/>
      <c r="W274" s="1284"/>
      <c r="X274" s="1325"/>
      <c r="Y274" s="3119" t="s">
        <v>121</v>
      </c>
      <c r="Z274" s="1270" t="s">
        <v>1229</v>
      </c>
      <c r="AA274" s="1270"/>
      <c r="AB274" s="1286"/>
      <c r="AC274" s="1543"/>
      <c r="AD274" s="1543"/>
      <c r="AE274" s="1543"/>
      <c r="AF274" s="1543"/>
      <c r="AG274" s="3056" t="str">
        <f>"ser_code = '" &amp; IF(A282="■",22,"") &amp; "'"</f>
        <v>ser_code = ''</v>
      </c>
      <c r="AI274" s="3056" t="str">
        <f>"22:yakan_kinmu_code:" &amp; IF(I274="■",1,IF(M274="■",6,0))</f>
        <v>22:yakan_kinmu_code:0</v>
      </c>
      <c r="AJ274" s="3056" t="str">
        <f>"22:field203:" &amp; IF(Y274="■",1,IF(Y275="■",2,0))</f>
        <v>22:field203:0</v>
      </c>
    </row>
    <row r="275" spans="1:36" s="3056" customFormat="1" ht="18.75" customHeight="1">
      <c r="A275" s="735"/>
      <c r="B275" s="1407"/>
      <c r="C275" s="1303"/>
      <c r="D275" s="1304"/>
      <c r="E275" s="1275"/>
      <c r="F275" s="1304"/>
      <c r="G275" s="1305"/>
      <c r="H275" s="1541" t="s">
        <v>1290</v>
      </c>
      <c r="I275" s="3137" t="s">
        <v>121</v>
      </c>
      <c r="J275" s="1290" t="s">
        <v>1230</v>
      </c>
      <c r="K275" s="1290"/>
      <c r="L275" s="1329"/>
      <c r="M275" s="3136" t="s">
        <v>121</v>
      </c>
      <c r="N275" s="1290" t="s">
        <v>1231</v>
      </c>
      <c r="O275" s="1290"/>
      <c r="P275" s="1329"/>
      <c r="Q275" s="3136" t="s">
        <v>121</v>
      </c>
      <c r="R275" s="1402" t="s">
        <v>1232</v>
      </c>
      <c r="S275" s="1402"/>
      <c r="T275" s="1402"/>
      <c r="U275" s="3136" t="s">
        <v>121</v>
      </c>
      <c r="V275" s="1402" t="s">
        <v>1233</v>
      </c>
      <c r="W275" s="1402"/>
      <c r="X275" s="1291"/>
      <c r="Y275" s="3122" t="s">
        <v>121</v>
      </c>
      <c r="Z275" s="1273" t="s">
        <v>1234</v>
      </c>
      <c r="AA275" s="1292"/>
      <c r="AB275" s="1293"/>
      <c r="AC275" s="1544"/>
      <c r="AD275" s="1544"/>
      <c r="AE275" s="1544"/>
      <c r="AF275" s="1544"/>
      <c r="AG275" s="3056" t="str">
        <f>"22:sisetukbn_code:" &amp; IF(D282="■","A",0)</f>
        <v>22:sisetukbn_code:0</v>
      </c>
      <c r="AI275" s="3056" t="str">
        <f>"22:"&amp;IF(AND(I275="□",M275="□",Q275="□",U275="□",I276="□",M276="□",Q276="□"),"ketu_doctor_code:0",IF(I275="■","ketu_doctor_code:1:ketu_kangos_code:1:ketu_kshoku_code:1:ketu_rryoho_code:1:ketu_sryoho_code:1:ketu_gengo_code:1",
IF(M275="■","ketu_doctor_code:2","ketu_doctor_code:1")
&amp;IF(Q275="■",":ketu_kangos_code:2",":ketu_kangos_code:1")
&amp;IF(U275="■",":ketu_kshoku_code:2",":ketu_kshoku_code:1")
&amp;IF(I276="■",":ketu_rryoho_code:2",":ketu_rryoho_code:1")
&amp;IF(M276="■",":ketu_sryoho_code:2",":ketu_sryoho_code:1")
&amp;IF(Q276="■",":ketu_gengo_code:2",":ketu_gengo_code:1")))</f>
        <v>22:ketu_doctor_code:0</v>
      </c>
    </row>
    <row r="276" spans="1:36" s="3056" customFormat="1" ht="18.75" customHeight="1">
      <c r="A276" s="735"/>
      <c r="B276" s="1407"/>
      <c r="C276" s="1303"/>
      <c r="D276" s="1304"/>
      <c r="E276" s="1275"/>
      <c r="F276" s="1304"/>
      <c r="G276" s="1305"/>
      <c r="H276" s="1542"/>
      <c r="I276" s="3063" t="s">
        <v>121</v>
      </c>
      <c r="J276" s="1296" t="s">
        <v>1235</v>
      </c>
      <c r="K276" s="1296"/>
      <c r="L276" s="1355"/>
      <c r="M276" s="3062" t="s">
        <v>121</v>
      </c>
      <c r="N276" s="1296" t="s">
        <v>1236</v>
      </c>
      <c r="O276" s="1296"/>
      <c r="P276" s="1355"/>
      <c r="Q276" s="3062" t="s">
        <v>121</v>
      </c>
      <c r="R276" s="1403" t="s">
        <v>1291</v>
      </c>
      <c r="S276" s="1403"/>
      <c r="T276" s="1403"/>
      <c r="U276" s="1403"/>
      <c r="V276" s="1403"/>
      <c r="W276" s="1403"/>
      <c r="X276" s="1297"/>
      <c r="Y276" s="1295"/>
      <c r="Z276" s="1292"/>
      <c r="AA276" s="1292"/>
      <c r="AB276" s="1293"/>
      <c r="AC276" s="1544"/>
      <c r="AD276" s="1544"/>
      <c r="AE276" s="1544"/>
      <c r="AF276" s="1544"/>
    </row>
    <row r="277" spans="1:36" s="3056" customFormat="1" ht="18.75" customHeight="1">
      <c r="A277" s="735"/>
      <c r="B277" s="1407"/>
      <c r="C277" s="1303"/>
      <c r="D277" s="1304"/>
      <c r="E277" s="1275"/>
      <c r="F277" s="1304"/>
      <c r="G277" s="1305"/>
      <c r="H277" s="1409" t="s">
        <v>91</v>
      </c>
      <c r="I277" s="3066" t="s">
        <v>121</v>
      </c>
      <c r="J277" s="1298" t="s">
        <v>1239</v>
      </c>
      <c r="K277" s="1299"/>
      <c r="L277" s="1300"/>
      <c r="M277" s="3065" t="s">
        <v>121</v>
      </c>
      <c r="N277" s="1298" t="s">
        <v>1240</v>
      </c>
      <c r="O277" s="1307"/>
      <c r="P277" s="1307"/>
      <c r="Q277" s="1307"/>
      <c r="R277" s="1307"/>
      <c r="S277" s="1307"/>
      <c r="T277" s="1307"/>
      <c r="U277" s="1307"/>
      <c r="V277" s="1307"/>
      <c r="W277" s="1307"/>
      <c r="X277" s="1308"/>
      <c r="Y277" s="1295"/>
      <c r="Z277" s="1292"/>
      <c r="AA277" s="1292"/>
      <c r="AB277" s="1293"/>
      <c r="AC277" s="1544"/>
      <c r="AD277" s="1544"/>
      <c r="AE277" s="1544"/>
      <c r="AF277" s="1544"/>
      <c r="AI277" s="3056" t="str">
        <f>"22:unitcare_code:" &amp; IF(I277="■",1,IF(M277="■",2,0))</f>
        <v>22:unitcare_code:0</v>
      </c>
    </row>
    <row r="278" spans="1:36" s="3056" customFormat="1" ht="18.75" customHeight="1">
      <c r="A278" s="735"/>
      <c r="B278" s="1407"/>
      <c r="C278" s="1287"/>
      <c r="D278" s="1288"/>
      <c r="E278" s="1275"/>
      <c r="F278" s="1289"/>
      <c r="G278" s="1305"/>
      <c r="H278" s="3193" t="s">
        <v>1241</v>
      </c>
      <c r="I278" s="3096" t="s">
        <v>121</v>
      </c>
      <c r="J278" s="3091" t="s">
        <v>1242</v>
      </c>
      <c r="K278" s="3095"/>
      <c r="L278" s="3094"/>
      <c r="M278" s="3093" t="s">
        <v>121</v>
      </c>
      <c r="N278" s="3091" t="s">
        <v>1243</v>
      </c>
      <c r="O278" s="3095"/>
      <c r="P278" s="3192"/>
      <c r="Q278" s="3192"/>
      <c r="R278" s="3192"/>
      <c r="S278" s="3192"/>
      <c r="T278" s="3192"/>
      <c r="U278" s="3192"/>
      <c r="V278" s="3192"/>
      <c r="W278" s="3192"/>
      <c r="X278" s="3191"/>
      <c r="Y278" s="1295"/>
      <c r="Z278" s="1292"/>
      <c r="AA278" s="1292"/>
      <c r="AB278" s="1293"/>
      <c r="AC278" s="1544"/>
      <c r="AD278" s="1544"/>
      <c r="AE278" s="1544"/>
      <c r="AF278" s="1544"/>
      <c r="AI278" s="3056" t="str">
        <f>"22:sintaikousoku_code:" &amp; IF(I278="■",1,IF(M278="■",2,0))</f>
        <v>22:sintaikousoku_code:0</v>
      </c>
    </row>
    <row r="279" spans="1:36" s="3056" customFormat="1" ht="19.5" customHeight="1">
      <c r="A279" s="735"/>
      <c r="B279" s="1407"/>
      <c r="C279" s="1303"/>
      <c r="D279" s="1304"/>
      <c r="E279" s="1275"/>
      <c r="F279" s="1289"/>
      <c r="G279" s="1305"/>
      <c r="H279" s="1306" t="s">
        <v>1244</v>
      </c>
      <c r="I279" s="3066" t="s">
        <v>121</v>
      </c>
      <c r="J279" s="1298" t="s">
        <v>1242</v>
      </c>
      <c r="K279" s="1299"/>
      <c r="L279" s="1300"/>
      <c r="M279" s="3065" t="s">
        <v>121</v>
      </c>
      <c r="N279" s="1298" t="s">
        <v>1245</v>
      </c>
      <c r="O279" s="1301"/>
      <c r="P279" s="1298"/>
      <c r="Q279" s="1307"/>
      <c r="R279" s="1307"/>
      <c r="S279" s="1307"/>
      <c r="T279" s="1307"/>
      <c r="U279" s="1307"/>
      <c r="V279" s="1307"/>
      <c r="W279" s="1307"/>
      <c r="X279" s="1308"/>
      <c r="Y279" s="1292"/>
      <c r="Z279" s="1292"/>
      <c r="AA279" s="1292"/>
      <c r="AB279" s="1293"/>
      <c r="AC279" s="1544"/>
      <c r="AD279" s="1544"/>
      <c r="AE279" s="1544"/>
      <c r="AF279" s="1544"/>
      <c r="AI279" s="3056" t="str">
        <f>"22:field223:" &amp; IF(I279="■",1,IF(M279="■",2,0))</f>
        <v>22:field223:0</v>
      </c>
    </row>
    <row r="280" spans="1:36" s="3056" customFormat="1" ht="19.5" customHeight="1">
      <c r="A280" s="735"/>
      <c r="B280" s="1407"/>
      <c r="C280" s="1303"/>
      <c r="D280" s="1304"/>
      <c r="E280" s="1275"/>
      <c r="F280" s="1289"/>
      <c r="G280" s="1305"/>
      <c r="H280" s="1306" t="s">
        <v>1246</v>
      </c>
      <c r="I280" s="3066" t="s">
        <v>121</v>
      </c>
      <c r="J280" s="1298" t="s">
        <v>1242</v>
      </c>
      <c r="K280" s="1299"/>
      <c r="L280" s="1300"/>
      <c r="M280" s="3065" t="s">
        <v>121</v>
      </c>
      <c r="N280" s="1298" t="s">
        <v>1245</v>
      </c>
      <c r="O280" s="1301"/>
      <c r="P280" s="1298"/>
      <c r="Q280" s="1307"/>
      <c r="R280" s="1307"/>
      <c r="S280" s="1307"/>
      <c r="T280" s="1307"/>
      <c r="U280" s="1307"/>
      <c r="V280" s="1307"/>
      <c r="W280" s="1307"/>
      <c r="X280" s="1308"/>
      <c r="Y280" s="1292"/>
      <c r="Z280" s="1292"/>
      <c r="AA280" s="1292"/>
      <c r="AB280" s="1293"/>
      <c r="AC280" s="1544"/>
      <c r="AD280" s="1544"/>
      <c r="AE280" s="1544"/>
      <c r="AF280" s="1544"/>
      <c r="AI280" s="3056" t="str">
        <f>"22:field232:" &amp; IF(I280="■",1,IF(M280="■",2,0))</f>
        <v>22:field232:0</v>
      </c>
    </row>
    <row r="281" spans="1:36" s="3056" customFormat="1" ht="18.75" customHeight="1">
      <c r="A281" s="735"/>
      <c r="B281" s="1407"/>
      <c r="C281" s="1303"/>
      <c r="D281" s="1304"/>
      <c r="E281" s="1275"/>
      <c r="F281" s="1304"/>
      <c r="G281" s="1305"/>
      <c r="H281" s="1409" t="s">
        <v>140</v>
      </c>
      <c r="I281" s="3066" t="s">
        <v>121</v>
      </c>
      <c r="J281" s="1298" t="s">
        <v>1230</v>
      </c>
      <c r="K281" s="1299"/>
      <c r="L281" s="3065" t="s">
        <v>121</v>
      </c>
      <c r="M281" s="1298" t="s">
        <v>1248</v>
      </c>
      <c r="N281" s="1307"/>
      <c r="O281" s="1307"/>
      <c r="P281" s="1307"/>
      <c r="Q281" s="1307"/>
      <c r="R281" s="1307"/>
      <c r="S281" s="1307"/>
      <c r="T281" s="1307"/>
      <c r="U281" s="1307"/>
      <c r="V281" s="1307"/>
      <c r="W281" s="1307"/>
      <c r="X281" s="1308"/>
      <c r="Y281" s="1295"/>
      <c r="Z281" s="1292"/>
      <c r="AA281" s="1292"/>
      <c r="AB281" s="1293"/>
      <c r="AC281" s="1544"/>
      <c r="AD281" s="1544"/>
      <c r="AE281" s="1544"/>
      <c r="AF281" s="1544"/>
      <c r="AI281" s="3056" t="str">
        <f>"22:yakinhaiti_code:" &amp; IF(I281="■",1,IF(L281="■",2,0))</f>
        <v>22:yakinhaiti_code:0</v>
      </c>
    </row>
    <row r="282" spans="1:36" s="3056" customFormat="1" ht="18.75" customHeight="1">
      <c r="A282" s="3069" t="s">
        <v>121</v>
      </c>
      <c r="B282" s="1407">
        <v>22</v>
      </c>
      <c r="C282" s="1303" t="s">
        <v>1321</v>
      </c>
      <c r="D282" s="3122" t="s">
        <v>121</v>
      </c>
      <c r="E282" s="1275" t="s">
        <v>1339</v>
      </c>
      <c r="F282" s="1304"/>
      <c r="G282" s="1305"/>
      <c r="H282" s="1409" t="s">
        <v>1250</v>
      </c>
      <c r="I282" s="3066" t="s">
        <v>121</v>
      </c>
      <c r="J282" s="1298" t="s">
        <v>1230</v>
      </c>
      <c r="K282" s="1299"/>
      <c r="L282" s="3065" t="s">
        <v>121</v>
      </c>
      <c r="M282" s="1298" t="s">
        <v>1248</v>
      </c>
      <c r="N282" s="1307"/>
      <c r="O282" s="1307"/>
      <c r="P282" s="1307"/>
      <c r="Q282" s="1307"/>
      <c r="R282" s="1307"/>
      <c r="S282" s="1307"/>
      <c r="T282" s="1307"/>
      <c r="U282" s="1307"/>
      <c r="V282" s="1307"/>
      <c r="W282" s="1307"/>
      <c r="X282" s="1308"/>
      <c r="Y282" s="1295"/>
      <c r="Z282" s="1292"/>
      <c r="AA282" s="1292"/>
      <c r="AB282" s="1293"/>
      <c r="AC282" s="1544"/>
      <c r="AD282" s="1544"/>
      <c r="AE282" s="1544"/>
      <c r="AF282" s="1544"/>
      <c r="AI282" s="3056" t="str">
        <f>"22:ninticare_code:" &amp; IF(I282="■",1,IF(L282="■",2,0))</f>
        <v>22:ninticare_code:0</v>
      </c>
    </row>
    <row r="283" spans="1:36" s="3056" customFormat="1" ht="18.75" customHeight="1">
      <c r="A283" s="735"/>
      <c r="B283" s="1407"/>
      <c r="C283" s="1303"/>
      <c r="D283" s="1304"/>
      <c r="E283" s="1275"/>
      <c r="F283" s="1304"/>
      <c r="G283" s="1305"/>
      <c r="H283" s="1409" t="s">
        <v>1305</v>
      </c>
      <c r="I283" s="3066" t="s">
        <v>121</v>
      </c>
      <c r="J283" s="1298" t="s">
        <v>1230</v>
      </c>
      <c r="K283" s="1299"/>
      <c r="L283" s="3065" t="s">
        <v>121</v>
      </c>
      <c r="M283" s="1298" t="s">
        <v>1248</v>
      </c>
      <c r="N283" s="1307"/>
      <c r="O283" s="1307"/>
      <c r="P283" s="1307"/>
      <c r="Q283" s="1307"/>
      <c r="R283" s="1307"/>
      <c r="S283" s="1307"/>
      <c r="T283" s="1307"/>
      <c r="U283" s="1307"/>
      <c r="V283" s="1307"/>
      <c r="W283" s="1307"/>
      <c r="X283" s="1308"/>
      <c r="Y283" s="1295"/>
      <c r="Z283" s="1292"/>
      <c r="AA283" s="1292"/>
      <c r="AB283" s="1293"/>
      <c r="AC283" s="1544"/>
      <c r="AD283" s="1544"/>
      <c r="AE283" s="1544"/>
      <c r="AF283" s="1544"/>
      <c r="AI283" s="3056" t="str">
        <f>"22:jyakuninti_uke_code:" &amp; IF(I283="■",1,IF(L283="■",2,0))</f>
        <v>22:jyakuninti_uke_code:0</v>
      </c>
    </row>
    <row r="284" spans="1:36" s="3056" customFormat="1" ht="18.75" customHeight="1">
      <c r="A284" s="735"/>
      <c r="B284" s="1407"/>
      <c r="C284" s="1303"/>
      <c r="D284" s="1304"/>
      <c r="E284" s="1275"/>
      <c r="F284" s="1304"/>
      <c r="G284" s="1305"/>
      <c r="H284" s="1409" t="s">
        <v>1324</v>
      </c>
      <c r="I284" s="3066" t="s">
        <v>121</v>
      </c>
      <c r="J284" s="1298" t="s">
        <v>1239</v>
      </c>
      <c r="K284" s="1299"/>
      <c r="L284" s="1300"/>
      <c r="M284" s="3065" t="s">
        <v>121</v>
      </c>
      <c r="N284" s="1298" t="s">
        <v>1240</v>
      </c>
      <c r="O284" s="1307"/>
      <c r="P284" s="1307"/>
      <c r="Q284" s="1307"/>
      <c r="R284" s="1307"/>
      <c r="S284" s="1307"/>
      <c r="T284" s="1307"/>
      <c r="U284" s="1307"/>
      <c r="V284" s="1307"/>
      <c r="W284" s="1307"/>
      <c r="X284" s="1308"/>
      <c r="Y284" s="1295"/>
      <c r="Z284" s="1292"/>
      <c r="AA284" s="1292"/>
      <c r="AB284" s="1293"/>
      <c r="AC284" s="1544"/>
      <c r="AD284" s="1544"/>
      <c r="AE284" s="1544"/>
      <c r="AF284" s="1544"/>
      <c r="AI284" s="3056" t="str">
        <f>"22:sougei_code:" &amp; IF(I284="■",1,IF(M284="■",2,0))</f>
        <v>22:sougei_code:0</v>
      </c>
    </row>
    <row r="285" spans="1:36" s="3056" customFormat="1" ht="19.5" customHeight="1">
      <c r="A285" s="735"/>
      <c r="B285" s="1407"/>
      <c r="C285" s="1303"/>
      <c r="D285" s="1304"/>
      <c r="E285" s="1275"/>
      <c r="F285" s="1289"/>
      <c r="G285" s="1305"/>
      <c r="H285" s="1306" t="s">
        <v>1325</v>
      </c>
      <c r="I285" s="3066" t="s">
        <v>121</v>
      </c>
      <c r="J285" s="1298" t="s">
        <v>1230</v>
      </c>
      <c r="K285" s="1298"/>
      <c r="L285" s="3065" t="s">
        <v>121</v>
      </c>
      <c r="M285" s="1298" t="s">
        <v>1248</v>
      </c>
      <c r="N285" s="1298"/>
      <c r="O285" s="1307"/>
      <c r="P285" s="1298"/>
      <c r="Q285" s="1307"/>
      <c r="R285" s="1307"/>
      <c r="S285" s="1307"/>
      <c r="T285" s="1307"/>
      <c r="U285" s="1307"/>
      <c r="V285" s="1307"/>
      <c r="W285" s="1307"/>
      <c r="X285" s="1308"/>
      <c r="Y285" s="1292"/>
      <c r="Z285" s="1292"/>
      <c r="AA285" s="1292"/>
      <c r="AB285" s="1293"/>
      <c r="AC285" s="1544"/>
      <c r="AD285" s="1544"/>
      <c r="AE285" s="1544"/>
      <c r="AF285" s="1544"/>
      <c r="AI285" s="3056" t="str">
        <f>"22:field224:" &amp; IF(I285="■",1,IF(L285="■",2,0))</f>
        <v>22:field224:0</v>
      </c>
    </row>
    <row r="286" spans="1:36" s="3056" customFormat="1" ht="18.75" customHeight="1">
      <c r="A286" s="735"/>
      <c r="B286" s="1407"/>
      <c r="C286" s="1303"/>
      <c r="D286" s="1304"/>
      <c r="E286" s="1275"/>
      <c r="F286" s="1304"/>
      <c r="G286" s="1305"/>
      <c r="H286" s="1409" t="s">
        <v>145</v>
      </c>
      <c r="I286" s="3066" t="s">
        <v>121</v>
      </c>
      <c r="J286" s="1298" t="s">
        <v>1230</v>
      </c>
      <c r="K286" s="1299"/>
      <c r="L286" s="3065" t="s">
        <v>121</v>
      </c>
      <c r="M286" s="1298" t="s">
        <v>1248</v>
      </c>
      <c r="N286" s="1307"/>
      <c r="O286" s="1307"/>
      <c r="P286" s="1307"/>
      <c r="Q286" s="1307"/>
      <c r="R286" s="1307"/>
      <c r="S286" s="1307"/>
      <c r="T286" s="1307"/>
      <c r="U286" s="1307"/>
      <c r="V286" s="1307"/>
      <c r="W286" s="1307"/>
      <c r="X286" s="1308"/>
      <c r="Y286" s="1295"/>
      <c r="Z286" s="1292"/>
      <c r="AA286" s="1292"/>
      <c r="AB286" s="1293"/>
      <c r="AC286" s="1544"/>
      <c r="AD286" s="1544"/>
      <c r="AE286" s="1544"/>
      <c r="AF286" s="1544"/>
      <c r="AI286" s="3056" t="str">
        <f>"22:ryouyoushoku_code:" &amp; IF(I286="■",1,IF(L286="■",2,0))</f>
        <v>22:ryouyoushoku_code:0</v>
      </c>
    </row>
    <row r="287" spans="1:36" s="3056" customFormat="1" ht="18.75" customHeight="1">
      <c r="A287" s="735"/>
      <c r="B287" s="1407"/>
      <c r="C287" s="1303"/>
      <c r="D287" s="1304"/>
      <c r="E287" s="1275"/>
      <c r="F287" s="1304"/>
      <c r="G287" s="1305"/>
      <c r="H287" s="1409" t="s">
        <v>1326</v>
      </c>
      <c r="I287" s="3066" t="s">
        <v>121</v>
      </c>
      <c r="J287" s="1298" t="s">
        <v>1230</v>
      </c>
      <c r="K287" s="1298"/>
      <c r="L287" s="3065" t="s">
        <v>121</v>
      </c>
      <c r="M287" s="1298" t="s">
        <v>1256</v>
      </c>
      <c r="N287" s="1298"/>
      <c r="O287" s="3065" t="s">
        <v>121</v>
      </c>
      <c r="P287" s="1298" t="s">
        <v>1257</v>
      </c>
      <c r="Q287" s="1307"/>
      <c r="R287" s="1307"/>
      <c r="S287" s="1307"/>
      <c r="T287" s="1307"/>
      <c r="U287" s="1307"/>
      <c r="V287" s="1307"/>
      <c r="W287" s="1307"/>
      <c r="X287" s="1308"/>
      <c r="Y287" s="1295"/>
      <c r="Z287" s="1292"/>
      <c r="AA287" s="1292"/>
      <c r="AB287" s="1293"/>
      <c r="AC287" s="1544"/>
      <c r="AD287" s="1544"/>
      <c r="AE287" s="1544"/>
      <c r="AF287" s="1544"/>
      <c r="AI287" s="3056" t="str">
        <f>"22:ninti_senmoncare_code:" &amp; IF(I287="■",1,IF(O287="■",3,IF(L287="■",2,0)))</f>
        <v>22:ninti_senmoncare_code:0</v>
      </c>
    </row>
    <row r="288" spans="1:36" s="3056" customFormat="1" ht="18.75" customHeight="1">
      <c r="A288" s="735"/>
      <c r="B288" s="1407"/>
      <c r="C288" s="1303"/>
      <c r="D288" s="1304"/>
      <c r="E288" s="1275"/>
      <c r="F288" s="1304"/>
      <c r="G288" s="1305"/>
      <c r="H288" s="1313" t="s">
        <v>1265</v>
      </c>
      <c r="I288" s="3066" t="s">
        <v>121</v>
      </c>
      <c r="J288" s="1298" t="s">
        <v>1230</v>
      </c>
      <c r="K288" s="1298"/>
      <c r="L288" s="3065" t="s">
        <v>121</v>
      </c>
      <c r="M288" s="1298" t="s">
        <v>1256</v>
      </c>
      <c r="N288" s="1298"/>
      <c r="O288" s="3065" t="s">
        <v>121</v>
      </c>
      <c r="P288" s="1298" t="s">
        <v>1257</v>
      </c>
      <c r="Q288" s="1307"/>
      <c r="R288" s="1307"/>
      <c r="S288" s="1307"/>
      <c r="T288" s="1307"/>
      <c r="U288" s="1314"/>
      <c r="V288" s="1314"/>
      <c r="W288" s="1314"/>
      <c r="X288" s="1315"/>
      <c r="Y288" s="1295"/>
      <c r="Z288" s="1292"/>
      <c r="AA288" s="1292"/>
      <c r="AB288" s="1293"/>
      <c r="AC288" s="1544"/>
      <c r="AD288" s="1544"/>
      <c r="AE288" s="1544"/>
      <c r="AF288" s="1544"/>
      <c r="AI288" s="3056" t="str">
        <f>"22:field225:" &amp; IF(I288="■",1,IF(L288="■",2,IF(O288="■",3,0)))</f>
        <v>22:field225:0</v>
      </c>
    </row>
    <row r="289" spans="1:36" s="3056" customFormat="1" ht="18.75" customHeight="1">
      <c r="A289" s="735"/>
      <c r="B289" s="1407"/>
      <c r="C289" s="1303"/>
      <c r="D289" s="1304"/>
      <c r="E289" s="1275"/>
      <c r="F289" s="1304"/>
      <c r="G289" s="1305"/>
      <c r="H289" s="1312" t="s">
        <v>1266</v>
      </c>
      <c r="I289" s="3066" t="s">
        <v>121</v>
      </c>
      <c r="J289" s="1298" t="s">
        <v>1230</v>
      </c>
      <c r="K289" s="1298"/>
      <c r="L289" s="3065" t="s">
        <v>121</v>
      </c>
      <c r="M289" s="1298" t="s">
        <v>1267</v>
      </c>
      <c r="N289" s="1298"/>
      <c r="O289" s="3065" t="s">
        <v>121</v>
      </c>
      <c r="P289" s="1298" t="s">
        <v>1268</v>
      </c>
      <c r="Q289" s="1326"/>
      <c r="R289" s="3065" t="s">
        <v>121</v>
      </c>
      <c r="S289" s="1298" t="s">
        <v>1269</v>
      </c>
      <c r="T289" s="1326"/>
      <c r="U289" s="1326"/>
      <c r="V289" s="1326"/>
      <c r="W289" s="1326"/>
      <c r="X289" s="1327"/>
      <c r="Y289" s="1295"/>
      <c r="Z289" s="1292"/>
      <c r="AA289" s="1292"/>
      <c r="AB289" s="1293"/>
      <c r="AC289" s="1544"/>
      <c r="AD289" s="1544"/>
      <c r="AE289" s="1544"/>
      <c r="AF289" s="1544"/>
      <c r="AI289" s="3056" t="str">
        <f>"22:serteikyo_kyoka_code:" &amp; IF(I289="■",1,IF(L289="■",6,IF(O289="■",5,IF(R289="■",7,0))))</f>
        <v>22:serteikyo_kyoka_code:0</v>
      </c>
    </row>
    <row r="290" spans="1:36" s="3056" customFormat="1" ht="18.75" customHeight="1">
      <c r="A290" s="735"/>
      <c r="B290" s="1407"/>
      <c r="C290" s="1303"/>
      <c r="D290" s="1304"/>
      <c r="E290" s="1275"/>
      <c r="F290" s="1304"/>
      <c r="G290" s="1305"/>
      <c r="H290" s="1539" t="s">
        <v>2390</v>
      </c>
      <c r="I290" s="3162" t="s">
        <v>121</v>
      </c>
      <c r="J290" s="3161" t="s">
        <v>1230</v>
      </c>
      <c r="K290" s="3161"/>
      <c r="L290" s="3160" t="s">
        <v>121</v>
      </c>
      <c r="M290" s="3161" t="s">
        <v>1248</v>
      </c>
      <c r="N290" s="3161"/>
      <c r="O290" s="1290"/>
      <c r="P290" s="1290"/>
      <c r="Q290" s="1290"/>
      <c r="R290" s="1290"/>
      <c r="S290" s="1290"/>
      <c r="T290" s="1290"/>
      <c r="U290" s="1290"/>
      <c r="V290" s="1290"/>
      <c r="W290" s="1290"/>
      <c r="X290" s="1331"/>
      <c r="Y290" s="1295"/>
      <c r="Z290" s="1292"/>
      <c r="AA290" s="1292"/>
      <c r="AB290" s="1293"/>
      <c r="AC290" s="1544"/>
      <c r="AD290" s="1544"/>
      <c r="AE290" s="1544"/>
      <c r="AF290" s="1544"/>
      <c r="AI290" s="3056" t="str">
        <f>"22:field221:" &amp; IF(I290="■",1,IF(L290="■",2,0))</f>
        <v>22:field221:0</v>
      </c>
    </row>
    <row r="291" spans="1:36" s="3056" customFormat="1" ht="18.75" customHeight="1">
      <c r="A291" s="735"/>
      <c r="B291" s="1407"/>
      <c r="C291" s="1303"/>
      <c r="D291" s="1304"/>
      <c r="E291" s="1275"/>
      <c r="F291" s="1304"/>
      <c r="G291" s="1305"/>
      <c r="H291" s="1540"/>
      <c r="I291" s="3162"/>
      <c r="J291" s="3161"/>
      <c r="K291" s="3161"/>
      <c r="L291" s="3160"/>
      <c r="M291" s="3161"/>
      <c r="N291" s="3161"/>
      <c r="O291" s="1296"/>
      <c r="P291" s="1296"/>
      <c r="Q291" s="1296"/>
      <c r="R291" s="1296"/>
      <c r="S291" s="1296"/>
      <c r="T291" s="1296"/>
      <c r="U291" s="1296"/>
      <c r="V291" s="1296"/>
      <c r="W291" s="1296"/>
      <c r="X291" s="1332"/>
      <c r="Y291" s="1295"/>
      <c r="Z291" s="1292"/>
      <c r="AA291" s="1292"/>
      <c r="AB291" s="1293"/>
      <c r="AC291" s="1544"/>
      <c r="AD291" s="1544"/>
      <c r="AE291" s="1544"/>
      <c r="AF291" s="1544"/>
    </row>
    <row r="292" spans="1:36" s="3056" customFormat="1" ht="18.75" customHeight="1">
      <c r="A292" s="736"/>
      <c r="B292" s="1316"/>
      <c r="C292" s="1346"/>
      <c r="D292" s="1348"/>
      <c r="E292" s="1317"/>
      <c r="F292" s="1318"/>
      <c r="G292" s="1361"/>
      <c r="H292" s="3134" t="s">
        <v>2288</v>
      </c>
      <c r="I292" s="3060" t="s">
        <v>121</v>
      </c>
      <c r="J292" s="3130" t="s">
        <v>1230</v>
      </c>
      <c r="K292" s="3130"/>
      <c r="L292" s="3059" t="s">
        <v>121</v>
      </c>
      <c r="M292" s="3130" t="s">
        <v>2287</v>
      </c>
      <c r="N292" s="3133"/>
      <c r="O292" s="3059" t="s">
        <v>121</v>
      </c>
      <c r="P292" s="3132" t="s">
        <v>2286</v>
      </c>
      <c r="Q292" s="3131"/>
      <c r="R292" s="3059" t="s">
        <v>121</v>
      </c>
      <c r="S292" s="3130" t="s">
        <v>2285</v>
      </c>
      <c r="T292" s="3131"/>
      <c r="U292" s="3059" t="s">
        <v>121</v>
      </c>
      <c r="V292" s="3130" t="s">
        <v>2284</v>
      </c>
      <c r="W292" s="3129"/>
      <c r="X292" s="3128"/>
      <c r="Y292" s="1323"/>
      <c r="Z292" s="1323"/>
      <c r="AA292" s="1323"/>
      <c r="AB292" s="1324"/>
      <c r="AC292" s="1558"/>
      <c r="AD292" s="1558"/>
      <c r="AE292" s="1558"/>
      <c r="AF292" s="1558"/>
      <c r="AI292" s="3056" t="str">
        <f>"22:shoguukaizen_code:"&amp;IF(I292="■",1,IF(L292="■",7,IF(O292="■",8,IF(R292="■",9,IF(U292="■","A",0)))))</f>
        <v>22:shoguukaizen_code:0</v>
      </c>
    </row>
    <row r="293" spans="1:36" s="3056" customFormat="1" ht="18.75" hidden="1" customHeight="1">
      <c r="A293" s="1276"/>
      <c r="B293" s="1405"/>
      <c r="C293" s="1333"/>
      <c r="D293" s="1335"/>
      <c r="E293" s="1351"/>
      <c r="F293" s="1335"/>
      <c r="G293" s="1272"/>
      <c r="H293" s="1545" t="s">
        <v>2399</v>
      </c>
      <c r="I293" s="3119" t="s">
        <v>121</v>
      </c>
      <c r="J293" s="1270" t="s">
        <v>1227</v>
      </c>
      <c r="K293" s="3139"/>
      <c r="L293" s="1337"/>
      <c r="M293" s="3138" t="s">
        <v>121</v>
      </c>
      <c r="N293" s="1270" t="s">
        <v>2306</v>
      </c>
      <c r="O293" s="1334"/>
      <c r="P293" s="1334"/>
      <c r="Q293" s="3138" t="s">
        <v>121</v>
      </c>
      <c r="R293" s="1270" t="s">
        <v>2305</v>
      </c>
      <c r="S293" s="1334"/>
      <c r="T293" s="1334"/>
      <c r="U293" s="3138" t="s">
        <v>121</v>
      </c>
      <c r="V293" s="1270" t="s">
        <v>2304</v>
      </c>
      <c r="W293" s="1334"/>
      <c r="X293" s="1336"/>
      <c r="Y293" s="3119" t="s">
        <v>121</v>
      </c>
      <c r="Z293" s="1270" t="s">
        <v>1229</v>
      </c>
      <c r="AA293" s="1270"/>
      <c r="AB293" s="1286"/>
      <c r="AC293" s="1543"/>
      <c r="AD293" s="1543"/>
      <c r="AE293" s="1543"/>
      <c r="AF293" s="1543"/>
      <c r="AG293" s="3056" t="str">
        <f>"ser_code = '" &amp; IF(A304="■",23,"") &amp; "'"</f>
        <v>ser_code = ''</v>
      </c>
      <c r="AH293" s="3056" t="str">
        <f>"23:jininkbn_code:" &amp; IF(F299="■",2,IF(F301="■",5,IF(F303="■",6,IF(F305="■",3,IF(F307="■",7,IF(F309="■",4,0))))))</f>
        <v>23:jininkbn_code:0</v>
      </c>
      <c r="AI293" s="3056" t="str">
        <f>"23:yakan_kinmu_code:" &amp; IF(I293="■",1,IF(M293="■",2,IF(Q293="■",3,IF(U293="■",7,IF(I294="■",5,IF(M294="■",6,0))))))</f>
        <v>23:yakan_kinmu_code:0</v>
      </c>
      <c r="AJ293" s="3056" t="str">
        <f>"23:field203:" &amp; IF(Y293="■",1,IF(Y294="■",2,0))</f>
        <v>23:field203:0</v>
      </c>
    </row>
    <row r="294" spans="1:36" s="3056" customFormat="1" ht="18.75" hidden="1" customHeight="1">
      <c r="A294" s="735"/>
      <c r="B294" s="1407"/>
      <c r="C294" s="1303"/>
      <c r="D294" s="1304"/>
      <c r="E294" s="1305"/>
      <c r="F294" s="1304"/>
      <c r="G294" s="1275"/>
      <c r="H294" s="1542"/>
      <c r="I294" s="3063" t="s">
        <v>121</v>
      </c>
      <c r="J294" s="1296" t="s">
        <v>2303</v>
      </c>
      <c r="K294" s="1309"/>
      <c r="L294" s="1355"/>
      <c r="M294" s="3062" t="s">
        <v>121</v>
      </c>
      <c r="N294" s="1296" t="s">
        <v>1228</v>
      </c>
      <c r="O294" s="1403"/>
      <c r="P294" s="1403"/>
      <c r="Q294" s="1403"/>
      <c r="R294" s="1403"/>
      <c r="S294" s="1403"/>
      <c r="T294" s="1403"/>
      <c r="U294" s="1403"/>
      <c r="V294" s="1403"/>
      <c r="W294" s="1403"/>
      <c r="X294" s="1297"/>
      <c r="Y294" s="3122" t="s">
        <v>121</v>
      </c>
      <c r="Z294" s="1273" t="s">
        <v>1234</v>
      </c>
      <c r="AA294" s="1292"/>
      <c r="AB294" s="1293"/>
      <c r="AC294" s="1562"/>
      <c r="AD294" s="1562"/>
      <c r="AE294" s="1562"/>
      <c r="AF294" s="1562"/>
      <c r="AG294" s="3056" t="str">
        <f>"23:sisetukbn_code:" &amp; IF(D304="■",1,0)</f>
        <v>23:sisetukbn_code:0</v>
      </c>
    </row>
    <row r="295" spans="1:36" s="3056" customFormat="1" ht="18.75" hidden="1" customHeight="1">
      <c r="A295" s="735"/>
      <c r="B295" s="1407"/>
      <c r="C295" s="1303"/>
      <c r="D295" s="1304"/>
      <c r="E295" s="1305"/>
      <c r="F295" s="1304"/>
      <c r="G295" s="1275"/>
      <c r="H295" s="1409" t="s">
        <v>90</v>
      </c>
      <c r="I295" s="3066" t="s">
        <v>121</v>
      </c>
      <c r="J295" s="1298" t="s">
        <v>1230</v>
      </c>
      <c r="K295" s="1298"/>
      <c r="L295" s="1300"/>
      <c r="M295" s="3065" t="s">
        <v>121</v>
      </c>
      <c r="N295" s="1298" t="s">
        <v>1231</v>
      </c>
      <c r="O295" s="1298"/>
      <c r="P295" s="1300"/>
      <c r="Q295" s="3065" t="s">
        <v>121</v>
      </c>
      <c r="R295" s="1326" t="s">
        <v>1232</v>
      </c>
      <c r="S295" s="1326"/>
      <c r="T295" s="1326"/>
      <c r="U295" s="3065" t="s">
        <v>121</v>
      </c>
      <c r="V295" s="1326" t="s">
        <v>1233</v>
      </c>
      <c r="W295" s="1307"/>
      <c r="X295" s="1308"/>
      <c r="Y295" s="1295"/>
      <c r="Z295" s="1292"/>
      <c r="AA295" s="1292"/>
      <c r="AB295" s="1293"/>
      <c r="AC295" s="1544"/>
      <c r="AD295" s="1544"/>
      <c r="AE295" s="1544"/>
      <c r="AF295" s="1544"/>
      <c r="AI295" s="3056" t="str">
        <f>"23:"&amp;IF(AND(I295="□",M295="□",Q295="□",U295="□"),"ketu_doctor_code:0",IF(I295="■","ketu_doctor_code:1:ketu_kangos_code:1:ketu_kshoku_code:1",
IF(M295="■","ketu_doctor_code:2","ketu_doctor_code:1")
&amp;IF(Q295="■",":ketu_kangos_code:2",":ketu_kangos_code:1")
&amp;IF(U295="■",":ketu_kshoku_code:2",":ketu_kshoku_code:1")))</f>
        <v>23:ketu_doctor_code:0</v>
      </c>
    </row>
    <row r="296" spans="1:36" s="3056" customFormat="1" ht="18.75" hidden="1" customHeight="1">
      <c r="A296" s="735"/>
      <c r="B296" s="1407"/>
      <c r="C296" s="1287"/>
      <c r="D296" s="1288"/>
      <c r="E296" s="1275"/>
      <c r="F296" s="1289"/>
      <c r="G296" s="1305"/>
      <c r="H296" s="3193" t="s">
        <v>1241</v>
      </c>
      <c r="I296" s="3096" t="s">
        <v>121</v>
      </c>
      <c r="J296" s="3091" t="s">
        <v>1242</v>
      </c>
      <c r="K296" s="3095"/>
      <c r="L296" s="3094"/>
      <c r="M296" s="3093" t="s">
        <v>121</v>
      </c>
      <c r="N296" s="3091" t="s">
        <v>1243</v>
      </c>
      <c r="O296" s="3095"/>
      <c r="P296" s="3192"/>
      <c r="Q296" s="3192"/>
      <c r="R296" s="3192"/>
      <c r="S296" s="3192"/>
      <c r="T296" s="3192"/>
      <c r="U296" s="3192"/>
      <c r="V296" s="3192"/>
      <c r="W296" s="3192"/>
      <c r="X296" s="3191"/>
      <c r="Y296" s="1295"/>
      <c r="Z296" s="1292"/>
      <c r="AA296" s="1292"/>
      <c r="AB296" s="1293"/>
      <c r="AC296" s="1544"/>
      <c r="AD296" s="1544"/>
      <c r="AE296" s="1544"/>
      <c r="AF296" s="1544"/>
      <c r="AI296" s="3056" t="str">
        <f>"23:sintaikousoku_code:" &amp; IF(I296="■",1,IF(M296="■",2,0))</f>
        <v>23:sintaikousoku_code:0</v>
      </c>
    </row>
    <row r="297" spans="1:36" s="3056" customFormat="1" ht="19.5" hidden="1" customHeight="1">
      <c r="A297" s="735"/>
      <c r="B297" s="1407"/>
      <c r="C297" s="1303"/>
      <c r="D297" s="1304"/>
      <c r="E297" s="1275"/>
      <c r="F297" s="1289"/>
      <c r="G297" s="1305"/>
      <c r="H297" s="1306" t="s">
        <v>1244</v>
      </c>
      <c r="I297" s="3066" t="s">
        <v>121</v>
      </c>
      <c r="J297" s="1298" t="s">
        <v>1242</v>
      </c>
      <c r="K297" s="1299"/>
      <c r="L297" s="1300"/>
      <c r="M297" s="3065" t="s">
        <v>121</v>
      </c>
      <c r="N297" s="1298" t="s">
        <v>1245</v>
      </c>
      <c r="O297" s="1301"/>
      <c r="P297" s="1298"/>
      <c r="Q297" s="1307"/>
      <c r="R297" s="1307"/>
      <c r="S297" s="1307"/>
      <c r="T297" s="1307"/>
      <c r="U297" s="1307"/>
      <c r="V297" s="1307"/>
      <c r="W297" s="1307"/>
      <c r="X297" s="1308"/>
      <c r="Y297" s="1292"/>
      <c r="Z297" s="1292"/>
      <c r="AA297" s="1292"/>
      <c r="AB297" s="1293"/>
      <c r="AC297" s="1544"/>
      <c r="AD297" s="1544"/>
      <c r="AE297" s="1544"/>
      <c r="AF297" s="1544"/>
      <c r="AI297" s="3056" t="str">
        <f>"23:field223:" &amp; IF(I297="■",1,IF(M297="■",2,0))</f>
        <v>23:field223:0</v>
      </c>
    </row>
    <row r="298" spans="1:36" s="3056" customFormat="1" ht="19.5" hidden="1" customHeight="1">
      <c r="A298" s="735"/>
      <c r="B298" s="1407"/>
      <c r="C298" s="1303"/>
      <c r="D298" s="1304"/>
      <c r="E298" s="1275"/>
      <c r="F298" s="1289"/>
      <c r="G298" s="1305"/>
      <c r="H298" s="1306" t="s">
        <v>1246</v>
      </c>
      <c r="I298" s="3066" t="s">
        <v>121</v>
      </c>
      <c r="J298" s="1298" t="s">
        <v>1242</v>
      </c>
      <c r="K298" s="1299"/>
      <c r="L298" s="1300"/>
      <c r="M298" s="3065" t="s">
        <v>121</v>
      </c>
      <c r="N298" s="1298" t="s">
        <v>1245</v>
      </c>
      <c r="O298" s="1301"/>
      <c r="P298" s="1298"/>
      <c r="Q298" s="1307"/>
      <c r="R298" s="1307"/>
      <c r="S298" s="1307"/>
      <c r="T298" s="1307"/>
      <c r="U298" s="1307"/>
      <c r="V298" s="1307"/>
      <c r="W298" s="1307"/>
      <c r="X298" s="1308"/>
      <c r="Y298" s="1292"/>
      <c r="Z298" s="1292"/>
      <c r="AA298" s="1292"/>
      <c r="AB298" s="1293"/>
      <c r="AC298" s="1544"/>
      <c r="AD298" s="1544"/>
      <c r="AE298" s="1544"/>
      <c r="AF298" s="1544"/>
      <c r="AI298" s="3056" t="str">
        <f>"23:field232:" &amp; IF(I298="■",1,IF(M298="■",2,0))</f>
        <v>23:field232:0</v>
      </c>
    </row>
    <row r="299" spans="1:36" s="3056" customFormat="1" ht="18.75" hidden="1" customHeight="1">
      <c r="A299" s="735"/>
      <c r="B299" s="1407"/>
      <c r="C299" s="1303"/>
      <c r="D299" s="1304"/>
      <c r="E299" s="1305"/>
      <c r="F299" s="3122" t="s">
        <v>121</v>
      </c>
      <c r="G299" s="1275" t="s">
        <v>2436</v>
      </c>
      <c r="H299" s="1409" t="s">
        <v>2426</v>
      </c>
      <c r="I299" s="3066" t="s">
        <v>121</v>
      </c>
      <c r="J299" s="1298" t="s">
        <v>1227</v>
      </c>
      <c r="K299" s="1299"/>
      <c r="L299" s="1300"/>
      <c r="M299" s="3065" t="s">
        <v>121</v>
      </c>
      <c r="N299" s="1298" t="s">
        <v>2291</v>
      </c>
      <c r="O299" s="1326"/>
      <c r="P299" s="1326"/>
      <c r="Q299" s="1326"/>
      <c r="R299" s="1326"/>
      <c r="S299" s="1326"/>
      <c r="T299" s="1326"/>
      <c r="U299" s="1326"/>
      <c r="V299" s="1326"/>
      <c r="W299" s="1326"/>
      <c r="X299" s="1327"/>
      <c r="Y299" s="1295"/>
      <c r="Z299" s="1292"/>
      <c r="AA299" s="1292"/>
      <c r="AB299" s="1293"/>
      <c r="AC299" s="1544"/>
      <c r="AD299" s="1544"/>
      <c r="AE299" s="1544"/>
      <c r="AF299" s="1544"/>
      <c r="AI299" s="3056" t="str">
        <f>"23:ryokan_code:" &amp; IF(I299="■",1,IF(M299="■",2,0))</f>
        <v>23:ryokan_code:0</v>
      </c>
    </row>
    <row r="300" spans="1:36" s="3056" customFormat="1" ht="18.75" hidden="1" customHeight="1">
      <c r="A300" s="735"/>
      <c r="B300" s="1407"/>
      <c r="C300" s="1303"/>
      <c r="D300" s="1304"/>
      <c r="E300" s="1305"/>
      <c r="F300" s="1304"/>
      <c r="G300" s="1275" t="s">
        <v>2417</v>
      </c>
      <c r="H300" s="1409" t="s">
        <v>2425</v>
      </c>
      <c r="I300" s="3066" t="s">
        <v>121</v>
      </c>
      <c r="J300" s="1298" t="s">
        <v>2424</v>
      </c>
      <c r="K300" s="1299"/>
      <c r="L300" s="1300"/>
      <c r="M300" s="3065" t="s">
        <v>121</v>
      </c>
      <c r="N300" s="1298" t="s">
        <v>2423</v>
      </c>
      <c r="O300" s="1307"/>
      <c r="P300" s="1307"/>
      <c r="Q300" s="1307"/>
      <c r="R300" s="1326"/>
      <c r="S300" s="1307"/>
      <c r="T300" s="1307"/>
      <c r="U300" s="1307"/>
      <c r="V300" s="1307"/>
      <c r="W300" s="1307"/>
      <c r="X300" s="1308"/>
      <c r="Y300" s="1295"/>
      <c r="Z300" s="1292"/>
      <c r="AA300" s="1292"/>
      <c r="AB300" s="1293"/>
      <c r="AC300" s="1544"/>
      <c r="AD300" s="1544"/>
      <c r="AE300" s="1544"/>
      <c r="AF300" s="1544"/>
      <c r="AI300" s="3056" t="str">
        <f>"23:doctor_haiti_code:" &amp; IF(I300="■",1,IF(M300="■",2,0))</f>
        <v>23:doctor_haiti_code:0</v>
      </c>
    </row>
    <row r="301" spans="1:36" s="3056" customFormat="1" ht="18.75" hidden="1" customHeight="1">
      <c r="A301" s="735"/>
      <c r="B301" s="1407"/>
      <c r="C301" s="1303"/>
      <c r="D301" s="1304"/>
      <c r="E301" s="1305"/>
      <c r="F301" s="3122" t="s">
        <v>121</v>
      </c>
      <c r="G301" s="1275" t="s">
        <v>2435</v>
      </c>
      <c r="H301" s="1409" t="s">
        <v>1305</v>
      </c>
      <c r="I301" s="3066" t="s">
        <v>121</v>
      </c>
      <c r="J301" s="1298" t="s">
        <v>1230</v>
      </c>
      <c r="K301" s="1299"/>
      <c r="L301" s="3065" t="s">
        <v>121</v>
      </c>
      <c r="M301" s="1298" t="s">
        <v>1248</v>
      </c>
      <c r="N301" s="1307"/>
      <c r="O301" s="1307"/>
      <c r="P301" s="1307"/>
      <c r="Q301" s="1307"/>
      <c r="R301" s="1307"/>
      <c r="S301" s="1307"/>
      <c r="T301" s="1307"/>
      <c r="U301" s="1307"/>
      <c r="V301" s="1307"/>
      <c r="W301" s="1307"/>
      <c r="X301" s="1308"/>
      <c r="Y301" s="1295"/>
      <c r="Z301" s="1292"/>
      <c r="AA301" s="1292"/>
      <c r="AB301" s="1293"/>
      <c r="AC301" s="1544"/>
      <c r="AD301" s="1544"/>
      <c r="AE301" s="1544"/>
      <c r="AF301" s="1544"/>
      <c r="AI301" s="3056" t="str">
        <f>"23:jyakuninti_uke_code:" &amp; IF(I301="■",1,IF(L301="■",2,0))</f>
        <v>23:jyakuninti_uke_code:0</v>
      </c>
    </row>
    <row r="302" spans="1:36" s="3056" customFormat="1" ht="18.75" hidden="1" customHeight="1">
      <c r="A302" s="735"/>
      <c r="B302" s="1407"/>
      <c r="C302" s="1303"/>
      <c r="D302" s="1304"/>
      <c r="E302" s="1275"/>
      <c r="F302" s="1304"/>
      <c r="G302" s="1275" t="s">
        <v>2434</v>
      </c>
      <c r="H302" s="1409" t="s">
        <v>1324</v>
      </c>
      <c r="I302" s="3066" t="s">
        <v>121</v>
      </c>
      <c r="J302" s="1298" t="s">
        <v>1239</v>
      </c>
      <c r="K302" s="1299"/>
      <c r="L302" s="1300"/>
      <c r="M302" s="3065" t="s">
        <v>121</v>
      </c>
      <c r="N302" s="1298" t="s">
        <v>1240</v>
      </c>
      <c r="O302" s="1307"/>
      <c r="P302" s="1307"/>
      <c r="Q302" s="1307"/>
      <c r="R302" s="1307"/>
      <c r="S302" s="1307"/>
      <c r="T302" s="1307"/>
      <c r="U302" s="1307"/>
      <c r="V302" s="1307"/>
      <c r="W302" s="1307"/>
      <c r="X302" s="1308"/>
      <c r="Y302" s="1295"/>
      <c r="Z302" s="1292"/>
      <c r="AA302" s="1292"/>
      <c r="AB302" s="1293"/>
      <c r="AC302" s="1544"/>
      <c r="AD302" s="1544"/>
      <c r="AE302" s="1544"/>
      <c r="AF302" s="1544"/>
      <c r="AI302" s="3056" t="str">
        <f>"23:sougei_code:" &amp; IF(I302="■",1,IF(M302="■",2,0))</f>
        <v>23:sougei_code:0</v>
      </c>
    </row>
    <row r="303" spans="1:36" s="3056" customFormat="1" ht="19.5" hidden="1" customHeight="1">
      <c r="A303" s="735"/>
      <c r="B303" s="1407"/>
      <c r="C303" s="1303"/>
      <c r="D303" s="1304"/>
      <c r="E303" s="1305"/>
      <c r="F303" s="3122" t="s">
        <v>121</v>
      </c>
      <c r="G303" s="1275" t="s">
        <v>2433</v>
      </c>
      <c r="H303" s="1306" t="s">
        <v>1325</v>
      </c>
      <c r="I303" s="3066" t="s">
        <v>121</v>
      </c>
      <c r="J303" s="1298" t="s">
        <v>1230</v>
      </c>
      <c r="K303" s="1298"/>
      <c r="L303" s="3065" t="s">
        <v>121</v>
      </c>
      <c r="M303" s="1298" t="s">
        <v>1248</v>
      </c>
      <c r="N303" s="1298"/>
      <c r="O303" s="1307"/>
      <c r="P303" s="1298"/>
      <c r="Q303" s="1307"/>
      <c r="R303" s="1307"/>
      <c r="S303" s="1307"/>
      <c r="T303" s="1307"/>
      <c r="U303" s="1307"/>
      <c r="V303" s="1307"/>
      <c r="W303" s="1307"/>
      <c r="X303" s="1308"/>
      <c r="Y303" s="1292"/>
      <c r="Z303" s="1292"/>
      <c r="AA303" s="1292"/>
      <c r="AB303" s="1293"/>
      <c r="AC303" s="1544"/>
      <c r="AD303" s="1544"/>
      <c r="AE303" s="1544"/>
      <c r="AF303" s="1544"/>
      <c r="AI303" s="3056" t="str">
        <f>"23:field224:" &amp; IF(I303="■",1,IF(L303="■",2,0))</f>
        <v>23:field224:0</v>
      </c>
    </row>
    <row r="304" spans="1:36" s="3056" customFormat="1" ht="18.75" hidden="1" customHeight="1">
      <c r="A304" s="3069" t="s">
        <v>121</v>
      </c>
      <c r="B304" s="1407">
        <v>23</v>
      </c>
      <c r="C304" s="1303" t="s">
        <v>1321</v>
      </c>
      <c r="D304" s="3122" t="s">
        <v>121</v>
      </c>
      <c r="E304" s="1305" t="s">
        <v>2432</v>
      </c>
      <c r="F304" s="1304"/>
      <c r="G304" s="1275" t="s">
        <v>2411</v>
      </c>
      <c r="H304" s="1409" t="s">
        <v>145</v>
      </c>
      <c r="I304" s="3066" t="s">
        <v>121</v>
      </c>
      <c r="J304" s="1298" t="s">
        <v>1230</v>
      </c>
      <c r="K304" s="1299"/>
      <c r="L304" s="3065" t="s">
        <v>121</v>
      </c>
      <c r="M304" s="1298" t="s">
        <v>1248</v>
      </c>
      <c r="N304" s="1307"/>
      <c r="O304" s="1307"/>
      <c r="P304" s="1307"/>
      <c r="Q304" s="1307"/>
      <c r="R304" s="1307"/>
      <c r="S304" s="1307"/>
      <c r="T304" s="1307"/>
      <c r="U304" s="1307"/>
      <c r="V304" s="1307"/>
      <c r="W304" s="1307"/>
      <c r="X304" s="1308"/>
      <c r="Y304" s="1295"/>
      <c r="Z304" s="1292"/>
      <c r="AA304" s="1292"/>
      <c r="AB304" s="1293"/>
      <c r="AC304" s="1544"/>
      <c r="AD304" s="1544"/>
      <c r="AE304" s="1544"/>
      <c r="AF304" s="1544"/>
      <c r="AI304" s="3056" t="str">
        <f>"23:ryouyoushoku_code:" &amp; IF(I304="■",1,IF(L304="■",2,0))</f>
        <v>23:ryouyoushoku_code:0</v>
      </c>
    </row>
    <row r="305" spans="1:36" s="3056" customFormat="1" ht="18.75" hidden="1" customHeight="1">
      <c r="A305" s="735"/>
      <c r="B305" s="1407"/>
      <c r="C305" s="1303"/>
      <c r="D305" s="1413"/>
      <c r="E305" s="1305"/>
      <c r="F305" s="3122" t="s">
        <v>121</v>
      </c>
      <c r="G305" s="1275" t="s">
        <v>2431</v>
      </c>
      <c r="H305" s="1409" t="s">
        <v>1326</v>
      </c>
      <c r="I305" s="3066" t="s">
        <v>121</v>
      </c>
      <c r="J305" s="1298" t="s">
        <v>1230</v>
      </c>
      <c r="K305" s="1298"/>
      <c r="L305" s="3065" t="s">
        <v>121</v>
      </c>
      <c r="M305" s="1298" t="s">
        <v>1256</v>
      </c>
      <c r="N305" s="1298"/>
      <c r="O305" s="3065" t="s">
        <v>121</v>
      </c>
      <c r="P305" s="1298" t="s">
        <v>1257</v>
      </c>
      <c r="Q305" s="1307"/>
      <c r="R305" s="1307"/>
      <c r="S305" s="1307"/>
      <c r="T305" s="1307"/>
      <c r="U305" s="1307"/>
      <c r="V305" s="1307"/>
      <c r="W305" s="1307"/>
      <c r="X305" s="1308"/>
      <c r="Y305" s="1295"/>
      <c r="Z305" s="1292"/>
      <c r="AA305" s="1292"/>
      <c r="AB305" s="1293"/>
      <c r="AC305" s="1544"/>
      <c r="AD305" s="1544"/>
      <c r="AE305" s="1544"/>
      <c r="AF305" s="1544"/>
      <c r="AI305" s="3056" t="str">
        <f>"23:ninti_senmoncare_code:" &amp; IF(I305="■",1,IF(O305="■",3,IF(L305="■",2,0)))</f>
        <v>23:ninti_senmoncare_code:0</v>
      </c>
    </row>
    <row r="306" spans="1:36" s="3056" customFormat="1" ht="18.75" hidden="1" customHeight="1">
      <c r="A306" s="735"/>
      <c r="B306" s="1407"/>
      <c r="C306" s="1303"/>
      <c r="D306" s="1304"/>
      <c r="E306" s="1305"/>
      <c r="F306" s="1304"/>
      <c r="G306" s="1275" t="s">
        <v>2417</v>
      </c>
      <c r="H306" s="1313" t="s">
        <v>1265</v>
      </c>
      <c r="I306" s="3066" t="s">
        <v>121</v>
      </c>
      <c r="J306" s="1298" t="s">
        <v>1230</v>
      </c>
      <c r="K306" s="1298"/>
      <c r="L306" s="3065" t="s">
        <v>121</v>
      </c>
      <c r="M306" s="1298" t="s">
        <v>1256</v>
      </c>
      <c r="N306" s="1298"/>
      <c r="O306" s="3065" t="s">
        <v>121</v>
      </c>
      <c r="P306" s="1298" t="s">
        <v>1257</v>
      </c>
      <c r="Q306" s="1307"/>
      <c r="R306" s="1307"/>
      <c r="S306" s="1307"/>
      <c r="T306" s="1307"/>
      <c r="U306" s="1314"/>
      <c r="V306" s="1314"/>
      <c r="W306" s="1314"/>
      <c r="X306" s="1315"/>
      <c r="Y306" s="1295"/>
      <c r="Z306" s="1292"/>
      <c r="AA306" s="1292"/>
      <c r="AB306" s="1293"/>
      <c r="AC306" s="1544"/>
      <c r="AD306" s="1544"/>
      <c r="AE306" s="1544"/>
      <c r="AF306" s="1544"/>
      <c r="AI306" s="3056" t="str">
        <f>"23:field225:" &amp; IF(I306="■",1,IF(L306="■",2,IF(O306="■",3,0)))</f>
        <v>23:field225:0</v>
      </c>
    </row>
    <row r="307" spans="1:36" s="3056" customFormat="1" ht="18.75" hidden="1" customHeight="1">
      <c r="A307" s="735"/>
      <c r="B307" s="1407"/>
      <c r="C307" s="1303"/>
      <c r="D307" s="1304"/>
      <c r="E307" s="1305"/>
      <c r="F307" s="3122" t="s">
        <v>121</v>
      </c>
      <c r="G307" s="1275" t="s">
        <v>2430</v>
      </c>
      <c r="H307" s="1541" t="s">
        <v>2412</v>
      </c>
      <c r="I307" s="3137" t="s">
        <v>121</v>
      </c>
      <c r="J307" s="1290" t="s">
        <v>1273</v>
      </c>
      <c r="K307" s="1290"/>
      <c r="L307" s="1314"/>
      <c r="M307" s="1314"/>
      <c r="N307" s="1314"/>
      <c r="O307" s="1314"/>
      <c r="P307" s="3136" t="s">
        <v>121</v>
      </c>
      <c r="Q307" s="1290" t="s">
        <v>1274</v>
      </c>
      <c r="R307" s="1314"/>
      <c r="S307" s="1314"/>
      <c r="T307" s="1314"/>
      <c r="U307" s="1314"/>
      <c r="V307" s="1314"/>
      <c r="W307" s="1314"/>
      <c r="X307" s="1315"/>
      <c r="Y307" s="1295"/>
      <c r="Z307" s="1292"/>
      <c r="AA307" s="1292"/>
      <c r="AB307" s="1293"/>
      <c r="AC307" s="1544"/>
      <c r="AD307" s="1544"/>
      <c r="AE307" s="1544"/>
      <c r="AF307" s="1544"/>
      <c r="AI307" s="3056" t="str">
        <f>"23:" &amp; IF(AND(I307="□",P307="□",I308="□"),"tokusin_jyusho_code:0:tokusin_yakuzai_code:0:shuudan_comu_code:0",IF(I307="■","tokusin_jyusho_code:2","tokusin_jyusho_code:1")
&amp;IF(P307="■",":tokusin_yakuzai_code:2",":tokusin_yakuzai_code:1")
&amp;IF(I308="■",":shuudan_comu_code:2",":shuudan_comu_code:1"))</f>
        <v>23:tokusin_jyusho_code:0:tokusin_yakuzai_code:0:shuudan_comu_code:0</v>
      </c>
    </row>
    <row r="308" spans="1:36" s="3056" customFormat="1" ht="18.75" hidden="1" customHeight="1">
      <c r="A308" s="735"/>
      <c r="B308" s="1407"/>
      <c r="C308" s="1303"/>
      <c r="D308" s="1304"/>
      <c r="E308" s="1305"/>
      <c r="F308" s="1304"/>
      <c r="G308" s="1275" t="s">
        <v>2429</v>
      </c>
      <c r="H308" s="1542"/>
      <c r="I308" s="3063" t="s">
        <v>121</v>
      </c>
      <c r="J308" s="1296" t="s">
        <v>2318</v>
      </c>
      <c r="K308" s="1330"/>
      <c r="L308" s="1330"/>
      <c r="M308" s="1330"/>
      <c r="N308" s="1330"/>
      <c r="O308" s="1330"/>
      <c r="P308" s="1330"/>
      <c r="Q308" s="1403"/>
      <c r="R308" s="1330"/>
      <c r="S308" s="1330"/>
      <c r="T308" s="1330"/>
      <c r="U308" s="1330"/>
      <c r="V308" s="1330"/>
      <c r="W308" s="1330"/>
      <c r="X308" s="1356"/>
      <c r="Y308" s="1295"/>
      <c r="Z308" s="1292"/>
      <c r="AA308" s="1292"/>
      <c r="AB308" s="1293"/>
      <c r="AC308" s="1544"/>
      <c r="AD308" s="1544"/>
      <c r="AE308" s="1544"/>
      <c r="AF308" s="1544"/>
    </row>
    <row r="309" spans="1:36" s="3056" customFormat="1" ht="18.75" hidden="1" customHeight="1">
      <c r="A309" s="735"/>
      <c r="B309" s="1407"/>
      <c r="C309" s="1303"/>
      <c r="D309" s="1304"/>
      <c r="E309" s="1305"/>
      <c r="F309" s="3122" t="s">
        <v>121</v>
      </c>
      <c r="G309" s="1275" t="s">
        <v>2428</v>
      </c>
      <c r="H309" s="1541" t="s">
        <v>2400</v>
      </c>
      <c r="I309" s="3137" t="s">
        <v>121</v>
      </c>
      <c r="J309" s="1290" t="s">
        <v>2317</v>
      </c>
      <c r="K309" s="1328"/>
      <c r="L309" s="1329"/>
      <c r="M309" s="3136" t="s">
        <v>121</v>
      </c>
      <c r="N309" s="1290" t="s">
        <v>2316</v>
      </c>
      <c r="O309" s="1314"/>
      <c r="P309" s="1314"/>
      <c r="Q309" s="3136" t="s">
        <v>121</v>
      </c>
      <c r="R309" s="1290" t="s">
        <v>2315</v>
      </c>
      <c r="S309" s="1314"/>
      <c r="T309" s="1314"/>
      <c r="U309" s="1314"/>
      <c r="V309" s="1314"/>
      <c r="W309" s="1314"/>
      <c r="X309" s="1315"/>
      <c r="Y309" s="1295"/>
      <c r="Z309" s="1292"/>
      <c r="AA309" s="1292"/>
      <c r="AB309" s="1293"/>
      <c r="AC309" s="1544"/>
      <c r="AD309" s="1544"/>
      <c r="AE309" s="1544"/>
      <c r="AF309" s="1544"/>
      <c r="AI309" s="3056" t="str">
        <f>"23:"&amp;IF(AND(I309="□",M309="□",Q309="□",I310="□",Q310="□"),"koriha_rryoho1_code:0:koriha_sryoho_code:0:koriha_gengo_code:0:riha_seisin_code:0:koriha_other_code:0",IF(I309="■","koriha_rryoho1_code:2","koriha_rryoho1_code:1")
&amp;IF(M309="■",":koriha_sryoho_code:2",":koriha_sryoho_code:1")
&amp;IF(Q309="■",":koriha_gengo_code:2",":koriha_gengo_code:1")
&amp;IF(I310="■",":riha_seisin_code:2",":riha_seisin_code:1")
&amp;IF(Q310="■",":koriha_other_code:2",":koriha_other_code:1"))</f>
        <v>23:koriha_rryoho1_code:0:koriha_sryoho_code:0:koriha_gengo_code:0:riha_seisin_code:0:koriha_other_code:0</v>
      </c>
    </row>
    <row r="310" spans="1:36" s="3056" customFormat="1" ht="18.75" hidden="1" customHeight="1">
      <c r="A310" s="735"/>
      <c r="B310" s="1407"/>
      <c r="C310" s="1303"/>
      <c r="D310" s="1304"/>
      <c r="E310" s="1305"/>
      <c r="F310" s="1289"/>
      <c r="G310" s="1275"/>
      <c r="H310" s="1542"/>
      <c r="I310" s="3063" t="s">
        <v>121</v>
      </c>
      <c r="J310" s="1296" t="s">
        <v>2314</v>
      </c>
      <c r="K310" s="1330"/>
      <c r="L310" s="1330"/>
      <c r="M310" s="1330"/>
      <c r="N310" s="1330"/>
      <c r="O310" s="1330"/>
      <c r="P310" s="1330"/>
      <c r="Q310" s="3062" t="s">
        <v>121</v>
      </c>
      <c r="R310" s="1296" t="s">
        <v>2313</v>
      </c>
      <c r="S310" s="1403"/>
      <c r="T310" s="1330"/>
      <c r="U310" s="1330"/>
      <c r="V310" s="1330"/>
      <c r="W310" s="1330"/>
      <c r="X310" s="1356"/>
      <c r="Y310" s="1295"/>
      <c r="Z310" s="1292"/>
      <c r="AA310" s="1292"/>
      <c r="AB310" s="1293"/>
      <c r="AC310" s="1544"/>
      <c r="AD310" s="1544"/>
      <c r="AE310" s="1544"/>
      <c r="AF310" s="1544"/>
    </row>
    <row r="311" spans="1:36" s="3056" customFormat="1" ht="18.75" hidden="1" customHeight="1">
      <c r="A311" s="735"/>
      <c r="B311" s="1407"/>
      <c r="C311" s="1303"/>
      <c r="D311" s="1304"/>
      <c r="E311" s="1305"/>
      <c r="F311" s="1289"/>
      <c r="G311" s="1275"/>
      <c r="H311" s="1312" t="s">
        <v>1266</v>
      </c>
      <c r="I311" s="3066" t="s">
        <v>121</v>
      </c>
      <c r="J311" s="1298" t="s">
        <v>1230</v>
      </c>
      <c r="K311" s="1298"/>
      <c r="L311" s="3065" t="s">
        <v>121</v>
      </c>
      <c r="M311" s="1298" t="s">
        <v>1267</v>
      </c>
      <c r="N311" s="1298"/>
      <c r="O311" s="3065" t="s">
        <v>121</v>
      </c>
      <c r="P311" s="1298" t="s">
        <v>1268</v>
      </c>
      <c r="Q311" s="1326"/>
      <c r="R311" s="3065" t="s">
        <v>121</v>
      </c>
      <c r="S311" s="1298" t="s">
        <v>1269</v>
      </c>
      <c r="T311" s="1326"/>
      <c r="U311" s="1326"/>
      <c r="V311" s="1326"/>
      <c r="W311" s="1326"/>
      <c r="X311" s="1327"/>
      <c r="Y311" s="1295"/>
      <c r="Z311" s="1292"/>
      <c r="AA311" s="1292"/>
      <c r="AB311" s="1293"/>
      <c r="AC311" s="1544"/>
      <c r="AD311" s="1544"/>
      <c r="AE311" s="1544"/>
      <c r="AF311" s="1544"/>
      <c r="AI311" s="3056" t="str">
        <f>"23:serteikyo_kyoka_code:" &amp; IF(I311="■",1,IF(L311="■",6,IF(O311="■",5,IF(R311="■",7,0))))</f>
        <v>23:serteikyo_kyoka_code:0</v>
      </c>
    </row>
    <row r="312" spans="1:36" s="3056" customFormat="1" ht="18.75" hidden="1" customHeight="1">
      <c r="A312" s="735"/>
      <c r="B312" s="1407"/>
      <c r="C312" s="1303"/>
      <c r="D312" s="1304"/>
      <c r="E312" s="1305"/>
      <c r="F312" s="1289"/>
      <c r="G312" s="1275"/>
      <c r="H312" s="1539" t="s">
        <v>2390</v>
      </c>
      <c r="I312" s="3162" t="s">
        <v>121</v>
      </c>
      <c r="J312" s="3161" t="s">
        <v>1230</v>
      </c>
      <c r="K312" s="3161"/>
      <c r="L312" s="3160" t="s">
        <v>121</v>
      </c>
      <c r="M312" s="3161" t="s">
        <v>1248</v>
      </c>
      <c r="N312" s="3161"/>
      <c r="O312" s="1290"/>
      <c r="P312" s="1290"/>
      <c r="Q312" s="1290"/>
      <c r="R312" s="1290"/>
      <c r="S312" s="1290"/>
      <c r="T312" s="1290"/>
      <c r="U312" s="1290"/>
      <c r="V312" s="1290"/>
      <c r="W312" s="1290"/>
      <c r="X312" s="1331"/>
      <c r="Y312" s="1295"/>
      <c r="Z312" s="1292"/>
      <c r="AA312" s="1292"/>
      <c r="AB312" s="1293"/>
      <c r="AC312" s="1544"/>
      <c r="AD312" s="1544"/>
      <c r="AE312" s="1544"/>
      <c r="AF312" s="1544"/>
      <c r="AI312" s="3056" t="str">
        <f>"23:field221:" &amp; IF(I312="■",1,IF(L312="■",2,0))</f>
        <v>23:field221:0</v>
      </c>
    </row>
    <row r="313" spans="1:36" s="3056" customFormat="1" ht="18.75" hidden="1" customHeight="1">
      <c r="A313" s="735"/>
      <c r="B313" s="1407"/>
      <c r="C313" s="1303"/>
      <c r="D313" s="1304"/>
      <c r="E313" s="1305"/>
      <c r="F313" s="1289"/>
      <c r="G313" s="1275"/>
      <c r="H313" s="1540"/>
      <c r="I313" s="3162"/>
      <c r="J313" s="3161"/>
      <c r="K313" s="3161"/>
      <c r="L313" s="3160"/>
      <c r="M313" s="3161"/>
      <c r="N313" s="3161"/>
      <c r="O313" s="1296"/>
      <c r="P313" s="1296"/>
      <c r="Q313" s="1296"/>
      <c r="R313" s="1296"/>
      <c r="S313" s="1296"/>
      <c r="T313" s="1296"/>
      <c r="U313" s="1296"/>
      <c r="V313" s="1296"/>
      <c r="W313" s="1296"/>
      <c r="X313" s="1332"/>
      <c r="Y313" s="1295"/>
      <c r="Z313" s="1292"/>
      <c r="AA313" s="1292"/>
      <c r="AB313" s="1293"/>
      <c r="AC313" s="1544"/>
      <c r="AD313" s="1544"/>
      <c r="AE313" s="1544"/>
      <c r="AF313" s="1544"/>
    </row>
    <row r="314" spans="1:36" s="3056" customFormat="1" ht="18.75" hidden="1" customHeight="1">
      <c r="A314" s="735"/>
      <c r="B314" s="1407"/>
      <c r="C314" s="1303"/>
      <c r="D314" s="1304"/>
      <c r="E314" s="1275"/>
      <c r="F314" s="1289"/>
      <c r="G314" s="1275"/>
      <c r="H314" s="3155" t="s">
        <v>2288</v>
      </c>
      <c r="I314" s="3137" t="s">
        <v>121</v>
      </c>
      <c r="J314" s="3151" t="s">
        <v>1230</v>
      </c>
      <c r="K314" s="3151"/>
      <c r="L314" s="3136" t="s">
        <v>121</v>
      </c>
      <c r="M314" s="3151" t="s">
        <v>2287</v>
      </c>
      <c r="N314" s="3154"/>
      <c r="O314" s="3136" t="s">
        <v>121</v>
      </c>
      <c r="P314" s="3153" t="s">
        <v>2286</v>
      </c>
      <c r="Q314" s="3152"/>
      <c r="R314" s="3136" t="s">
        <v>121</v>
      </c>
      <c r="S314" s="3151" t="s">
        <v>2285</v>
      </c>
      <c r="T314" s="3152"/>
      <c r="U314" s="3136" t="s">
        <v>121</v>
      </c>
      <c r="V314" s="3151" t="s">
        <v>2284</v>
      </c>
      <c r="W314" s="3150"/>
      <c r="X314" s="3149"/>
      <c r="Y314" s="1292"/>
      <c r="Z314" s="1292"/>
      <c r="AA314" s="1292"/>
      <c r="AB314" s="1293"/>
      <c r="AC314" s="1544"/>
      <c r="AD314" s="1544"/>
      <c r="AE314" s="1544"/>
      <c r="AF314" s="1544"/>
      <c r="AI314" s="3056" t="str">
        <f>"23:shoguukaizen_code:"&amp;IF(I314="■",1,IF(L314="■",7,IF(O314="■",8,IF(R314="■",9,IF(U314="■","A",0)))))</f>
        <v>23:shoguukaizen_code:0</v>
      </c>
    </row>
    <row r="315" spans="1:36" s="3056" customFormat="1" ht="18.75" hidden="1" customHeight="1">
      <c r="A315" s="1276"/>
      <c r="B315" s="1405"/>
      <c r="C315" s="1333"/>
      <c r="D315" s="1335"/>
      <c r="E315" s="1272"/>
      <c r="F315" s="1279"/>
      <c r="G315" s="1272"/>
      <c r="H315" s="1545" t="s">
        <v>1226</v>
      </c>
      <c r="I315" s="3119" t="s">
        <v>121</v>
      </c>
      <c r="J315" s="1270" t="s">
        <v>1227</v>
      </c>
      <c r="K315" s="3139"/>
      <c r="L315" s="1337"/>
      <c r="M315" s="3138" t="s">
        <v>121</v>
      </c>
      <c r="N315" s="1270" t="s">
        <v>2306</v>
      </c>
      <c r="O315" s="1334"/>
      <c r="P315" s="1334"/>
      <c r="Q315" s="3138" t="s">
        <v>121</v>
      </c>
      <c r="R315" s="1270" t="s">
        <v>2305</v>
      </c>
      <c r="S315" s="1334"/>
      <c r="T315" s="1334"/>
      <c r="U315" s="3138" t="s">
        <v>121</v>
      </c>
      <c r="V315" s="1270" t="s">
        <v>2304</v>
      </c>
      <c r="W315" s="1334"/>
      <c r="X315" s="1336"/>
      <c r="Y315" s="3138" t="s">
        <v>121</v>
      </c>
      <c r="Z315" s="1270" t="s">
        <v>1229</v>
      </c>
      <c r="AA315" s="1270"/>
      <c r="AB315" s="1286"/>
      <c r="AC315" s="1543"/>
      <c r="AD315" s="1543"/>
      <c r="AE315" s="1543"/>
      <c r="AF315" s="1543"/>
      <c r="AG315" s="3056" t="str">
        <f>"ser_code = '" &amp; IF(A326="■",23,"") &amp; "'"</f>
        <v>ser_code = ''</v>
      </c>
      <c r="AH315" s="3056" t="str">
        <f>"23:jininkbn_code:" &amp; IF(F324="■",1,IF(F326="■",2,IF(F328="■",3,0)))</f>
        <v>23:jininkbn_code:0</v>
      </c>
      <c r="AI315" s="3056" t="str">
        <f>"23:yakan_kinmu_code:" &amp; IF(I315="■",1,IF(M315="■",2,IF(Q315="■",3,IF(U315="■",7,IF(I316="■",5,IF(M316="■",6,0))))))</f>
        <v>23:yakan_kinmu_code:0</v>
      </c>
      <c r="AJ315" s="3056" t="str">
        <f>"23:field203:" &amp; IF(Y315="■",1,IF(Y316="■",2,0))</f>
        <v>23:field203:0</v>
      </c>
    </row>
    <row r="316" spans="1:36" s="3056" customFormat="1" ht="18.75" hidden="1" customHeight="1">
      <c r="A316" s="735"/>
      <c r="B316" s="1407"/>
      <c r="C316" s="1303"/>
      <c r="D316" s="1304"/>
      <c r="E316" s="1275"/>
      <c r="F316" s="1289"/>
      <c r="G316" s="1275"/>
      <c r="H316" s="1542"/>
      <c r="I316" s="3063" t="s">
        <v>121</v>
      </c>
      <c r="J316" s="1296" t="s">
        <v>2303</v>
      </c>
      <c r="K316" s="1309"/>
      <c r="L316" s="1355"/>
      <c r="M316" s="3062" t="s">
        <v>121</v>
      </c>
      <c r="N316" s="1296" t="s">
        <v>1228</v>
      </c>
      <c r="O316" s="1403"/>
      <c r="P316" s="1403"/>
      <c r="Q316" s="1403"/>
      <c r="R316" s="1403"/>
      <c r="S316" s="1403"/>
      <c r="T316" s="1403"/>
      <c r="U316" s="1403"/>
      <c r="V316" s="1403"/>
      <c r="W316" s="1403"/>
      <c r="X316" s="1297"/>
      <c r="Y316" s="3122" t="s">
        <v>121</v>
      </c>
      <c r="Z316" s="1273" t="s">
        <v>1234</v>
      </c>
      <c r="AA316" s="1292"/>
      <c r="AB316" s="1293"/>
      <c r="AC316" s="1562"/>
      <c r="AD316" s="1562"/>
      <c r="AE316" s="1562"/>
      <c r="AF316" s="1562"/>
      <c r="AG316" s="3056" t="str">
        <f>"23:sisetukbn_code:" &amp; IF(D326="■",6,0)</f>
        <v>23:sisetukbn_code:0</v>
      </c>
    </row>
    <row r="317" spans="1:36" s="3056" customFormat="1" ht="18.75" hidden="1" customHeight="1">
      <c r="A317" s="735"/>
      <c r="B317" s="1407"/>
      <c r="C317" s="1303"/>
      <c r="D317" s="1304"/>
      <c r="E317" s="1275"/>
      <c r="F317" s="1289"/>
      <c r="G317" s="1275"/>
      <c r="H317" s="1409" t="s">
        <v>90</v>
      </c>
      <c r="I317" s="3066" t="s">
        <v>121</v>
      </c>
      <c r="J317" s="1298" t="s">
        <v>1230</v>
      </c>
      <c r="K317" s="1298"/>
      <c r="L317" s="1300"/>
      <c r="M317" s="3065" t="s">
        <v>121</v>
      </c>
      <c r="N317" s="1298" t="s">
        <v>1231</v>
      </c>
      <c r="O317" s="1298"/>
      <c r="P317" s="1300"/>
      <c r="Q317" s="3065" t="s">
        <v>121</v>
      </c>
      <c r="R317" s="1326" t="s">
        <v>1232</v>
      </c>
      <c r="S317" s="1326"/>
      <c r="T317" s="1326"/>
      <c r="U317" s="3065" t="s">
        <v>121</v>
      </c>
      <c r="V317" s="1326" t="s">
        <v>1233</v>
      </c>
      <c r="W317" s="1307"/>
      <c r="X317" s="1308"/>
      <c r="Y317" s="1295"/>
      <c r="Z317" s="1292"/>
      <c r="AA317" s="1292"/>
      <c r="AB317" s="1293"/>
      <c r="AC317" s="1544"/>
      <c r="AD317" s="1544"/>
      <c r="AE317" s="1544"/>
      <c r="AF317" s="1544"/>
      <c r="AI317" s="3056" t="str">
        <f>"23:"&amp;IF(AND(I317="□",M317="□",Q317="□",U317="□"),"ketu_doctor_code:0",IF(I317="■","ketu_doctor_code:1:ketu_kangos_code:1:ketu_kshoku_code:1",
IF(M317="■","ketu_doctor_code:2","ketu_doctor_code:1")
&amp;IF(Q317="■",":ketu_kangos_code:2",":ketu_kangos_code:1")
&amp;IF(U317="■",":ketu_kshoku_code:2",":ketu_kshoku_code:1")))</f>
        <v>23:ketu_doctor_code:0</v>
      </c>
    </row>
    <row r="318" spans="1:36" s="3056" customFormat="1" ht="18.75" hidden="1" customHeight="1">
      <c r="A318" s="735"/>
      <c r="B318" s="1407"/>
      <c r="C318" s="1303"/>
      <c r="D318" s="1304"/>
      <c r="E318" s="1275"/>
      <c r="F318" s="1289"/>
      <c r="G318" s="1275"/>
      <c r="H318" s="1409" t="s">
        <v>91</v>
      </c>
      <c r="I318" s="3066" t="s">
        <v>121</v>
      </c>
      <c r="J318" s="1298" t="s">
        <v>1239</v>
      </c>
      <c r="K318" s="1299"/>
      <c r="L318" s="1300"/>
      <c r="M318" s="3065" t="s">
        <v>121</v>
      </c>
      <c r="N318" s="1298" t="s">
        <v>1240</v>
      </c>
      <c r="O318" s="1307"/>
      <c r="P318" s="1307"/>
      <c r="Q318" s="1307"/>
      <c r="R318" s="1307"/>
      <c r="S318" s="1307"/>
      <c r="T318" s="1307"/>
      <c r="U318" s="1307"/>
      <c r="V318" s="1307"/>
      <c r="W318" s="1307"/>
      <c r="X318" s="1308"/>
      <c r="Y318" s="1295"/>
      <c r="Z318" s="1292"/>
      <c r="AA318" s="1292"/>
      <c r="AB318" s="1293"/>
      <c r="AC318" s="1544"/>
      <c r="AD318" s="1544"/>
      <c r="AE318" s="1544"/>
      <c r="AF318" s="1544"/>
      <c r="AI318" s="3056" t="str">
        <f>"23:unitcare_code:" &amp; IF(I318="■",1,IF(M318="■",2,0))</f>
        <v>23:unitcare_code:0</v>
      </c>
    </row>
    <row r="319" spans="1:36" s="3056" customFormat="1" ht="18.75" hidden="1" customHeight="1">
      <c r="A319" s="735"/>
      <c r="B319" s="1407"/>
      <c r="C319" s="1287"/>
      <c r="D319" s="1288"/>
      <c r="E319" s="1275"/>
      <c r="F319" s="1289"/>
      <c r="G319" s="1305"/>
      <c r="H319" s="3193" t="s">
        <v>1241</v>
      </c>
      <c r="I319" s="3096" t="s">
        <v>121</v>
      </c>
      <c r="J319" s="3091" t="s">
        <v>1242</v>
      </c>
      <c r="K319" s="3095"/>
      <c r="L319" s="3094"/>
      <c r="M319" s="3093" t="s">
        <v>121</v>
      </c>
      <c r="N319" s="3091" t="s">
        <v>1243</v>
      </c>
      <c r="O319" s="3095"/>
      <c r="P319" s="3192"/>
      <c r="Q319" s="3192"/>
      <c r="R319" s="3192"/>
      <c r="S319" s="3192"/>
      <c r="T319" s="3192"/>
      <c r="U319" s="3192"/>
      <c r="V319" s="3192"/>
      <c r="W319" s="3192"/>
      <c r="X319" s="3191"/>
      <c r="Y319" s="1295"/>
      <c r="Z319" s="1292"/>
      <c r="AA319" s="1292"/>
      <c r="AB319" s="1293"/>
      <c r="AC319" s="1544"/>
      <c r="AD319" s="1544"/>
      <c r="AE319" s="1544"/>
      <c r="AF319" s="1544"/>
      <c r="AI319" s="3056" t="str">
        <f>"23:sintaikousoku_code:" &amp; IF(I319="■",1,IF(M319="■",2,0))</f>
        <v>23:sintaikousoku_code:0</v>
      </c>
    </row>
    <row r="320" spans="1:36" s="3056" customFormat="1" ht="19.5" hidden="1" customHeight="1">
      <c r="A320" s="735"/>
      <c r="B320" s="1407"/>
      <c r="C320" s="1303"/>
      <c r="D320" s="1304"/>
      <c r="E320" s="1275"/>
      <c r="F320" s="1289"/>
      <c r="G320" s="1305"/>
      <c r="H320" s="1306" t="s">
        <v>1244</v>
      </c>
      <c r="I320" s="3066" t="s">
        <v>121</v>
      </c>
      <c r="J320" s="1298" t="s">
        <v>1242</v>
      </c>
      <c r="K320" s="1299"/>
      <c r="L320" s="1300"/>
      <c r="M320" s="3065" t="s">
        <v>121</v>
      </c>
      <c r="N320" s="1298" t="s">
        <v>1245</v>
      </c>
      <c r="O320" s="1301"/>
      <c r="P320" s="1298"/>
      <c r="Q320" s="1307"/>
      <c r="R320" s="1307"/>
      <c r="S320" s="1307"/>
      <c r="T320" s="1307"/>
      <c r="U320" s="1307"/>
      <c r="V320" s="1307"/>
      <c r="W320" s="1307"/>
      <c r="X320" s="1308"/>
      <c r="Y320" s="1292"/>
      <c r="Z320" s="1292"/>
      <c r="AA320" s="1292"/>
      <c r="AB320" s="1293"/>
      <c r="AC320" s="1544"/>
      <c r="AD320" s="1544"/>
      <c r="AE320" s="1544"/>
      <c r="AF320" s="1544"/>
      <c r="AI320" s="3056" t="str">
        <f>"23:field223:" &amp; IF(I320="■",1,IF(M320="■",2,0))</f>
        <v>23:field223:0</v>
      </c>
    </row>
    <row r="321" spans="1:35" s="3056" customFormat="1" ht="19.5" hidden="1" customHeight="1">
      <c r="A321" s="735"/>
      <c r="B321" s="1407"/>
      <c r="C321" s="1303"/>
      <c r="D321" s="1304"/>
      <c r="E321" s="1275"/>
      <c r="F321" s="1289"/>
      <c r="G321" s="1305"/>
      <c r="H321" s="1306" t="s">
        <v>1246</v>
      </c>
      <c r="I321" s="3066" t="s">
        <v>121</v>
      </c>
      <c r="J321" s="1298" t="s">
        <v>1242</v>
      </c>
      <c r="K321" s="1299"/>
      <c r="L321" s="1300"/>
      <c r="M321" s="3065" t="s">
        <v>121</v>
      </c>
      <c r="N321" s="1298" t="s">
        <v>1245</v>
      </c>
      <c r="O321" s="1301"/>
      <c r="P321" s="1298"/>
      <c r="Q321" s="1307"/>
      <c r="R321" s="1307"/>
      <c r="S321" s="1307"/>
      <c r="T321" s="1307"/>
      <c r="U321" s="1307"/>
      <c r="V321" s="1307"/>
      <c r="W321" s="1307"/>
      <c r="X321" s="1308"/>
      <c r="Y321" s="1292"/>
      <c r="Z321" s="1292"/>
      <c r="AA321" s="1292"/>
      <c r="AB321" s="1293"/>
      <c r="AC321" s="1544"/>
      <c r="AD321" s="1544"/>
      <c r="AE321" s="1544"/>
      <c r="AF321" s="1544"/>
      <c r="AI321" s="3056" t="str">
        <f>"23:field232:" &amp; IF(I321="■",1,IF(M321="■",2,0))</f>
        <v>23:field232:0</v>
      </c>
    </row>
    <row r="322" spans="1:35" s="3056" customFormat="1" ht="18.75" hidden="1" customHeight="1">
      <c r="A322" s="735"/>
      <c r="B322" s="1407"/>
      <c r="C322" s="1303"/>
      <c r="D322" s="1304"/>
      <c r="E322" s="1275"/>
      <c r="F322" s="1289"/>
      <c r="G322" s="1275"/>
      <c r="H322" s="1409" t="s">
        <v>2426</v>
      </c>
      <c r="I322" s="3066" t="s">
        <v>121</v>
      </c>
      <c r="J322" s="1298" t="s">
        <v>1227</v>
      </c>
      <c r="K322" s="1299"/>
      <c r="L322" s="1300"/>
      <c r="M322" s="3065" t="s">
        <v>121</v>
      </c>
      <c r="N322" s="1298" t="s">
        <v>2291</v>
      </c>
      <c r="O322" s="1326"/>
      <c r="P322" s="1326"/>
      <c r="Q322" s="1326"/>
      <c r="R322" s="1326"/>
      <c r="S322" s="1307"/>
      <c r="T322" s="1307"/>
      <c r="U322" s="1307"/>
      <c r="V322" s="1307"/>
      <c r="W322" s="1307"/>
      <c r="X322" s="1308"/>
      <c r="Y322" s="1295"/>
      <c r="Z322" s="1292"/>
      <c r="AA322" s="1292"/>
      <c r="AB322" s="1293"/>
      <c r="AC322" s="1544"/>
      <c r="AD322" s="1544"/>
      <c r="AE322" s="1544"/>
      <c r="AF322" s="1544"/>
      <c r="AI322" s="3056" t="str">
        <f>"23:ryokan_code:" &amp; IF(I322="■",1,IF(M322="■",2,0))</f>
        <v>23:ryokan_code:0</v>
      </c>
    </row>
    <row r="323" spans="1:35" s="3056" customFormat="1" ht="18.75" hidden="1" customHeight="1">
      <c r="A323" s="735"/>
      <c r="B323" s="1407"/>
      <c r="C323" s="1303"/>
      <c r="D323" s="1304"/>
      <c r="E323" s="1275"/>
      <c r="F323" s="1289"/>
      <c r="G323" s="1275"/>
      <c r="H323" s="1409" t="s">
        <v>2425</v>
      </c>
      <c r="I323" s="3066" t="s">
        <v>121</v>
      </c>
      <c r="J323" s="1298" t="s">
        <v>2424</v>
      </c>
      <c r="K323" s="1299"/>
      <c r="L323" s="1300"/>
      <c r="M323" s="3065" t="s">
        <v>121</v>
      </c>
      <c r="N323" s="1298" t="s">
        <v>2423</v>
      </c>
      <c r="O323" s="1307"/>
      <c r="P323" s="1307"/>
      <c r="Q323" s="1307"/>
      <c r="R323" s="1326"/>
      <c r="S323" s="1307"/>
      <c r="T323" s="1307"/>
      <c r="U323" s="1307"/>
      <c r="V323" s="1307"/>
      <c r="W323" s="1307"/>
      <c r="X323" s="1308"/>
      <c r="Y323" s="1295"/>
      <c r="Z323" s="1292"/>
      <c r="AA323" s="1292"/>
      <c r="AB323" s="1293"/>
      <c r="AC323" s="1544"/>
      <c r="AD323" s="1544"/>
      <c r="AE323" s="1544"/>
      <c r="AF323" s="1544"/>
      <c r="AI323" s="3056" t="str">
        <f>"23:doctor_haiti_code:" &amp; IF(I323="■",1,IF(M323="■",2,0))</f>
        <v>23:doctor_haiti_code:0</v>
      </c>
    </row>
    <row r="324" spans="1:35" s="3056" customFormat="1" ht="18.75" hidden="1" customHeight="1">
      <c r="A324" s="735"/>
      <c r="B324" s="1407"/>
      <c r="C324" s="1303"/>
      <c r="D324" s="1304"/>
      <c r="E324" s="1275"/>
      <c r="F324" s="3122" t="s">
        <v>121</v>
      </c>
      <c r="G324" s="1275" t="s">
        <v>2408</v>
      </c>
      <c r="H324" s="1409" t="s">
        <v>1305</v>
      </c>
      <c r="I324" s="3066" t="s">
        <v>121</v>
      </c>
      <c r="J324" s="1298" t="s">
        <v>1230</v>
      </c>
      <c r="K324" s="1299"/>
      <c r="L324" s="3065" t="s">
        <v>121</v>
      </c>
      <c r="M324" s="1298" t="s">
        <v>1248</v>
      </c>
      <c r="N324" s="1307"/>
      <c r="O324" s="1307"/>
      <c r="P324" s="1307"/>
      <c r="Q324" s="1307"/>
      <c r="R324" s="1307"/>
      <c r="S324" s="1307"/>
      <c r="T324" s="1307"/>
      <c r="U324" s="1307"/>
      <c r="V324" s="1307"/>
      <c r="W324" s="1307"/>
      <c r="X324" s="1308"/>
      <c r="Y324" s="1295"/>
      <c r="Z324" s="1292"/>
      <c r="AA324" s="1292"/>
      <c r="AB324" s="1293"/>
      <c r="AC324" s="1544"/>
      <c r="AD324" s="1544"/>
      <c r="AE324" s="1544"/>
      <c r="AF324" s="1544"/>
      <c r="AI324" s="3056" t="str">
        <f>"23:jyakuninti_uke_code:" &amp; IF(I324="■",1,IF(L324="■",2,0))</f>
        <v>23:jyakuninti_uke_code:0</v>
      </c>
    </row>
    <row r="325" spans="1:35" s="3056" customFormat="1" ht="18.75" hidden="1" customHeight="1">
      <c r="A325" s="735"/>
      <c r="B325" s="1407"/>
      <c r="C325" s="1303"/>
      <c r="D325" s="1304"/>
      <c r="E325" s="1275"/>
      <c r="F325" s="1304"/>
      <c r="G325" s="1275" t="s">
        <v>2407</v>
      </c>
      <c r="H325" s="1409" t="s">
        <v>1324</v>
      </c>
      <c r="I325" s="3066" t="s">
        <v>121</v>
      </c>
      <c r="J325" s="1298" t="s">
        <v>1239</v>
      </c>
      <c r="K325" s="1299"/>
      <c r="L325" s="1300"/>
      <c r="M325" s="3065" t="s">
        <v>121</v>
      </c>
      <c r="N325" s="1298" t="s">
        <v>1240</v>
      </c>
      <c r="O325" s="1307"/>
      <c r="P325" s="1307"/>
      <c r="Q325" s="1307"/>
      <c r="R325" s="1307"/>
      <c r="S325" s="1307"/>
      <c r="T325" s="1307"/>
      <c r="U325" s="1307"/>
      <c r="V325" s="1307"/>
      <c r="W325" s="1307"/>
      <c r="X325" s="1308"/>
      <c r="Y325" s="1295"/>
      <c r="Z325" s="1292"/>
      <c r="AA325" s="1292"/>
      <c r="AB325" s="1293"/>
      <c r="AC325" s="1544"/>
      <c r="AD325" s="1544"/>
      <c r="AE325" s="1544"/>
      <c r="AF325" s="1544"/>
      <c r="AI325" s="3056" t="str">
        <f>"23:sougei_code:" &amp; IF(I325="■",1,IF(M325="■",2,0))</f>
        <v>23:sougei_code:0</v>
      </c>
    </row>
    <row r="326" spans="1:35" s="3056" customFormat="1" ht="19.5" hidden="1" customHeight="1">
      <c r="A326" s="3069" t="s">
        <v>121</v>
      </c>
      <c r="B326" s="1407">
        <v>23</v>
      </c>
      <c r="C326" s="1303" t="s">
        <v>1321</v>
      </c>
      <c r="D326" s="3122" t="s">
        <v>121</v>
      </c>
      <c r="E326" s="1275" t="s">
        <v>2427</v>
      </c>
      <c r="F326" s="3122" t="s">
        <v>121</v>
      </c>
      <c r="G326" s="1275" t="s">
        <v>2405</v>
      </c>
      <c r="H326" s="1306" t="s">
        <v>1325</v>
      </c>
      <c r="I326" s="3066" t="s">
        <v>121</v>
      </c>
      <c r="J326" s="1298" t="s">
        <v>1230</v>
      </c>
      <c r="K326" s="1298"/>
      <c r="L326" s="3065" t="s">
        <v>121</v>
      </c>
      <c r="M326" s="1298" t="s">
        <v>1248</v>
      </c>
      <c r="N326" s="1298"/>
      <c r="O326" s="1307"/>
      <c r="P326" s="1298"/>
      <c r="Q326" s="1307"/>
      <c r="R326" s="1307"/>
      <c r="S326" s="1307"/>
      <c r="T326" s="1307"/>
      <c r="U326" s="1307"/>
      <c r="V326" s="1307"/>
      <c r="W326" s="1307"/>
      <c r="X326" s="1308"/>
      <c r="Y326" s="1292"/>
      <c r="Z326" s="1292"/>
      <c r="AA326" s="1292"/>
      <c r="AB326" s="1293"/>
      <c r="AC326" s="1544"/>
      <c r="AD326" s="1544"/>
      <c r="AE326" s="1544"/>
      <c r="AF326" s="1544"/>
      <c r="AI326" s="3056" t="str">
        <f>"23:field224:" &amp; IF(I326="■",1,IF(L326="■",2,0))</f>
        <v>23:field224:0</v>
      </c>
    </row>
    <row r="327" spans="1:35" s="3056" customFormat="1" ht="18.75" hidden="1" customHeight="1">
      <c r="A327" s="735"/>
      <c r="B327" s="1407"/>
      <c r="C327" s="1303"/>
      <c r="D327" s="1304"/>
      <c r="E327" s="1275"/>
      <c r="F327" s="1304"/>
      <c r="G327" s="1275" t="s">
        <v>2404</v>
      </c>
      <c r="H327" s="1409" t="s">
        <v>145</v>
      </c>
      <c r="I327" s="3066" t="s">
        <v>121</v>
      </c>
      <c r="J327" s="1298" t="s">
        <v>1230</v>
      </c>
      <c r="K327" s="1299"/>
      <c r="L327" s="3065" t="s">
        <v>121</v>
      </c>
      <c r="M327" s="1298" t="s">
        <v>1248</v>
      </c>
      <c r="N327" s="1307"/>
      <c r="O327" s="1307"/>
      <c r="P327" s="1307"/>
      <c r="Q327" s="1307"/>
      <c r="R327" s="1307"/>
      <c r="S327" s="1307"/>
      <c r="T327" s="1307"/>
      <c r="U327" s="1307"/>
      <c r="V327" s="1307"/>
      <c r="W327" s="1307"/>
      <c r="X327" s="1308"/>
      <c r="Y327" s="1295"/>
      <c r="Z327" s="1292"/>
      <c r="AA327" s="1292"/>
      <c r="AB327" s="1293"/>
      <c r="AC327" s="1544"/>
      <c r="AD327" s="1544"/>
      <c r="AE327" s="1544"/>
      <c r="AF327" s="1544"/>
      <c r="AI327" s="3056" t="str">
        <f>"23:ryouyoushoku_code:" &amp; IF(I327="■",1,IF(L327="■",2,0))</f>
        <v>23:ryouyoushoku_code:0</v>
      </c>
    </row>
    <row r="328" spans="1:35" s="3056" customFormat="1" ht="18.75" hidden="1" customHeight="1">
      <c r="A328" s="735"/>
      <c r="B328" s="1407"/>
      <c r="C328" s="1303"/>
      <c r="D328" s="1304"/>
      <c r="E328" s="1275"/>
      <c r="F328" s="3122" t="s">
        <v>121</v>
      </c>
      <c r="G328" s="1275" t="s">
        <v>2403</v>
      </c>
      <c r="H328" s="1409" t="s">
        <v>1326</v>
      </c>
      <c r="I328" s="3066" t="s">
        <v>121</v>
      </c>
      <c r="J328" s="1298" t="s">
        <v>1230</v>
      </c>
      <c r="K328" s="1298"/>
      <c r="L328" s="3065" t="s">
        <v>121</v>
      </c>
      <c r="M328" s="1298" t="s">
        <v>1256</v>
      </c>
      <c r="N328" s="1298"/>
      <c r="O328" s="3065" t="s">
        <v>121</v>
      </c>
      <c r="P328" s="1298" t="s">
        <v>1257</v>
      </c>
      <c r="Q328" s="1307"/>
      <c r="R328" s="1307"/>
      <c r="S328" s="1307"/>
      <c r="T328" s="1307"/>
      <c r="U328" s="1307"/>
      <c r="V328" s="1307"/>
      <c r="W328" s="1307"/>
      <c r="X328" s="1308"/>
      <c r="Y328" s="1295"/>
      <c r="Z328" s="1292"/>
      <c r="AA328" s="1292"/>
      <c r="AB328" s="1293"/>
      <c r="AC328" s="1544"/>
      <c r="AD328" s="1544"/>
      <c r="AE328" s="1544"/>
      <c r="AF328" s="1544"/>
      <c r="AI328" s="3056" t="str">
        <f>"23:ninti_senmoncare_code:" &amp; IF(I328="■",1,IF(O328="■",3,IF(L328="■",2,0)))</f>
        <v>23:ninti_senmoncare_code:0</v>
      </c>
    </row>
    <row r="329" spans="1:35" s="3056" customFormat="1" ht="18.75" hidden="1" customHeight="1">
      <c r="A329" s="735"/>
      <c r="B329" s="1407"/>
      <c r="C329" s="1303"/>
      <c r="D329" s="1304"/>
      <c r="E329" s="1275"/>
      <c r="F329" s="1304"/>
      <c r="G329" s="1275" t="s">
        <v>2402</v>
      </c>
      <c r="H329" s="1313" t="s">
        <v>1265</v>
      </c>
      <c r="I329" s="3066" t="s">
        <v>121</v>
      </c>
      <c r="J329" s="1298" t="s">
        <v>1230</v>
      </c>
      <c r="K329" s="1298"/>
      <c r="L329" s="3065" t="s">
        <v>121</v>
      </c>
      <c r="M329" s="1298" t="s">
        <v>1256</v>
      </c>
      <c r="N329" s="1298"/>
      <c r="O329" s="3065" t="s">
        <v>121</v>
      </c>
      <c r="P329" s="1298" t="s">
        <v>1257</v>
      </c>
      <c r="Q329" s="1307"/>
      <c r="R329" s="1307"/>
      <c r="S329" s="1307"/>
      <c r="T329" s="1307"/>
      <c r="U329" s="1314"/>
      <c r="V329" s="1314"/>
      <c r="W329" s="1314"/>
      <c r="X329" s="1315"/>
      <c r="Y329" s="1295"/>
      <c r="Z329" s="1292"/>
      <c r="AA329" s="1292"/>
      <c r="AB329" s="1293"/>
      <c r="AC329" s="1544"/>
      <c r="AD329" s="1544"/>
      <c r="AE329" s="1544"/>
      <c r="AF329" s="1544"/>
      <c r="AI329" s="3056" t="str">
        <f>"23:field225:" &amp; IF(I329="■",1,IF(L329="■",2,IF(O329="■",3,0)))</f>
        <v>23:field225:0</v>
      </c>
    </row>
    <row r="330" spans="1:35" s="3056" customFormat="1" ht="18.75" hidden="1" customHeight="1">
      <c r="A330" s="735"/>
      <c r="B330" s="1407"/>
      <c r="C330" s="1303"/>
      <c r="D330" s="1304"/>
      <c r="E330" s="1275"/>
      <c r="F330" s="1304"/>
      <c r="G330" s="1275"/>
      <c r="H330" s="1541" t="s">
        <v>2412</v>
      </c>
      <c r="I330" s="3137" t="s">
        <v>121</v>
      </c>
      <c r="J330" s="1290" t="s">
        <v>1273</v>
      </c>
      <c r="K330" s="1290"/>
      <c r="L330" s="1314"/>
      <c r="M330" s="1314"/>
      <c r="N330" s="1314"/>
      <c r="O330" s="1314"/>
      <c r="P330" s="3136" t="s">
        <v>121</v>
      </c>
      <c r="Q330" s="1290" t="s">
        <v>1274</v>
      </c>
      <c r="R330" s="1314"/>
      <c r="S330" s="1314"/>
      <c r="T330" s="1314"/>
      <c r="U330" s="1314"/>
      <c r="V330" s="1314"/>
      <c r="W330" s="1314"/>
      <c r="X330" s="1315"/>
      <c r="Y330" s="1295"/>
      <c r="Z330" s="1292"/>
      <c r="AA330" s="1292"/>
      <c r="AB330" s="1293"/>
      <c r="AC330" s="1544"/>
      <c r="AD330" s="1544"/>
      <c r="AE330" s="1544"/>
      <c r="AF330" s="1544"/>
      <c r="AI330" s="3056" t="str">
        <f>"23:" &amp; IF(AND(I330="□",P330="□",I331="□"),"tokusin_jyusho_code:0:tokusin_yakuzai_code:0:shuudan_comu_code:0",IF(I330="■","tokusin_jyusho_code:2","tokusin_jyusho_code:1")
&amp;IF(P330="■",":tokusin_yakuzai_code:2",":tokusin_yakuzai_code:1")
&amp;IF(I331="■",":shuudan_comu_code:2",":shuudan_comu_code:1"))</f>
        <v>23:tokusin_jyusho_code:0:tokusin_yakuzai_code:0:shuudan_comu_code:0</v>
      </c>
    </row>
    <row r="331" spans="1:35" s="3056" customFormat="1" ht="18.75" hidden="1" customHeight="1">
      <c r="A331" s="735"/>
      <c r="B331" s="1407"/>
      <c r="C331" s="1303"/>
      <c r="D331" s="1304"/>
      <c r="E331" s="1275"/>
      <c r="F331" s="1304"/>
      <c r="G331" s="1275"/>
      <c r="H331" s="1542"/>
      <c r="I331" s="3063" t="s">
        <v>121</v>
      </c>
      <c r="J331" s="1296" t="s">
        <v>2318</v>
      </c>
      <c r="K331" s="1330"/>
      <c r="L331" s="1330"/>
      <c r="M331" s="1330"/>
      <c r="N331" s="1330"/>
      <c r="O331" s="1330"/>
      <c r="P331" s="1330"/>
      <c r="Q331" s="1403"/>
      <c r="R331" s="1330"/>
      <c r="S331" s="1330"/>
      <c r="T331" s="1330"/>
      <c r="U331" s="1330"/>
      <c r="V331" s="1330"/>
      <c r="W331" s="1330"/>
      <c r="X331" s="1356"/>
      <c r="Y331" s="1295"/>
      <c r="Z331" s="1292"/>
      <c r="AA331" s="1292"/>
      <c r="AB331" s="1293"/>
      <c r="AC331" s="1544"/>
      <c r="AD331" s="1544"/>
      <c r="AE331" s="1544"/>
      <c r="AF331" s="1544"/>
    </row>
    <row r="332" spans="1:35" s="3056" customFormat="1" ht="18.75" hidden="1" customHeight="1">
      <c r="A332" s="735"/>
      <c r="B332" s="1407"/>
      <c r="C332" s="1303"/>
      <c r="D332" s="1304"/>
      <c r="E332" s="1275"/>
      <c r="F332" s="1304"/>
      <c r="G332" s="1275"/>
      <c r="H332" s="1541" t="s">
        <v>1280</v>
      </c>
      <c r="I332" s="3137" t="s">
        <v>121</v>
      </c>
      <c r="J332" s="1290" t="s">
        <v>2317</v>
      </c>
      <c r="K332" s="1328"/>
      <c r="L332" s="1329"/>
      <c r="M332" s="3136" t="s">
        <v>121</v>
      </c>
      <c r="N332" s="1290" t="s">
        <v>2316</v>
      </c>
      <c r="O332" s="1314"/>
      <c r="P332" s="1314"/>
      <c r="Q332" s="3136" t="s">
        <v>121</v>
      </c>
      <c r="R332" s="1290" t="s">
        <v>2315</v>
      </c>
      <c r="S332" s="1314"/>
      <c r="T332" s="1314"/>
      <c r="U332" s="1314"/>
      <c r="V332" s="1314"/>
      <c r="W332" s="1314"/>
      <c r="X332" s="1315"/>
      <c r="Y332" s="1295"/>
      <c r="Z332" s="1292"/>
      <c r="AA332" s="1292"/>
      <c r="AB332" s="1293"/>
      <c r="AC332" s="1544"/>
      <c r="AD332" s="1544"/>
      <c r="AE332" s="1544"/>
      <c r="AF332" s="1544"/>
      <c r="AI332" s="3056" t="str">
        <f>"23:"&amp;IF(AND(I332="□",M332="□",Q332="□",I333="□",Q333="□"),"koriha_rryoho1_code:0:koriha_sryoho_code:0:koriha_gengo_code:0:riha_seisin_code:0:koriha_other_code:0",IF(I332="■","koriha_rryoho1_code:2","koriha_rryoho1_code:1")
&amp;IF(M332="■",":koriha_sryoho_code:2",":koriha_sryoho_code:1")
&amp;IF(Q332="■",":koriha_gengo_code:2",":koriha_gengo_code:1")
&amp;IF(I333="■",":riha_seisin_code:2",":riha_seisin_code:1")
&amp;IF(Q333="■",":koriha_other_code:2",":koriha_other_code:1"))</f>
        <v>23:koriha_rryoho1_code:0:koriha_sryoho_code:0:koriha_gengo_code:0:riha_seisin_code:0:koriha_other_code:0</v>
      </c>
    </row>
    <row r="333" spans="1:35" s="3056" customFormat="1" ht="18.75" hidden="1" customHeight="1">
      <c r="A333" s="735"/>
      <c r="B333" s="1407"/>
      <c r="C333" s="1303"/>
      <c r="D333" s="1304"/>
      <c r="E333" s="1275"/>
      <c r="F333" s="1304"/>
      <c r="G333" s="1275"/>
      <c r="H333" s="1542"/>
      <c r="I333" s="3063" t="s">
        <v>121</v>
      </c>
      <c r="J333" s="1296" t="s">
        <v>2314</v>
      </c>
      <c r="K333" s="1330"/>
      <c r="L333" s="1330"/>
      <c r="M333" s="1330"/>
      <c r="N333" s="1330"/>
      <c r="O333" s="1330"/>
      <c r="P333" s="1330"/>
      <c r="Q333" s="3062" t="s">
        <v>121</v>
      </c>
      <c r="R333" s="1296" t="s">
        <v>2313</v>
      </c>
      <c r="S333" s="1403"/>
      <c r="T333" s="1330"/>
      <c r="U333" s="1330"/>
      <c r="V333" s="1330"/>
      <c r="W333" s="1330"/>
      <c r="X333" s="1356"/>
      <c r="Y333" s="1295"/>
      <c r="Z333" s="1292"/>
      <c r="AA333" s="1292"/>
      <c r="AB333" s="1293"/>
      <c r="AC333" s="1544"/>
      <c r="AD333" s="1544"/>
      <c r="AE333" s="1544"/>
      <c r="AF333" s="1544"/>
    </row>
    <row r="334" spans="1:35" s="3056" customFormat="1" ht="18.75" hidden="1" customHeight="1">
      <c r="A334" s="735"/>
      <c r="B334" s="1407"/>
      <c r="C334" s="1303"/>
      <c r="D334" s="1304"/>
      <c r="E334" s="1275"/>
      <c r="F334" s="1304"/>
      <c r="G334" s="1275"/>
      <c r="H334" s="1312" t="s">
        <v>1266</v>
      </c>
      <c r="I334" s="3066" t="s">
        <v>121</v>
      </c>
      <c r="J334" s="1298" t="s">
        <v>1230</v>
      </c>
      <c r="K334" s="1298"/>
      <c r="L334" s="3065" t="s">
        <v>121</v>
      </c>
      <c r="M334" s="1298" t="s">
        <v>1267</v>
      </c>
      <c r="N334" s="1298"/>
      <c r="O334" s="3065" t="s">
        <v>121</v>
      </c>
      <c r="P334" s="1298" t="s">
        <v>1268</v>
      </c>
      <c r="Q334" s="1326"/>
      <c r="R334" s="3065" t="s">
        <v>121</v>
      </c>
      <c r="S334" s="1298" t="s">
        <v>1269</v>
      </c>
      <c r="T334" s="1326"/>
      <c r="U334" s="1326"/>
      <c r="V334" s="1326"/>
      <c r="W334" s="1326"/>
      <c r="X334" s="1327"/>
      <c r="Y334" s="1295"/>
      <c r="Z334" s="1292"/>
      <c r="AA334" s="1292"/>
      <c r="AB334" s="1293"/>
      <c r="AC334" s="1544"/>
      <c r="AD334" s="1544"/>
      <c r="AE334" s="1544"/>
      <c r="AF334" s="1544"/>
      <c r="AI334" s="3056" t="str">
        <f>"23:serteikyo_kyoka_code:" &amp; IF(I334="■",1,IF(L334="■",6,IF(O334="■",5,IF(R334="■",7,0))))</f>
        <v>23:serteikyo_kyoka_code:0</v>
      </c>
    </row>
    <row r="335" spans="1:35" s="3056" customFormat="1" ht="18.75" hidden="1" customHeight="1">
      <c r="A335" s="735"/>
      <c r="B335" s="1407"/>
      <c r="C335" s="1303"/>
      <c r="D335" s="1304"/>
      <c r="E335" s="1275"/>
      <c r="F335" s="1304"/>
      <c r="G335" s="1275"/>
      <c r="H335" s="1539" t="s">
        <v>2390</v>
      </c>
      <c r="I335" s="3162" t="s">
        <v>121</v>
      </c>
      <c r="J335" s="3161" t="s">
        <v>1230</v>
      </c>
      <c r="K335" s="3161"/>
      <c r="L335" s="3160" t="s">
        <v>121</v>
      </c>
      <c r="M335" s="3161" t="s">
        <v>1248</v>
      </c>
      <c r="N335" s="3161"/>
      <c r="O335" s="1290"/>
      <c r="P335" s="1290"/>
      <c r="Q335" s="1290"/>
      <c r="R335" s="1290"/>
      <c r="S335" s="1290"/>
      <c r="T335" s="1290"/>
      <c r="U335" s="1290"/>
      <c r="V335" s="1290"/>
      <c r="W335" s="1290"/>
      <c r="X335" s="1331"/>
      <c r="Y335" s="1295"/>
      <c r="Z335" s="1292"/>
      <c r="AA335" s="1292"/>
      <c r="AB335" s="1293"/>
      <c r="AC335" s="1544"/>
      <c r="AD335" s="1544"/>
      <c r="AE335" s="1544"/>
      <c r="AF335" s="1544"/>
      <c r="AI335" s="3056" t="str">
        <f>"23:field221:" &amp; IF(I335="■",1,IF(L335="■",2,0))</f>
        <v>23:field221:0</v>
      </c>
    </row>
    <row r="336" spans="1:35" s="3056" customFormat="1" ht="18.75" hidden="1" customHeight="1">
      <c r="A336" s="735"/>
      <c r="B336" s="1407"/>
      <c r="C336" s="1303"/>
      <c r="D336" s="1304"/>
      <c r="E336" s="1275"/>
      <c r="F336" s="1304"/>
      <c r="G336" s="1275"/>
      <c r="H336" s="1540"/>
      <c r="I336" s="3162"/>
      <c r="J336" s="3161"/>
      <c r="K336" s="3161"/>
      <c r="L336" s="3160"/>
      <c r="M336" s="3161"/>
      <c r="N336" s="3161"/>
      <c r="O336" s="1296"/>
      <c r="P336" s="1296"/>
      <c r="Q336" s="1296"/>
      <c r="R336" s="1296"/>
      <c r="S336" s="1296"/>
      <c r="T336" s="1296"/>
      <c r="U336" s="1296"/>
      <c r="V336" s="1296"/>
      <c r="W336" s="1296"/>
      <c r="X336" s="1332"/>
      <c r="Y336" s="1295"/>
      <c r="Z336" s="1292"/>
      <c r="AA336" s="1292"/>
      <c r="AB336" s="1293"/>
      <c r="AC336" s="1544"/>
      <c r="AD336" s="1544"/>
      <c r="AE336" s="1544"/>
      <c r="AF336" s="1544"/>
    </row>
    <row r="337" spans="1:36" s="3056" customFormat="1" ht="18.75" hidden="1" customHeight="1">
      <c r="A337" s="736"/>
      <c r="B337" s="1316"/>
      <c r="C337" s="1346"/>
      <c r="D337" s="1348"/>
      <c r="E337" s="1317"/>
      <c r="F337" s="1348"/>
      <c r="G337" s="1361"/>
      <c r="H337" s="3134" t="s">
        <v>2288</v>
      </c>
      <c r="I337" s="3060" t="s">
        <v>121</v>
      </c>
      <c r="J337" s="3130" t="s">
        <v>1230</v>
      </c>
      <c r="K337" s="3130"/>
      <c r="L337" s="3059" t="s">
        <v>121</v>
      </c>
      <c r="M337" s="3130" t="s">
        <v>2287</v>
      </c>
      <c r="N337" s="3133"/>
      <c r="O337" s="3059" t="s">
        <v>121</v>
      </c>
      <c r="P337" s="3132" t="s">
        <v>2286</v>
      </c>
      <c r="Q337" s="3131"/>
      <c r="R337" s="3059" t="s">
        <v>121</v>
      </c>
      <c r="S337" s="3130" t="s">
        <v>2285</v>
      </c>
      <c r="T337" s="3131"/>
      <c r="U337" s="3059" t="s">
        <v>121</v>
      </c>
      <c r="V337" s="3130" t="s">
        <v>2284</v>
      </c>
      <c r="W337" s="3129"/>
      <c r="X337" s="3128"/>
      <c r="Y337" s="1323"/>
      <c r="Z337" s="1323"/>
      <c r="AA337" s="1323"/>
      <c r="AB337" s="1324"/>
      <c r="AC337" s="1558"/>
      <c r="AD337" s="1558"/>
      <c r="AE337" s="1558"/>
      <c r="AF337" s="1558"/>
      <c r="AI337" s="3056" t="str">
        <f>"23:shoguukaizen_code:"&amp;IF(I337="■",1,IF(L337="■",7,IF(O337="■",8,IF(R337="■",9,IF(U337="■","A",0)))))</f>
        <v>23:shoguukaizen_code:0</v>
      </c>
    </row>
    <row r="338" spans="1:36" s="3056" customFormat="1" ht="18.75" hidden="1" customHeight="1">
      <c r="A338" s="1276"/>
      <c r="B338" s="1405"/>
      <c r="C338" s="1333"/>
      <c r="D338" s="1335"/>
      <c r="E338" s="1272"/>
      <c r="F338" s="1279"/>
      <c r="G338" s="1272"/>
      <c r="H338" s="1545" t="s">
        <v>1226</v>
      </c>
      <c r="I338" s="3119" t="s">
        <v>121</v>
      </c>
      <c r="J338" s="1270" t="s">
        <v>1227</v>
      </c>
      <c r="K338" s="3139"/>
      <c r="L338" s="1337"/>
      <c r="M338" s="3138" t="s">
        <v>121</v>
      </c>
      <c r="N338" s="1270" t="s">
        <v>2306</v>
      </c>
      <c r="O338" s="1334"/>
      <c r="P338" s="1334"/>
      <c r="Q338" s="3138" t="s">
        <v>121</v>
      </c>
      <c r="R338" s="1270" t="s">
        <v>2305</v>
      </c>
      <c r="S338" s="1334"/>
      <c r="T338" s="1334"/>
      <c r="U338" s="3138" t="s">
        <v>121</v>
      </c>
      <c r="V338" s="1270" t="s">
        <v>2304</v>
      </c>
      <c r="W338" s="1334"/>
      <c r="X338" s="1336"/>
      <c r="Y338" s="3119" t="s">
        <v>121</v>
      </c>
      <c r="Z338" s="1270" t="s">
        <v>1229</v>
      </c>
      <c r="AA338" s="1270"/>
      <c r="AB338" s="1286"/>
      <c r="AC338" s="1543"/>
      <c r="AD338" s="1543"/>
      <c r="AE338" s="1543"/>
      <c r="AF338" s="1543"/>
      <c r="AG338" s="3056" t="str">
        <f>"ser_code = '" &amp; IF(A349="■",23,"") &amp; "'"</f>
        <v>ser_code = ''</v>
      </c>
      <c r="AH338" s="3056" t="str">
        <f>"23:jininkbn_code:" &amp; IF(F349="■",2,IF(F350="■",3,0))</f>
        <v>23:jininkbn_code:0</v>
      </c>
      <c r="AI338" s="3056" t="str">
        <f>"23:yakan_kinmu_code:" &amp; IF(I338="■",1,IF(M338="■",2,IF(Q338="■",3,IF(U338="■",7,IF(I339="■",5,IF(M339="■",6,0))))))</f>
        <v>23:yakan_kinmu_code:0</v>
      </c>
      <c r="AJ338" s="3056" t="str">
        <f>"23:field203:" &amp; IF(Y338="■",1,IF(Y339="■",2,0))</f>
        <v>23:field203:0</v>
      </c>
    </row>
    <row r="339" spans="1:36" s="3056" customFormat="1" ht="18.75" hidden="1" customHeight="1">
      <c r="A339" s="735"/>
      <c r="B339" s="1407"/>
      <c r="C339" s="1303"/>
      <c r="D339" s="1304"/>
      <c r="E339" s="1275"/>
      <c r="F339" s="1289"/>
      <c r="G339" s="1275"/>
      <c r="H339" s="1542"/>
      <c r="I339" s="3063" t="s">
        <v>121</v>
      </c>
      <c r="J339" s="1296" t="s">
        <v>2303</v>
      </c>
      <c r="K339" s="1309"/>
      <c r="L339" s="1355"/>
      <c r="M339" s="3062" t="s">
        <v>121</v>
      </c>
      <c r="N339" s="1296" t="s">
        <v>1228</v>
      </c>
      <c r="O339" s="1403"/>
      <c r="P339" s="1403"/>
      <c r="Q339" s="1403"/>
      <c r="R339" s="1403"/>
      <c r="S339" s="1403"/>
      <c r="T339" s="1403"/>
      <c r="U339" s="1403"/>
      <c r="V339" s="1403"/>
      <c r="W339" s="1403"/>
      <c r="X339" s="1297"/>
      <c r="Y339" s="3122" t="s">
        <v>121</v>
      </c>
      <c r="Z339" s="1273" t="s">
        <v>1234</v>
      </c>
      <c r="AA339" s="1292"/>
      <c r="AB339" s="1293"/>
      <c r="AC339" s="1562"/>
      <c r="AD339" s="1562"/>
      <c r="AE339" s="1562"/>
      <c r="AF339" s="1562"/>
      <c r="AG339" s="3056" t="str">
        <f>"23:sisetukbn_code:"&amp;IF(D349="■","A",IF(D350="■","C",0))</f>
        <v>23:sisetukbn_code:0</v>
      </c>
    </row>
    <row r="340" spans="1:36" s="3056" customFormat="1" ht="18.75" hidden="1" customHeight="1">
      <c r="A340" s="735"/>
      <c r="B340" s="1407"/>
      <c r="C340" s="1303"/>
      <c r="D340" s="1304"/>
      <c r="E340" s="1275"/>
      <c r="F340" s="1289"/>
      <c r="G340" s="1275"/>
      <c r="H340" s="1409" t="s">
        <v>90</v>
      </c>
      <c r="I340" s="3066" t="s">
        <v>121</v>
      </c>
      <c r="J340" s="1298" t="s">
        <v>1230</v>
      </c>
      <c r="K340" s="1298"/>
      <c r="L340" s="1300"/>
      <c r="M340" s="3065" t="s">
        <v>121</v>
      </c>
      <c r="N340" s="1298" t="s">
        <v>1231</v>
      </c>
      <c r="O340" s="1298"/>
      <c r="P340" s="1300"/>
      <c r="Q340" s="3065" t="s">
        <v>121</v>
      </c>
      <c r="R340" s="1326" t="s">
        <v>1232</v>
      </c>
      <c r="S340" s="1326"/>
      <c r="T340" s="1326"/>
      <c r="U340" s="3065" t="s">
        <v>121</v>
      </c>
      <c r="V340" s="1326" t="s">
        <v>1233</v>
      </c>
      <c r="W340" s="1307"/>
      <c r="X340" s="1308"/>
      <c r="Y340" s="1295"/>
      <c r="Z340" s="1292"/>
      <c r="AA340" s="1292"/>
      <c r="AB340" s="1293"/>
      <c r="AC340" s="1544"/>
      <c r="AD340" s="1544"/>
      <c r="AE340" s="1544"/>
      <c r="AF340" s="1544"/>
      <c r="AI340" s="3056" t="str">
        <f>"23:"&amp;IF(AND(I340="□",M340="□",Q340="□",U340="□"),"ketu_doctor_code:0",IF(I340="■","ketu_doctor_code:1:ketu_kangos_code:1:ketu_kshoku_code:1",
IF(M340="■","ketu_doctor_code:2","ketu_doctor_code:1")
&amp;IF(Q340="■",":ketu_kangos_code:2",":ketu_kangos_code:1")
&amp;IF(U340="■",":ketu_kshoku_code:2",":ketu_kshoku_code:1")))</f>
        <v>23:ketu_doctor_code:0</v>
      </c>
    </row>
    <row r="341" spans="1:36" s="3056" customFormat="1" ht="18.75" hidden="1" customHeight="1">
      <c r="A341" s="735"/>
      <c r="B341" s="1407"/>
      <c r="C341" s="1303"/>
      <c r="D341" s="1304"/>
      <c r="E341" s="1275"/>
      <c r="F341" s="1289"/>
      <c r="G341" s="1275"/>
      <c r="H341" s="1409" t="s">
        <v>91</v>
      </c>
      <c r="I341" s="3066" t="s">
        <v>121</v>
      </c>
      <c r="J341" s="1298" t="s">
        <v>1239</v>
      </c>
      <c r="K341" s="1299"/>
      <c r="L341" s="1300"/>
      <c r="M341" s="3065" t="s">
        <v>121</v>
      </c>
      <c r="N341" s="1298" t="s">
        <v>1240</v>
      </c>
      <c r="O341" s="1307"/>
      <c r="P341" s="1307"/>
      <c r="Q341" s="1307"/>
      <c r="R341" s="1307"/>
      <c r="S341" s="1299"/>
      <c r="T341" s="1299"/>
      <c r="U341" s="1299"/>
      <c r="V341" s="1299"/>
      <c r="W341" s="1299"/>
      <c r="X341" s="1302"/>
      <c r="Y341" s="1295"/>
      <c r="Z341" s="1292"/>
      <c r="AA341" s="1292"/>
      <c r="AB341" s="1293"/>
      <c r="AC341" s="1544"/>
      <c r="AD341" s="1544"/>
      <c r="AE341" s="1544"/>
      <c r="AF341" s="1544"/>
      <c r="AI341" s="3056" t="str">
        <f>"23:unitcare_code:" &amp; IF(I341="■",1,IF(M341="■",2,0))</f>
        <v>23:unitcare_code:0</v>
      </c>
    </row>
    <row r="342" spans="1:36" s="3056" customFormat="1" ht="18.75" hidden="1" customHeight="1">
      <c r="A342" s="735"/>
      <c r="B342" s="1407"/>
      <c r="C342" s="1287"/>
      <c r="D342" s="1288"/>
      <c r="E342" s="1275"/>
      <c r="F342" s="1289"/>
      <c r="G342" s="1305"/>
      <c r="H342" s="3193" t="s">
        <v>1241</v>
      </c>
      <c r="I342" s="3096" t="s">
        <v>121</v>
      </c>
      <c r="J342" s="3091" t="s">
        <v>1242</v>
      </c>
      <c r="K342" s="3095"/>
      <c r="L342" s="3094"/>
      <c r="M342" s="3093" t="s">
        <v>121</v>
      </c>
      <c r="N342" s="3091" t="s">
        <v>1243</v>
      </c>
      <c r="O342" s="3095"/>
      <c r="P342" s="3192"/>
      <c r="Q342" s="3192"/>
      <c r="R342" s="3192"/>
      <c r="S342" s="3192"/>
      <c r="T342" s="3192"/>
      <c r="U342" s="3192"/>
      <c r="V342" s="3192"/>
      <c r="W342" s="3192"/>
      <c r="X342" s="3191"/>
      <c r="Y342" s="1295"/>
      <c r="Z342" s="1292"/>
      <c r="AA342" s="1292"/>
      <c r="AB342" s="1293"/>
      <c r="AC342" s="1544"/>
      <c r="AD342" s="1544"/>
      <c r="AE342" s="1544"/>
      <c r="AF342" s="1544"/>
      <c r="AI342" s="3056" t="str">
        <f>"23:sintaikousoku_code:" &amp; IF(I342="■",1,IF(M342="■",2,0))</f>
        <v>23:sintaikousoku_code:0</v>
      </c>
    </row>
    <row r="343" spans="1:36" s="3056" customFormat="1" ht="19.5" hidden="1" customHeight="1">
      <c r="A343" s="735"/>
      <c r="B343" s="1407"/>
      <c r="C343" s="1303"/>
      <c r="D343" s="1304"/>
      <c r="E343" s="1275"/>
      <c r="F343" s="1289"/>
      <c r="G343" s="1305"/>
      <c r="H343" s="1306" t="s">
        <v>1244</v>
      </c>
      <c r="I343" s="3066" t="s">
        <v>121</v>
      </c>
      <c r="J343" s="1298" t="s">
        <v>1242</v>
      </c>
      <c r="K343" s="1299"/>
      <c r="L343" s="1300"/>
      <c r="M343" s="3065" t="s">
        <v>121</v>
      </c>
      <c r="N343" s="1298" t="s">
        <v>1245</v>
      </c>
      <c r="O343" s="1301"/>
      <c r="P343" s="1298"/>
      <c r="Q343" s="1307"/>
      <c r="R343" s="1307"/>
      <c r="S343" s="1307"/>
      <c r="T343" s="1307"/>
      <c r="U343" s="1307"/>
      <c r="V343" s="1307"/>
      <c r="W343" s="1307"/>
      <c r="X343" s="1308"/>
      <c r="Y343" s="1292"/>
      <c r="Z343" s="1292"/>
      <c r="AA343" s="1292"/>
      <c r="AB343" s="1293"/>
      <c r="AC343" s="1544"/>
      <c r="AD343" s="1544"/>
      <c r="AE343" s="1544"/>
      <c r="AF343" s="1544"/>
      <c r="AI343" s="3056" t="str">
        <f>"23:field223:" &amp; IF(I343="■",1,IF(M343="■",2,0))</f>
        <v>23:field223:0</v>
      </c>
    </row>
    <row r="344" spans="1:36" s="3056" customFormat="1" ht="19.5" hidden="1" customHeight="1">
      <c r="A344" s="735"/>
      <c r="B344" s="1407"/>
      <c r="C344" s="1303"/>
      <c r="D344" s="1304"/>
      <c r="E344" s="1275"/>
      <c r="F344" s="1289"/>
      <c r="G344" s="1305"/>
      <c r="H344" s="1306" t="s">
        <v>1246</v>
      </c>
      <c r="I344" s="3066" t="s">
        <v>121</v>
      </c>
      <c r="J344" s="1298" t="s">
        <v>1242</v>
      </c>
      <c r="K344" s="1299"/>
      <c r="L344" s="1300"/>
      <c r="M344" s="3065" t="s">
        <v>121</v>
      </c>
      <c r="N344" s="1298" t="s">
        <v>1245</v>
      </c>
      <c r="O344" s="1301"/>
      <c r="P344" s="1298"/>
      <c r="Q344" s="1307"/>
      <c r="R344" s="1307"/>
      <c r="S344" s="1307"/>
      <c r="T344" s="1307"/>
      <c r="U344" s="1307"/>
      <c r="V344" s="1307"/>
      <c r="W344" s="1307"/>
      <c r="X344" s="1308"/>
      <c r="Y344" s="1292"/>
      <c r="Z344" s="1292"/>
      <c r="AA344" s="1292"/>
      <c r="AB344" s="1293"/>
      <c r="AC344" s="1544"/>
      <c r="AD344" s="1544"/>
      <c r="AE344" s="1544"/>
      <c r="AF344" s="1544"/>
      <c r="AI344" s="3056" t="str">
        <f>"23:field232:" &amp; IF(I344="■",1,IF(M344="■",2,0))</f>
        <v>23:field232:0</v>
      </c>
    </row>
    <row r="345" spans="1:36" s="3056" customFormat="1" ht="18.75" hidden="1" customHeight="1">
      <c r="A345" s="735"/>
      <c r="B345" s="1407"/>
      <c r="C345" s="1303"/>
      <c r="D345" s="1304"/>
      <c r="E345" s="1275"/>
      <c r="F345" s="1289"/>
      <c r="G345" s="1275"/>
      <c r="H345" s="1409" t="s">
        <v>2426</v>
      </c>
      <c r="I345" s="3066" t="s">
        <v>121</v>
      </c>
      <c r="J345" s="1298" t="s">
        <v>1227</v>
      </c>
      <c r="K345" s="1299"/>
      <c r="L345" s="1300"/>
      <c r="M345" s="3065" t="s">
        <v>121</v>
      </c>
      <c r="N345" s="1298" t="s">
        <v>2291</v>
      </c>
      <c r="O345" s="1326"/>
      <c r="P345" s="1326"/>
      <c r="Q345" s="1326"/>
      <c r="R345" s="1326"/>
      <c r="S345" s="1299"/>
      <c r="T345" s="1299"/>
      <c r="U345" s="1299"/>
      <c r="V345" s="1299"/>
      <c r="W345" s="1299"/>
      <c r="X345" s="1302"/>
      <c r="Y345" s="1295"/>
      <c r="Z345" s="1292"/>
      <c r="AA345" s="1292"/>
      <c r="AB345" s="1293"/>
      <c r="AC345" s="1544"/>
      <c r="AD345" s="1544"/>
      <c r="AE345" s="1544"/>
      <c r="AF345" s="1544"/>
      <c r="AI345" s="3056" t="str">
        <f>"23:ryokan_code:" &amp; IF(I345="■",1,IF(M345="■",2,0))</f>
        <v>23:ryokan_code:0</v>
      </c>
    </row>
    <row r="346" spans="1:36" s="3056" customFormat="1" ht="18.75" hidden="1" customHeight="1">
      <c r="A346" s="735"/>
      <c r="B346" s="1407"/>
      <c r="C346" s="1303"/>
      <c r="D346" s="1304"/>
      <c r="E346" s="1275"/>
      <c r="F346" s="1289"/>
      <c r="G346" s="1275"/>
      <c r="H346" s="1409" t="s">
        <v>2425</v>
      </c>
      <c r="I346" s="3066" t="s">
        <v>121</v>
      </c>
      <c r="J346" s="1298" t="s">
        <v>2424</v>
      </c>
      <c r="K346" s="1299"/>
      <c r="L346" s="1300"/>
      <c r="M346" s="3065" t="s">
        <v>121</v>
      </c>
      <c r="N346" s="1298" t="s">
        <v>2423</v>
      </c>
      <c r="O346" s="1307"/>
      <c r="P346" s="1307"/>
      <c r="Q346" s="1307"/>
      <c r="R346" s="1326"/>
      <c r="S346" s="1299"/>
      <c r="T346" s="1299"/>
      <c r="U346" s="1299"/>
      <c r="V346" s="1299"/>
      <c r="W346" s="1299"/>
      <c r="X346" s="1302"/>
      <c r="Y346" s="1295"/>
      <c r="Z346" s="1292"/>
      <c r="AA346" s="1292"/>
      <c r="AB346" s="1293"/>
      <c r="AC346" s="1544"/>
      <c r="AD346" s="1544"/>
      <c r="AE346" s="1544"/>
      <c r="AF346" s="1544"/>
      <c r="AI346" s="3056" t="str">
        <f>"23:doctor_haiti_code:" &amp; IF(I346="■",1,IF(M346="■",2,0))</f>
        <v>23:doctor_haiti_code:0</v>
      </c>
    </row>
    <row r="347" spans="1:36" s="3056" customFormat="1" ht="18.75" hidden="1" customHeight="1">
      <c r="A347" s="735"/>
      <c r="B347" s="1407"/>
      <c r="C347" s="1303"/>
      <c r="D347" s="1304"/>
      <c r="E347" s="1275"/>
      <c r="F347" s="1289"/>
      <c r="G347" s="1275"/>
      <c r="H347" s="1409" t="s">
        <v>1305</v>
      </c>
      <c r="I347" s="3066" t="s">
        <v>121</v>
      </c>
      <c r="J347" s="1298" t="s">
        <v>1230</v>
      </c>
      <c r="K347" s="1299"/>
      <c r="L347" s="3065" t="s">
        <v>121</v>
      </c>
      <c r="M347" s="1298" t="s">
        <v>1248</v>
      </c>
      <c r="N347" s="1307"/>
      <c r="O347" s="1307"/>
      <c r="P347" s="1307"/>
      <c r="Q347" s="1307"/>
      <c r="R347" s="1307"/>
      <c r="S347" s="1299"/>
      <c r="T347" s="1299"/>
      <c r="U347" s="1299"/>
      <c r="V347" s="1299"/>
      <c r="W347" s="1299"/>
      <c r="X347" s="1302"/>
      <c r="Y347" s="1295"/>
      <c r="Z347" s="1292"/>
      <c r="AA347" s="1292"/>
      <c r="AB347" s="1293"/>
      <c r="AC347" s="1544"/>
      <c r="AD347" s="1544"/>
      <c r="AE347" s="1544"/>
      <c r="AF347" s="1544"/>
      <c r="AI347" s="3056" t="str">
        <f>"23:jyakuninti_uke_code:" &amp; IF(I347="■",1,IF(L347="■",2,0))</f>
        <v>23:jyakuninti_uke_code:0</v>
      </c>
    </row>
    <row r="348" spans="1:36" s="3056" customFormat="1" ht="18.75" hidden="1" customHeight="1">
      <c r="A348" s="735"/>
      <c r="B348" s="1407"/>
      <c r="C348" s="1303"/>
      <c r="D348" s="1304"/>
      <c r="E348" s="1275"/>
      <c r="F348" s="1289"/>
      <c r="G348" s="1275"/>
      <c r="H348" s="1409" t="s">
        <v>1324</v>
      </c>
      <c r="I348" s="3066" t="s">
        <v>121</v>
      </c>
      <c r="J348" s="1298" t="s">
        <v>1239</v>
      </c>
      <c r="K348" s="1299"/>
      <c r="L348" s="1300"/>
      <c r="M348" s="3065" t="s">
        <v>121</v>
      </c>
      <c r="N348" s="1298" t="s">
        <v>1240</v>
      </c>
      <c r="O348" s="1307"/>
      <c r="P348" s="1307"/>
      <c r="Q348" s="1307"/>
      <c r="R348" s="1307"/>
      <c r="S348" s="1299"/>
      <c r="T348" s="1299"/>
      <c r="U348" s="1299"/>
      <c r="V348" s="1299"/>
      <c r="W348" s="1299"/>
      <c r="X348" s="1302"/>
      <c r="Y348" s="1295"/>
      <c r="Z348" s="1292"/>
      <c r="AA348" s="1292"/>
      <c r="AB348" s="1293"/>
      <c r="AC348" s="1544"/>
      <c r="AD348" s="1544"/>
      <c r="AE348" s="1544"/>
      <c r="AF348" s="1544"/>
      <c r="AI348" s="3056" t="str">
        <f>"23:sougei_code:" &amp; IF(I348="■",1,IF(M348="■",2,0))</f>
        <v>23:sougei_code:0</v>
      </c>
    </row>
    <row r="349" spans="1:36" s="3056" customFormat="1" ht="19.5" hidden="1" customHeight="1">
      <c r="A349" s="3069" t="s">
        <v>121</v>
      </c>
      <c r="B349" s="1407">
        <v>23</v>
      </c>
      <c r="C349" s="1303" t="s">
        <v>1321</v>
      </c>
      <c r="D349" s="3122" t="s">
        <v>121</v>
      </c>
      <c r="E349" s="1275" t="s">
        <v>2422</v>
      </c>
      <c r="F349" s="3122" t="s">
        <v>121</v>
      </c>
      <c r="G349" s="1275" t="s">
        <v>2421</v>
      </c>
      <c r="H349" s="1306" t="s">
        <v>1325</v>
      </c>
      <c r="I349" s="3066" t="s">
        <v>121</v>
      </c>
      <c r="J349" s="1298" t="s">
        <v>1230</v>
      </c>
      <c r="K349" s="1298"/>
      <c r="L349" s="3065" t="s">
        <v>121</v>
      </c>
      <c r="M349" s="1298" t="s">
        <v>1248</v>
      </c>
      <c r="N349" s="1298"/>
      <c r="O349" s="1307"/>
      <c r="P349" s="1298"/>
      <c r="Q349" s="1307"/>
      <c r="R349" s="1307"/>
      <c r="S349" s="1307"/>
      <c r="T349" s="1307"/>
      <c r="U349" s="1307"/>
      <c r="V349" s="1307"/>
      <c r="W349" s="1307"/>
      <c r="X349" s="1308"/>
      <c r="Y349" s="1292"/>
      <c r="Z349" s="1292"/>
      <c r="AA349" s="1292"/>
      <c r="AB349" s="1293"/>
      <c r="AC349" s="1544"/>
      <c r="AD349" s="1544"/>
      <c r="AE349" s="1544"/>
      <c r="AF349" s="1544"/>
      <c r="AI349" s="3056" t="str">
        <f>"23:field224:" &amp; IF(I349="■",1,IF(L349="■",2,0))</f>
        <v>23:field224:0</v>
      </c>
    </row>
    <row r="350" spans="1:36" s="3056" customFormat="1" ht="18.75" hidden="1" customHeight="1">
      <c r="A350" s="735"/>
      <c r="B350" s="1407"/>
      <c r="C350" s="1303"/>
      <c r="D350" s="3122" t="s">
        <v>121</v>
      </c>
      <c r="E350" s="1275" t="s">
        <v>2420</v>
      </c>
      <c r="F350" s="3122" t="s">
        <v>121</v>
      </c>
      <c r="G350" s="1275" t="s">
        <v>2419</v>
      </c>
      <c r="H350" s="1409" t="s">
        <v>145</v>
      </c>
      <c r="I350" s="3066" t="s">
        <v>121</v>
      </c>
      <c r="J350" s="1298" t="s">
        <v>1230</v>
      </c>
      <c r="K350" s="1299"/>
      <c r="L350" s="3065" t="s">
        <v>121</v>
      </c>
      <c r="M350" s="1298" t="s">
        <v>1248</v>
      </c>
      <c r="N350" s="1307"/>
      <c r="O350" s="1307"/>
      <c r="P350" s="1307"/>
      <c r="Q350" s="1307"/>
      <c r="R350" s="1307"/>
      <c r="S350" s="1299"/>
      <c r="T350" s="1299"/>
      <c r="U350" s="1299"/>
      <c r="V350" s="1299"/>
      <c r="W350" s="1299"/>
      <c r="X350" s="1302"/>
      <c r="Y350" s="1295"/>
      <c r="Z350" s="1292"/>
      <c r="AA350" s="1292"/>
      <c r="AB350" s="1293"/>
      <c r="AC350" s="1544"/>
      <c r="AD350" s="1544"/>
      <c r="AE350" s="1544"/>
      <c r="AF350" s="1544"/>
      <c r="AI350" s="3056" t="str">
        <f>"23:ryouyoushoku_code:" &amp; IF(I350="■",1,IF(L350="■",2,0))</f>
        <v>23:ryouyoushoku_code:0</v>
      </c>
    </row>
    <row r="351" spans="1:36" s="3056" customFormat="1" ht="18.75" hidden="1" customHeight="1">
      <c r="A351" s="735"/>
      <c r="B351" s="1407"/>
      <c r="C351" s="1303"/>
      <c r="D351" s="1304"/>
      <c r="E351" s="1275"/>
      <c r="F351" s="1304"/>
      <c r="G351" s="1275"/>
      <c r="H351" s="1409" t="s">
        <v>1326</v>
      </c>
      <c r="I351" s="3066" t="s">
        <v>121</v>
      </c>
      <c r="J351" s="1298" t="s">
        <v>1230</v>
      </c>
      <c r="K351" s="1298"/>
      <c r="L351" s="3065" t="s">
        <v>121</v>
      </c>
      <c r="M351" s="1298" t="s">
        <v>1256</v>
      </c>
      <c r="N351" s="1298"/>
      <c r="O351" s="3065" t="s">
        <v>121</v>
      </c>
      <c r="P351" s="1298" t="s">
        <v>1257</v>
      </c>
      <c r="Q351" s="1307"/>
      <c r="R351" s="1307"/>
      <c r="S351" s="1307"/>
      <c r="T351" s="1307"/>
      <c r="U351" s="1307"/>
      <c r="V351" s="1307"/>
      <c r="W351" s="1307"/>
      <c r="X351" s="1308"/>
      <c r="Y351" s="1295"/>
      <c r="Z351" s="1292"/>
      <c r="AA351" s="1292"/>
      <c r="AB351" s="1293"/>
      <c r="AC351" s="1544"/>
      <c r="AD351" s="1544"/>
      <c r="AE351" s="1544"/>
      <c r="AF351" s="1544"/>
      <c r="AI351" s="3056" t="str">
        <f>"23:ninti_senmoncare_code:" &amp; IF(I351="■",1,IF(O351="■",3,IF(L351="■",2,0)))</f>
        <v>23:ninti_senmoncare_code:0</v>
      </c>
    </row>
    <row r="352" spans="1:36" s="3056" customFormat="1" ht="18.75" hidden="1" customHeight="1">
      <c r="A352" s="735"/>
      <c r="B352" s="1407"/>
      <c r="C352" s="1303"/>
      <c r="D352" s="1304"/>
      <c r="E352" s="1275"/>
      <c r="F352" s="1289"/>
      <c r="G352" s="1275"/>
      <c r="H352" s="1313" t="s">
        <v>1265</v>
      </c>
      <c r="I352" s="3066" t="s">
        <v>121</v>
      </c>
      <c r="J352" s="1298" t="s">
        <v>1230</v>
      </c>
      <c r="K352" s="1298"/>
      <c r="L352" s="3065" t="s">
        <v>121</v>
      </c>
      <c r="M352" s="1298" t="s">
        <v>1256</v>
      </c>
      <c r="N352" s="1298"/>
      <c r="O352" s="3065" t="s">
        <v>121</v>
      </c>
      <c r="P352" s="1298" t="s">
        <v>1257</v>
      </c>
      <c r="Q352" s="1307"/>
      <c r="R352" s="1307"/>
      <c r="S352" s="1307"/>
      <c r="T352" s="1307"/>
      <c r="U352" s="1314"/>
      <c r="V352" s="1314"/>
      <c r="W352" s="1314"/>
      <c r="X352" s="1315"/>
      <c r="Y352" s="1295"/>
      <c r="Z352" s="1292"/>
      <c r="AA352" s="1292"/>
      <c r="AB352" s="1293"/>
      <c r="AC352" s="1544"/>
      <c r="AD352" s="1544"/>
      <c r="AE352" s="1544"/>
      <c r="AF352" s="1544"/>
      <c r="AI352" s="3056" t="str">
        <f>"23:field225:" &amp; IF(I352="■",1,IF(L352="■",2,IF(O352="■",3,0)))</f>
        <v>23:field225:0</v>
      </c>
    </row>
    <row r="353" spans="1:36" s="3056" customFormat="1" ht="18.75" hidden="1" customHeight="1">
      <c r="A353" s="735"/>
      <c r="B353" s="1407"/>
      <c r="C353" s="1303"/>
      <c r="D353" s="1304"/>
      <c r="E353" s="1275"/>
      <c r="F353" s="1289"/>
      <c r="G353" s="1275"/>
      <c r="H353" s="1541" t="s">
        <v>2412</v>
      </c>
      <c r="I353" s="3137" t="s">
        <v>121</v>
      </c>
      <c r="J353" s="1290" t="s">
        <v>1273</v>
      </c>
      <c r="K353" s="1290"/>
      <c r="L353" s="1314"/>
      <c r="M353" s="1314"/>
      <c r="N353" s="1314"/>
      <c r="O353" s="1314"/>
      <c r="P353" s="3136" t="s">
        <v>121</v>
      </c>
      <c r="Q353" s="1290" t="s">
        <v>1274</v>
      </c>
      <c r="R353" s="1314"/>
      <c r="S353" s="1314"/>
      <c r="T353" s="1314"/>
      <c r="U353" s="1314"/>
      <c r="V353" s="1314"/>
      <c r="W353" s="1314"/>
      <c r="X353" s="1315"/>
      <c r="Y353" s="1295"/>
      <c r="Z353" s="1292"/>
      <c r="AA353" s="1292"/>
      <c r="AB353" s="1293"/>
      <c r="AC353" s="1544"/>
      <c r="AD353" s="1544"/>
      <c r="AE353" s="1544"/>
      <c r="AF353" s="1544"/>
      <c r="AI353" s="3056" t="str">
        <f>"23:" &amp; IF(AND(I353="□",P353="□",I354="□"),"tokusin_jyusho_code:0:tokusin_yakuzai_code:0:shuudan_comu_code:0",IF(I353="■","tokusin_jyusho_code:2","tokusin_jyusho_code:1")
&amp;IF(P353="■",":tokusin_yakuzai_code:2",":tokusin_yakuzai_code:1")
&amp;IF(I354="■",":shuudan_comu_code:2",":shuudan_comu_code:1"))</f>
        <v>23:tokusin_jyusho_code:0:tokusin_yakuzai_code:0:shuudan_comu_code:0</v>
      </c>
    </row>
    <row r="354" spans="1:36" s="3056" customFormat="1" ht="18.75" hidden="1" customHeight="1">
      <c r="A354" s="735"/>
      <c r="B354" s="1407"/>
      <c r="C354" s="1303"/>
      <c r="D354" s="1304"/>
      <c r="E354" s="1275"/>
      <c r="F354" s="1289"/>
      <c r="G354" s="1275"/>
      <c r="H354" s="1542"/>
      <c r="I354" s="3063" t="s">
        <v>121</v>
      </c>
      <c r="J354" s="1296" t="s">
        <v>2318</v>
      </c>
      <c r="K354" s="1330"/>
      <c r="L354" s="1330"/>
      <c r="M354" s="1330"/>
      <c r="N354" s="1330"/>
      <c r="O354" s="1330"/>
      <c r="P354" s="1330"/>
      <c r="Q354" s="1403"/>
      <c r="R354" s="1330"/>
      <c r="S354" s="1330"/>
      <c r="T354" s="1330"/>
      <c r="U354" s="1330"/>
      <c r="V354" s="1330"/>
      <c r="W354" s="1330"/>
      <c r="X354" s="1356"/>
      <c r="Y354" s="1295"/>
      <c r="Z354" s="1292"/>
      <c r="AA354" s="1292"/>
      <c r="AB354" s="1293"/>
      <c r="AC354" s="1544"/>
      <c r="AD354" s="1544"/>
      <c r="AE354" s="1544"/>
      <c r="AF354" s="1544"/>
    </row>
    <row r="355" spans="1:36" s="3056" customFormat="1" ht="18.75" hidden="1" customHeight="1">
      <c r="A355" s="735"/>
      <c r="B355" s="1407"/>
      <c r="C355" s="1303"/>
      <c r="D355" s="1304"/>
      <c r="E355" s="1275"/>
      <c r="F355" s="1289"/>
      <c r="G355" s="1275"/>
      <c r="H355" s="1541" t="s">
        <v>1280</v>
      </c>
      <c r="I355" s="3137" t="s">
        <v>121</v>
      </c>
      <c r="J355" s="1290" t="s">
        <v>2317</v>
      </c>
      <c r="K355" s="1328"/>
      <c r="L355" s="1329"/>
      <c r="M355" s="3136" t="s">
        <v>121</v>
      </c>
      <c r="N355" s="1290" t="s">
        <v>2316</v>
      </c>
      <c r="O355" s="1314"/>
      <c r="P355" s="1314"/>
      <c r="Q355" s="3136" t="s">
        <v>121</v>
      </c>
      <c r="R355" s="1290" t="s">
        <v>2315</v>
      </c>
      <c r="S355" s="1314"/>
      <c r="T355" s="1314"/>
      <c r="U355" s="1314"/>
      <c r="V355" s="1314"/>
      <c r="W355" s="1314"/>
      <c r="X355" s="1315"/>
      <c r="Y355" s="1295"/>
      <c r="Z355" s="1292"/>
      <c r="AA355" s="1292"/>
      <c r="AB355" s="1293"/>
      <c r="AC355" s="1544"/>
      <c r="AD355" s="1544"/>
      <c r="AE355" s="1544"/>
      <c r="AF355" s="1544"/>
      <c r="AI355" s="3056" t="str">
        <f>"23:"&amp;IF(AND(I355="□",M355="□",Q355="□",I356="□",Q356="□"),"koriha_rryoho1_code:0:koriha_sryoho_code:0:koriha_gengo_code:0:riha_seisin_code:0:koriha_other_code:0",IF(I355="■","koriha_rryoho1_code:2","koriha_rryoho1_code:1")
&amp;IF(M355="■",":koriha_sryoho_code:2",":koriha_sryoho_code:1")
&amp;IF(Q355="■",":koriha_gengo_code:2",":koriha_gengo_code:1")
&amp;IF(I356="■",":riha_seisin_code:2",":riha_seisin_code:1")
&amp;IF(Q356="■",":koriha_other_code:2",":koriha_other_code:1"))</f>
        <v>23:koriha_rryoho1_code:0:koriha_sryoho_code:0:koriha_gengo_code:0:riha_seisin_code:0:koriha_other_code:0</v>
      </c>
    </row>
    <row r="356" spans="1:36" s="3056" customFormat="1" ht="18.75" hidden="1" customHeight="1">
      <c r="A356" s="735"/>
      <c r="B356" s="1407"/>
      <c r="C356" s="1303"/>
      <c r="D356" s="1304"/>
      <c r="E356" s="1275"/>
      <c r="F356" s="1289"/>
      <c r="G356" s="1275"/>
      <c r="H356" s="1542"/>
      <c r="I356" s="3063" t="s">
        <v>121</v>
      </c>
      <c r="J356" s="1296" t="s">
        <v>2314</v>
      </c>
      <c r="K356" s="1330"/>
      <c r="L356" s="1330"/>
      <c r="M356" s="1330"/>
      <c r="N356" s="1330"/>
      <c r="O356" s="1330"/>
      <c r="P356" s="1330"/>
      <c r="Q356" s="3062" t="s">
        <v>121</v>
      </c>
      <c r="R356" s="1296" t="s">
        <v>2313</v>
      </c>
      <c r="S356" s="1403"/>
      <c r="T356" s="1330"/>
      <c r="U356" s="1330"/>
      <c r="V356" s="1330"/>
      <c r="W356" s="1330"/>
      <c r="X356" s="1356"/>
      <c r="Y356" s="1295"/>
      <c r="Z356" s="1292"/>
      <c r="AA356" s="1292"/>
      <c r="AB356" s="1293"/>
      <c r="AC356" s="1544"/>
      <c r="AD356" s="1544"/>
      <c r="AE356" s="1544"/>
      <c r="AF356" s="1544"/>
    </row>
    <row r="357" spans="1:36" s="3056" customFormat="1" ht="18.75" hidden="1" customHeight="1">
      <c r="A357" s="735"/>
      <c r="B357" s="1407"/>
      <c r="C357" s="1303"/>
      <c r="D357" s="1304"/>
      <c r="E357" s="1275"/>
      <c r="F357" s="1289"/>
      <c r="G357" s="1275"/>
      <c r="H357" s="1312" t="s">
        <v>1266</v>
      </c>
      <c r="I357" s="3066" t="s">
        <v>121</v>
      </c>
      <c r="J357" s="1298" t="s">
        <v>1230</v>
      </c>
      <c r="K357" s="1298"/>
      <c r="L357" s="3065" t="s">
        <v>121</v>
      </c>
      <c r="M357" s="1298" t="s">
        <v>1267</v>
      </c>
      <c r="N357" s="1298"/>
      <c r="O357" s="3065" t="s">
        <v>121</v>
      </c>
      <c r="P357" s="1298" t="s">
        <v>1268</v>
      </c>
      <c r="Q357" s="1326"/>
      <c r="R357" s="3065" t="s">
        <v>121</v>
      </c>
      <c r="S357" s="1298" t="s">
        <v>1269</v>
      </c>
      <c r="T357" s="1326"/>
      <c r="U357" s="1326"/>
      <c r="V357" s="1326"/>
      <c r="W357" s="1326"/>
      <c r="X357" s="1327"/>
      <c r="Y357" s="1295"/>
      <c r="Z357" s="1292"/>
      <c r="AA357" s="1292"/>
      <c r="AB357" s="1293"/>
      <c r="AC357" s="1544"/>
      <c r="AD357" s="1544"/>
      <c r="AE357" s="1544"/>
      <c r="AF357" s="1544"/>
      <c r="AI357" s="3056" t="str">
        <f>"23:serteikyo_kyoka_code:" &amp; IF(I357="■",1,IF(L357="■",6,IF(O357="■",5,IF(R357="■",7,0))))</f>
        <v>23:serteikyo_kyoka_code:0</v>
      </c>
    </row>
    <row r="358" spans="1:36" s="3056" customFormat="1" ht="18.75" hidden="1" customHeight="1">
      <c r="A358" s="735"/>
      <c r="B358" s="1407"/>
      <c r="C358" s="1303"/>
      <c r="D358" s="1304"/>
      <c r="E358" s="1275"/>
      <c r="F358" s="1289"/>
      <c r="G358" s="1275"/>
      <c r="H358" s="1539" t="s">
        <v>2390</v>
      </c>
      <c r="I358" s="3162" t="s">
        <v>121</v>
      </c>
      <c r="J358" s="3161" t="s">
        <v>1230</v>
      </c>
      <c r="K358" s="3161"/>
      <c r="L358" s="3160" t="s">
        <v>121</v>
      </c>
      <c r="M358" s="3161" t="s">
        <v>1248</v>
      </c>
      <c r="N358" s="3161"/>
      <c r="O358" s="1290"/>
      <c r="P358" s="1290"/>
      <c r="Q358" s="1290"/>
      <c r="R358" s="1290"/>
      <c r="S358" s="1290"/>
      <c r="T358" s="1290"/>
      <c r="U358" s="1290"/>
      <c r="V358" s="1290"/>
      <c r="W358" s="1290"/>
      <c r="X358" s="1331"/>
      <c r="Y358" s="1295"/>
      <c r="Z358" s="1292"/>
      <c r="AA358" s="1292"/>
      <c r="AB358" s="1293"/>
      <c r="AC358" s="1544"/>
      <c r="AD358" s="1544"/>
      <c r="AE358" s="1544"/>
      <c r="AF358" s="1544"/>
      <c r="AI358" s="3056" t="str">
        <f>"23:field221:" &amp; IF(I358="■",1,IF(L358="■",2,0))</f>
        <v>23:field221:0</v>
      </c>
    </row>
    <row r="359" spans="1:36" s="3056" customFormat="1" ht="18.75" hidden="1" customHeight="1">
      <c r="A359" s="735"/>
      <c r="B359" s="1407"/>
      <c r="C359" s="1303"/>
      <c r="D359" s="1304"/>
      <c r="E359" s="1275"/>
      <c r="F359" s="1289"/>
      <c r="G359" s="1275"/>
      <c r="H359" s="1540"/>
      <c r="I359" s="3162"/>
      <c r="J359" s="3161"/>
      <c r="K359" s="3161"/>
      <c r="L359" s="3160"/>
      <c r="M359" s="3161"/>
      <c r="N359" s="3161"/>
      <c r="O359" s="1296"/>
      <c r="P359" s="1296"/>
      <c r="Q359" s="1296"/>
      <c r="R359" s="1296"/>
      <c r="S359" s="1296"/>
      <c r="T359" s="1296"/>
      <c r="U359" s="1296"/>
      <c r="V359" s="1296"/>
      <c r="W359" s="1296"/>
      <c r="X359" s="1332"/>
      <c r="Y359" s="1295"/>
      <c r="Z359" s="1292"/>
      <c r="AA359" s="1292"/>
      <c r="AB359" s="1293"/>
      <c r="AC359" s="1544"/>
      <c r="AD359" s="1544"/>
      <c r="AE359" s="1544"/>
      <c r="AF359" s="1544"/>
    </row>
    <row r="360" spans="1:36" s="3056" customFormat="1" ht="18.75" hidden="1" customHeight="1">
      <c r="A360" s="736"/>
      <c r="B360" s="1316"/>
      <c r="C360" s="1346"/>
      <c r="D360" s="1348"/>
      <c r="E360" s="1317"/>
      <c r="F360" s="1318"/>
      <c r="G360" s="1361"/>
      <c r="H360" s="3134" t="s">
        <v>2288</v>
      </c>
      <c r="I360" s="3060" t="s">
        <v>121</v>
      </c>
      <c r="J360" s="3130" t="s">
        <v>1230</v>
      </c>
      <c r="K360" s="3130"/>
      <c r="L360" s="3059" t="s">
        <v>121</v>
      </c>
      <c r="M360" s="3130" t="s">
        <v>2287</v>
      </c>
      <c r="N360" s="3133"/>
      <c r="O360" s="3059" t="s">
        <v>121</v>
      </c>
      <c r="P360" s="3130" t="s">
        <v>2286</v>
      </c>
      <c r="Q360" s="3131"/>
      <c r="R360" s="3059" t="s">
        <v>121</v>
      </c>
      <c r="S360" s="3130" t="s">
        <v>2285</v>
      </c>
      <c r="T360" s="3131"/>
      <c r="U360" s="3059" t="s">
        <v>121</v>
      </c>
      <c r="V360" s="3130" t="s">
        <v>2284</v>
      </c>
      <c r="W360" s="3129"/>
      <c r="X360" s="3128"/>
      <c r="Y360" s="1323"/>
      <c r="Z360" s="1323"/>
      <c r="AA360" s="1323"/>
      <c r="AB360" s="1324"/>
      <c r="AC360" s="1558"/>
      <c r="AD360" s="1558"/>
      <c r="AE360" s="1558"/>
      <c r="AF360" s="1558"/>
      <c r="AI360" s="3056" t="str">
        <f>"23:shoguukaizen_code:"&amp;IF(I360="■",1,IF(L360="■",7,IF(O360="■",8,IF(R360="■",9,IF(U360="■","A",0)))))</f>
        <v>23:shoguukaizen_code:0</v>
      </c>
    </row>
    <row r="361" spans="1:36" s="3056" customFormat="1" ht="18.75" hidden="1" customHeight="1">
      <c r="A361" s="1276"/>
      <c r="B361" s="1405"/>
      <c r="C361" s="1277"/>
      <c r="D361" s="1278"/>
      <c r="E361" s="1272"/>
      <c r="F361" s="1279"/>
      <c r="G361" s="1351"/>
      <c r="H361" s="3214" t="s">
        <v>1241</v>
      </c>
      <c r="I361" s="3213" t="s">
        <v>121</v>
      </c>
      <c r="J361" s="3210" t="s">
        <v>1242</v>
      </c>
      <c r="K361" s="3209"/>
      <c r="L361" s="3212"/>
      <c r="M361" s="3211" t="s">
        <v>121</v>
      </c>
      <c r="N361" s="3210" t="s">
        <v>1243</v>
      </c>
      <c r="O361" s="3209"/>
      <c r="P361" s="3208"/>
      <c r="Q361" s="3208"/>
      <c r="R361" s="3208"/>
      <c r="S361" s="3208"/>
      <c r="T361" s="3208"/>
      <c r="U361" s="3208"/>
      <c r="V361" s="3208"/>
      <c r="W361" s="3208"/>
      <c r="X361" s="3207"/>
      <c r="Y361" s="3138" t="s">
        <v>121</v>
      </c>
      <c r="Z361" s="1270" t="s">
        <v>1229</v>
      </c>
      <c r="AA361" s="3206"/>
      <c r="AB361" s="1286"/>
      <c r="AC361" s="1530"/>
      <c r="AD361" s="3205"/>
      <c r="AE361" s="3205"/>
      <c r="AF361" s="3204"/>
      <c r="AG361" s="3056" t="str">
        <f>"ser_code = '" &amp; IF(A370="■",23,"") &amp; "'"</f>
        <v>ser_code = ''</v>
      </c>
      <c r="AH361" s="3056" t="str">
        <f>"23:jininkbn_code:"&amp;IF(F367="■",1,IF(F369="■",3,IF(F371="■",4,IF(F373="■",2,0))))</f>
        <v>23:jininkbn_code:0</v>
      </c>
      <c r="AI361" s="3056" t="str">
        <f>"23:sintaikousoku_code:" &amp; IF(I361="■",1,IF(M361="■",2,0))</f>
        <v>23:sintaikousoku_code:0</v>
      </c>
      <c r="AJ361" s="3056" t="str">
        <f>"23:field203:" &amp; IF(Y361="■",1,IF(Y362="■",2,0))</f>
        <v>23:field203:0</v>
      </c>
    </row>
    <row r="362" spans="1:36" s="3056" customFormat="1" ht="19.5" hidden="1" customHeight="1">
      <c r="A362" s="735"/>
      <c r="B362" s="1407"/>
      <c r="C362" s="1303"/>
      <c r="D362" s="1304"/>
      <c r="E362" s="1275"/>
      <c r="F362" s="1289"/>
      <c r="G362" s="1305"/>
      <c r="H362" s="1354" t="s">
        <v>1244</v>
      </c>
      <c r="I362" s="3063" t="s">
        <v>121</v>
      </c>
      <c r="J362" s="1296" t="s">
        <v>1242</v>
      </c>
      <c r="K362" s="1309"/>
      <c r="L362" s="1355"/>
      <c r="M362" s="3062" t="s">
        <v>121</v>
      </c>
      <c r="N362" s="1296" t="s">
        <v>1245</v>
      </c>
      <c r="O362" s="1414"/>
      <c r="P362" s="1296"/>
      <c r="Q362" s="1330"/>
      <c r="R362" s="1330"/>
      <c r="S362" s="1330"/>
      <c r="T362" s="1330"/>
      <c r="U362" s="1330"/>
      <c r="V362" s="1330"/>
      <c r="W362" s="1330"/>
      <c r="X362" s="1356"/>
      <c r="Y362" s="3122" t="s">
        <v>121</v>
      </c>
      <c r="Z362" s="1273" t="s">
        <v>1234</v>
      </c>
      <c r="AA362" s="1273"/>
      <c r="AB362" s="1293"/>
      <c r="AC362" s="3203"/>
      <c r="AD362" s="3202"/>
      <c r="AE362" s="3202"/>
      <c r="AF362" s="3201"/>
      <c r="AG362" s="3056" t="str">
        <f>"23:sisetukbn_code:"&amp;IF(D370="■","2",0)</f>
        <v>23:sisetukbn_code:0</v>
      </c>
      <c r="AI362" s="3056" t="str">
        <f>"23:field223:" &amp; IF(I362="■",1,IF(M362="■",2,0))</f>
        <v>23:field223:0</v>
      </c>
    </row>
    <row r="363" spans="1:36" s="3056" customFormat="1" ht="19.5" hidden="1" customHeight="1">
      <c r="A363" s="735"/>
      <c r="B363" s="1407"/>
      <c r="C363" s="1303"/>
      <c r="D363" s="1304"/>
      <c r="E363" s="1275"/>
      <c r="F363" s="1289"/>
      <c r="G363" s="1305"/>
      <c r="H363" s="1306" t="s">
        <v>1246</v>
      </c>
      <c r="I363" s="3066" t="s">
        <v>121</v>
      </c>
      <c r="J363" s="1298" t="s">
        <v>1242</v>
      </c>
      <c r="K363" s="1299"/>
      <c r="L363" s="1300"/>
      <c r="M363" s="3065" t="s">
        <v>121</v>
      </c>
      <c r="N363" s="1298" t="s">
        <v>1245</v>
      </c>
      <c r="O363" s="1301"/>
      <c r="P363" s="1298"/>
      <c r="Q363" s="1307"/>
      <c r="R363" s="1307"/>
      <c r="S363" s="1307"/>
      <c r="T363" s="1307"/>
      <c r="U363" s="1307"/>
      <c r="V363" s="1307"/>
      <c r="W363" s="1307"/>
      <c r="X363" s="1308"/>
      <c r="Y363" s="1412"/>
      <c r="Z363" s="1412"/>
      <c r="AA363" s="1292"/>
      <c r="AB363" s="1293"/>
      <c r="AC363" s="3203"/>
      <c r="AD363" s="3202"/>
      <c r="AE363" s="3202"/>
      <c r="AF363" s="3201"/>
      <c r="AI363" s="3056" t="str">
        <f>"23:field232:" &amp; IF(I363="■",1,IF(M363="■",2,0))</f>
        <v>23:field232:0</v>
      </c>
    </row>
    <row r="364" spans="1:36" s="3056" customFormat="1" ht="18.75" hidden="1" customHeight="1">
      <c r="A364" s="735"/>
      <c r="B364" s="1407"/>
      <c r="C364" s="1303"/>
      <c r="D364" s="1304"/>
      <c r="E364" s="1305"/>
      <c r="F364" s="1304"/>
      <c r="G364" s="1275"/>
      <c r="H364" s="1399" t="s">
        <v>2410</v>
      </c>
      <c r="I364" s="3063" t="s">
        <v>121</v>
      </c>
      <c r="J364" s="1296" t="s">
        <v>1227</v>
      </c>
      <c r="K364" s="1309"/>
      <c r="L364" s="1355"/>
      <c r="M364" s="3062" t="s">
        <v>121</v>
      </c>
      <c r="N364" s="1296" t="s">
        <v>2291</v>
      </c>
      <c r="O364" s="1403"/>
      <c r="P364" s="1309"/>
      <c r="Q364" s="1309"/>
      <c r="R364" s="1309"/>
      <c r="S364" s="1309"/>
      <c r="T364" s="1309"/>
      <c r="U364" s="1309"/>
      <c r="V364" s="1309"/>
      <c r="W364" s="1309"/>
      <c r="X364" s="3087"/>
      <c r="Y364" s="1412"/>
      <c r="Z364" s="1412"/>
      <c r="AA364" s="1412"/>
      <c r="AB364" s="1293"/>
      <c r="AC364" s="3203"/>
      <c r="AD364" s="3202"/>
      <c r="AE364" s="3202"/>
      <c r="AF364" s="3201"/>
      <c r="AI364" s="3056" t="str">
        <f>"23:setubi_kijyun_code:" &amp; IF(I364="■",1,IF(M364="■",2,0))</f>
        <v>23:setubi_kijyun_code:0</v>
      </c>
    </row>
    <row r="365" spans="1:36" s="3056" customFormat="1" ht="18.75" hidden="1" customHeight="1">
      <c r="A365" s="735"/>
      <c r="B365" s="1407"/>
      <c r="C365" s="1303"/>
      <c r="D365" s="1304"/>
      <c r="E365" s="1305"/>
      <c r="F365" s="1304"/>
      <c r="G365" s="1275"/>
      <c r="H365" s="1409" t="s">
        <v>2409</v>
      </c>
      <c r="I365" s="3066" t="s">
        <v>121</v>
      </c>
      <c r="J365" s="1298" t="s">
        <v>1227</v>
      </c>
      <c r="K365" s="1299"/>
      <c r="L365" s="1300"/>
      <c r="M365" s="3065" t="s">
        <v>121</v>
      </c>
      <c r="N365" s="1298" t="s">
        <v>2291</v>
      </c>
      <c r="O365" s="1326"/>
      <c r="P365" s="1299"/>
      <c r="Q365" s="1299"/>
      <c r="R365" s="1299"/>
      <c r="S365" s="1299"/>
      <c r="T365" s="1299"/>
      <c r="U365" s="1299"/>
      <c r="V365" s="1299"/>
      <c r="W365" s="1299"/>
      <c r="X365" s="1302"/>
      <c r="Y365" s="1295"/>
      <c r="Z365" s="1292"/>
      <c r="AA365" s="1292"/>
      <c r="AB365" s="1293"/>
      <c r="AC365" s="3203"/>
      <c r="AD365" s="3202"/>
      <c r="AE365" s="3202"/>
      <c r="AF365" s="3201"/>
      <c r="AI365" s="3056" t="str">
        <f>"23:field163:" &amp; IF(I365="■",1,IF(M365="■",2,0))</f>
        <v>23:field163:0</v>
      </c>
    </row>
    <row r="366" spans="1:36" s="3056" customFormat="1" ht="18.75" hidden="1" customHeight="1">
      <c r="A366" s="735"/>
      <c r="B366" s="1407"/>
      <c r="C366" s="1303"/>
      <c r="D366" s="1304"/>
      <c r="E366" s="1305"/>
      <c r="F366" s="1304"/>
      <c r="G366" s="1275"/>
      <c r="H366" s="1409" t="s">
        <v>1305</v>
      </c>
      <c r="I366" s="3066" t="s">
        <v>121</v>
      </c>
      <c r="J366" s="1298" t="s">
        <v>1230</v>
      </c>
      <c r="K366" s="1299"/>
      <c r="L366" s="3065" t="s">
        <v>121</v>
      </c>
      <c r="M366" s="1298" t="s">
        <v>1248</v>
      </c>
      <c r="N366" s="1307"/>
      <c r="O366" s="1307"/>
      <c r="P366" s="1307"/>
      <c r="Q366" s="1299"/>
      <c r="R366" s="1299"/>
      <c r="S366" s="1299"/>
      <c r="T366" s="1299"/>
      <c r="U366" s="1299"/>
      <c r="V366" s="1299"/>
      <c r="W366" s="1299"/>
      <c r="X366" s="1302"/>
      <c r="Y366" s="1295"/>
      <c r="Z366" s="1292"/>
      <c r="AA366" s="1292"/>
      <c r="AB366" s="1293"/>
      <c r="AC366" s="3203"/>
      <c r="AD366" s="3202"/>
      <c r="AE366" s="3202"/>
      <c r="AF366" s="3201"/>
      <c r="AI366" s="3056" t="str">
        <f>"23:jyakuninti_uke_code:" &amp; IF(I366="■",1,IF(L366="■",2,0))</f>
        <v>23:jyakuninti_uke_code:0</v>
      </c>
    </row>
    <row r="367" spans="1:36" s="3056" customFormat="1" ht="18.75" hidden="1" customHeight="1">
      <c r="A367" s="735"/>
      <c r="B367" s="1407"/>
      <c r="C367" s="1303"/>
      <c r="D367" s="1304"/>
      <c r="E367" s="1305"/>
      <c r="F367" s="3122" t="s">
        <v>121</v>
      </c>
      <c r="G367" s="1275" t="s">
        <v>2418</v>
      </c>
      <c r="H367" s="1409" t="s">
        <v>1324</v>
      </c>
      <c r="I367" s="3066" t="s">
        <v>121</v>
      </c>
      <c r="J367" s="1298" t="s">
        <v>1239</v>
      </c>
      <c r="K367" s="1299"/>
      <c r="L367" s="1300"/>
      <c r="M367" s="3065" t="s">
        <v>121</v>
      </c>
      <c r="N367" s="1298" t="s">
        <v>1240</v>
      </c>
      <c r="O367" s="1307"/>
      <c r="P367" s="1307"/>
      <c r="Q367" s="1299"/>
      <c r="R367" s="1299"/>
      <c r="S367" s="1299"/>
      <c r="T367" s="1299"/>
      <c r="U367" s="1299"/>
      <c r="V367" s="1299"/>
      <c r="W367" s="1299"/>
      <c r="X367" s="1302"/>
      <c r="Y367" s="1292"/>
      <c r="Z367" s="1292"/>
      <c r="AA367" s="1292"/>
      <c r="AB367" s="1293"/>
      <c r="AC367" s="3203"/>
      <c r="AD367" s="3202"/>
      <c r="AE367" s="3202"/>
      <c r="AF367" s="3201"/>
      <c r="AI367" s="3056" t="str">
        <f>"23:sougei_code:" &amp; IF(I367="■",1,IF(M367="■",2,0))</f>
        <v>23:sougei_code:0</v>
      </c>
    </row>
    <row r="368" spans="1:36" s="3056" customFormat="1" ht="19.5" hidden="1" customHeight="1">
      <c r="A368" s="735"/>
      <c r="B368" s="1407"/>
      <c r="C368" s="1303"/>
      <c r="D368" s="1304"/>
      <c r="E368" s="1305"/>
      <c r="F368" s="1304"/>
      <c r="G368" s="1275" t="s">
        <v>2417</v>
      </c>
      <c r="H368" s="1306" t="s">
        <v>1325</v>
      </c>
      <c r="I368" s="3066" t="s">
        <v>121</v>
      </c>
      <c r="J368" s="1298" t="s">
        <v>1230</v>
      </c>
      <c r="K368" s="1298"/>
      <c r="L368" s="3065" t="s">
        <v>121</v>
      </c>
      <c r="M368" s="1298" t="s">
        <v>1248</v>
      </c>
      <c r="N368" s="1298"/>
      <c r="O368" s="1307"/>
      <c r="P368" s="1298"/>
      <c r="Q368" s="1307"/>
      <c r="R368" s="1307"/>
      <c r="S368" s="1307"/>
      <c r="T368" s="1307"/>
      <c r="U368" s="1307"/>
      <c r="V368" s="1307"/>
      <c r="W368" s="1307"/>
      <c r="X368" s="1308"/>
      <c r="Y368" s="1292"/>
      <c r="Z368" s="1292"/>
      <c r="AA368" s="1292"/>
      <c r="AB368" s="1293"/>
      <c r="AC368" s="3203"/>
      <c r="AD368" s="3202"/>
      <c r="AE368" s="3202"/>
      <c r="AF368" s="3201"/>
      <c r="AI368" s="3056" t="str">
        <f>"23:field224:" &amp; IF(I368="■",1,IF(L368="■",2,0))</f>
        <v>23:field224:0</v>
      </c>
    </row>
    <row r="369" spans="1:36" s="3056" customFormat="1" ht="18.75" hidden="1" customHeight="1">
      <c r="A369" s="735"/>
      <c r="B369" s="1407"/>
      <c r="C369" s="1303"/>
      <c r="D369" s="1304"/>
      <c r="E369" s="1305"/>
      <c r="F369" s="3122" t="s">
        <v>121</v>
      </c>
      <c r="G369" s="1275" t="s">
        <v>2416</v>
      </c>
      <c r="H369" s="1409" t="s">
        <v>145</v>
      </c>
      <c r="I369" s="3066" t="s">
        <v>121</v>
      </c>
      <c r="J369" s="1298" t="s">
        <v>1230</v>
      </c>
      <c r="K369" s="1299"/>
      <c r="L369" s="3065" t="s">
        <v>121</v>
      </c>
      <c r="M369" s="1298" t="s">
        <v>1248</v>
      </c>
      <c r="N369" s="1307"/>
      <c r="O369" s="1307"/>
      <c r="P369" s="1307"/>
      <c r="Q369" s="1299"/>
      <c r="R369" s="1299"/>
      <c r="S369" s="1299"/>
      <c r="T369" s="1299"/>
      <c r="U369" s="1299"/>
      <c r="V369" s="1299"/>
      <c r="W369" s="1299"/>
      <c r="X369" s="1302"/>
      <c r="Y369" s="1295"/>
      <c r="Z369" s="1292"/>
      <c r="AA369" s="1292"/>
      <c r="AB369" s="1293"/>
      <c r="AC369" s="3203"/>
      <c r="AD369" s="3202"/>
      <c r="AE369" s="3202"/>
      <c r="AF369" s="3201"/>
      <c r="AI369" s="3056" t="str">
        <f>"23:ryouyoushoku_code:" &amp; IF(I369="■",1,IF(L369="■",2,0))</f>
        <v>23:ryouyoushoku_code:0</v>
      </c>
    </row>
    <row r="370" spans="1:36" s="3056" customFormat="1" ht="18.75" hidden="1" customHeight="1">
      <c r="A370" s="3069" t="s">
        <v>121</v>
      </c>
      <c r="B370" s="1407">
        <v>23</v>
      </c>
      <c r="C370" s="1303" t="s">
        <v>1321</v>
      </c>
      <c r="D370" s="3122" t="s">
        <v>121</v>
      </c>
      <c r="E370" s="1305" t="s">
        <v>2415</v>
      </c>
      <c r="F370" s="1304"/>
      <c r="G370" s="1275" t="s">
        <v>2414</v>
      </c>
      <c r="H370" s="1409" t="s">
        <v>1326</v>
      </c>
      <c r="I370" s="3066" t="s">
        <v>121</v>
      </c>
      <c r="J370" s="1298" t="s">
        <v>1230</v>
      </c>
      <c r="K370" s="1298"/>
      <c r="L370" s="3065" t="s">
        <v>121</v>
      </c>
      <c r="M370" s="1298" t="s">
        <v>1256</v>
      </c>
      <c r="N370" s="1298"/>
      <c r="O370" s="3065" t="s">
        <v>121</v>
      </c>
      <c r="P370" s="1298" t="s">
        <v>1257</v>
      </c>
      <c r="Q370" s="1307"/>
      <c r="R370" s="1299"/>
      <c r="S370" s="1299"/>
      <c r="T370" s="1299"/>
      <c r="U370" s="1299"/>
      <c r="V370" s="1299"/>
      <c r="W370" s="1299"/>
      <c r="X370" s="1302"/>
      <c r="Y370" s="1295"/>
      <c r="Z370" s="1292"/>
      <c r="AA370" s="1292"/>
      <c r="AB370" s="1293"/>
      <c r="AC370" s="3203"/>
      <c r="AD370" s="3202"/>
      <c r="AE370" s="3202"/>
      <c r="AF370" s="3201"/>
      <c r="AI370" s="3056" t="str">
        <f>"23:ninti_senmoncare_code:" &amp; IF(I370="■",1,IF(O370="■",3,IF(L370="■",2,0)))</f>
        <v>23:ninti_senmoncare_code:0</v>
      </c>
    </row>
    <row r="371" spans="1:36" s="3056" customFormat="1" ht="18.75" hidden="1" customHeight="1">
      <c r="A371" s="735"/>
      <c r="B371" s="1407"/>
      <c r="C371" s="1303"/>
      <c r="D371" s="1304"/>
      <c r="E371" s="1305"/>
      <c r="F371" s="3122" t="s">
        <v>121</v>
      </c>
      <c r="G371" s="1275" t="s">
        <v>2413</v>
      </c>
      <c r="H371" s="1541" t="s">
        <v>2412</v>
      </c>
      <c r="I371" s="3137" t="s">
        <v>121</v>
      </c>
      <c r="J371" s="1290" t="s">
        <v>1273</v>
      </c>
      <c r="K371" s="1290"/>
      <c r="L371" s="1314"/>
      <c r="M371" s="1314"/>
      <c r="N371" s="1314"/>
      <c r="O371" s="1314"/>
      <c r="P371" s="3136" t="s">
        <v>121</v>
      </c>
      <c r="Q371" s="1290" t="s">
        <v>1274</v>
      </c>
      <c r="R371" s="1314"/>
      <c r="S371" s="1314"/>
      <c r="T371" s="1314"/>
      <c r="U371" s="1314"/>
      <c r="V371" s="1314"/>
      <c r="W371" s="1314"/>
      <c r="X371" s="1315"/>
      <c r="Y371" s="1295"/>
      <c r="Z371" s="1292"/>
      <c r="AA371" s="1292"/>
      <c r="AB371" s="1293"/>
      <c r="AC371" s="3203"/>
      <c r="AD371" s="3202"/>
      <c r="AE371" s="3202"/>
      <c r="AF371" s="3201"/>
      <c r="AI371" s="3056" t="str">
        <f>"23:" &amp; IF(AND(I371="□",P371="□",I372="□"),"tokusin_jyusho_code:0:tokusin_yakuzai_code:0:shuudan_comu_code:0",IF(I371="■","tokusin_jyusho_code:2","tokusin_jyusho_code:1")
&amp;IF(P371="■",":tokusin_yakuzai_code:2",":tokusin_yakuzai_code:1")
&amp;IF(I372="■",":shuudan_comu_code:2",":shuudan_comu_code:1"))</f>
        <v>23:tokusin_jyusho_code:0:tokusin_yakuzai_code:0:shuudan_comu_code:0</v>
      </c>
    </row>
    <row r="372" spans="1:36" s="3056" customFormat="1" ht="18.75" hidden="1" customHeight="1">
      <c r="A372" s="735"/>
      <c r="B372" s="1407"/>
      <c r="C372" s="1303"/>
      <c r="D372" s="1304"/>
      <c r="E372" s="1305"/>
      <c r="F372" s="1304"/>
      <c r="G372" s="1275" t="s">
        <v>2411</v>
      </c>
      <c r="H372" s="1542"/>
      <c r="I372" s="3063" t="s">
        <v>121</v>
      </c>
      <c r="J372" s="1296" t="s">
        <v>2318</v>
      </c>
      <c r="K372" s="1330"/>
      <c r="L372" s="1330"/>
      <c r="M372" s="1330"/>
      <c r="N372" s="1330"/>
      <c r="O372" s="1330"/>
      <c r="P372" s="1330"/>
      <c r="Q372" s="1403"/>
      <c r="R372" s="1330"/>
      <c r="S372" s="1330"/>
      <c r="T372" s="1330"/>
      <c r="U372" s="1330"/>
      <c r="V372" s="1330"/>
      <c r="W372" s="1330"/>
      <c r="X372" s="1356"/>
      <c r="Y372" s="1295"/>
      <c r="Z372" s="1292"/>
      <c r="AA372" s="1292"/>
      <c r="AB372" s="1293"/>
      <c r="AC372" s="3203"/>
      <c r="AD372" s="3202"/>
      <c r="AE372" s="3202"/>
      <c r="AF372" s="3201"/>
    </row>
    <row r="373" spans="1:36" s="3056" customFormat="1" ht="18.75" hidden="1" customHeight="1">
      <c r="A373" s="735"/>
      <c r="B373" s="1407"/>
      <c r="C373" s="1303"/>
      <c r="D373" s="1304"/>
      <c r="E373" s="1305"/>
      <c r="F373" s="3122" t="s">
        <v>121</v>
      </c>
      <c r="G373" s="1275" t="s">
        <v>2294</v>
      </c>
      <c r="H373" s="1313" t="s">
        <v>1265</v>
      </c>
      <c r="I373" s="3066" t="s">
        <v>121</v>
      </c>
      <c r="J373" s="1298" t="s">
        <v>1230</v>
      </c>
      <c r="K373" s="1298"/>
      <c r="L373" s="3065" t="s">
        <v>121</v>
      </c>
      <c r="M373" s="1298" t="s">
        <v>1256</v>
      </c>
      <c r="N373" s="1298"/>
      <c r="O373" s="3065" t="s">
        <v>121</v>
      </c>
      <c r="P373" s="1298" t="s">
        <v>1257</v>
      </c>
      <c r="Q373" s="1307"/>
      <c r="R373" s="1307"/>
      <c r="S373" s="1307"/>
      <c r="T373" s="1307"/>
      <c r="U373" s="1314"/>
      <c r="V373" s="1314"/>
      <c r="W373" s="1314"/>
      <c r="X373" s="1315"/>
      <c r="Y373" s="1295"/>
      <c r="Z373" s="1292"/>
      <c r="AA373" s="1292"/>
      <c r="AB373" s="1293"/>
      <c r="AC373" s="3203"/>
      <c r="AD373" s="3202"/>
      <c r="AE373" s="3202"/>
      <c r="AF373" s="3201"/>
      <c r="AI373" s="3056" t="str">
        <f>"23:field225:" &amp; IF(I373="■",1,IF(L373="■",2,IF(O373="■",3,0)))</f>
        <v>23:field225:0</v>
      </c>
    </row>
    <row r="374" spans="1:36" s="3056" customFormat="1" ht="18.75" hidden="1" customHeight="1">
      <c r="A374" s="735"/>
      <c r="B374" s="1407"/>
      <c r="C374" s="1303"/>
      <c r="D374" s="1304"/>
      <c r="E374" s="1305"/>
      <c r="F374" s="1304"/>
      <c r="G374" s="1275"/>
      <c r="H374" s="1541" t="s">
        <v>1280</v>
      </c>
      <c r="I374" s="3137" t="s">
        <v>121</v>
      </c>
      <c r="J374" s="1290" t="s">
        <v>2317</v>
      </c>
      <c r="K374" s="1328"/>
      <c r="L374" s="1329"/>
      <c r="M374" s="3136" t="s">
        <v>121</v>
      </c>
      <c r="N374" s="1290" t="s">
        <v>2316</v>
      </c>
      <c r="O374" s="1314"/>
      <c r="P374" s="1314"/>
      <c r="Q374" s="3136" t="s">
        <v>121</v>
      </c>
      <c r="R374" s="1290" t="s">
        <v>2315</v>
      </c>
      <c r="S374" s="1314"/>
      <c r="T374" s="1314"/>
      <c r="U374" s="1314"/>
      <c r="V374" s="1314"/>
      <c r="W374" s="1314"/>
      <c r="X374" s="1315"/>
      <c r="Y374" s="1295"/>
      <c r="Z374" s="1292"/>
      <c r="AA374" s="1292"/>
      <c r="AB374" s="1293"/>
      <c r="AC374" s="3203"/>
      <c r="AD374" s="3202"/>
      <c r="AE374" s="3202"/>
      <c r="AF374" s="3201"/>
      <c r="AI374" s="3056" t="str">
        <f>"23:"&amp;IF(AND(I374="□",M374="□",Q374="□",I375="□",Q375="□"),"koriha_rryoho1_code:0:koriha_sryoho_code:0:koriha_gengo_code:0:riha_seisin_code:0:koriha_other_code:0",IF(I374="■","koriha_rryoho1_code:2","koriha_rryoho1_code:1")
&amp;IF(M374="■",":koriha_sryoho_code:2",":koriha_sryoho_code:1")
&amp;IF(Q374="■",":koriha_gengo_code:2",":koriha_gengo_code:1")
&amp;IF(I375="■",":riha_seisin_code:2",":riha_seisin_code:1")
&amp;IF(Q375="■",":koriha_other_code:2",":koriha_other_code:1"))</f>
        <v>23:koriha_rryoho1_code:0:koriha_sryoho_code:0:koriha_gengo_code:0:riha_seisin_code:0:koriha_other_code:0</v>
      </c>
    </row>
    <row r="375" spans="1:36" s="3056" customFormat="1" ht="18.75" hidden="1" customHeight="1">
      <c r="A375" s="735"/>
      <c r="B375" s="1407"/>
      <c r="C375" s="1303"/>
      <c r="D375" s="1304"/>
      <c r="E375" s="1305"/>
      <c r="F375" s="1289"/>
      <c r="G375" s="1275"/>
      <c r="H375" s="1542"/>
      <c r="I375" s="3063" t="s">
        <v>121</v>
      </c>
      <c r="J375" s="1296" t="s">
        <v>2314</v>
      </c>
      <c r="K375" s="1330"/>
      <c r="L375" s="1330"/>
      <c r="M375" s="1330"/>
      <c r="N375" s="1330"/>
      <c r="O375" s="1330"/>
      <c r="P375" s="1330"/>
      <c r="Q375" s="3062" t="s">
        <v>121</v>
      </c>
      <c r="R375" s="1296" t="s">
        <v>2313</v>
      </c>
      <c r="S375" s="1403"/>
      <c r="T375" s="1330"/>
      <c r="U375" s="1330"/>
      <c r="V375" s="1330"/>
      <c r="W375" s="1330"/>
      <c r="X375" s="1356"/>
      <c r="Y375" s="1295"/>
      <c r="Z375" s="1292"/>
      <c r="AA375" s="1292"/>
      <c r="AB375" s="1293"/>
      <c r="AC375" s="3203"/>
      <c r="AD375" s="3202"/>
      <c r="AE375" s="3202"/>
      <c r="AF375" s="3201"/>
    </row>
    <row r="376" spans="1:36" s="3056" customFormat="1" ht="18.75" hidden="1" customHeight="1">
      <c r="A376" s="735"/>
      <c r="B376" s="1407"/>
      <c r="C376" s="1303"/>
      <c r="D376" s="1304"/>
      <c r="E376" s="1305"/>
      <c r="F376" s="1289"/>
      <c r="G376" s="1275"/>
      <c r="H376" s="1312" t="s">
        <v>1266</v>
      </c>
      <c r="I376" s="3066" t="s">
        <v>121</v>
      </c>
      <c r="J376" s="1298" t="s">
        <v>1230</v>
      </c>
      <c r="K376" s="1298"/>
      <c r="L376" s="3065" t="s">
        <v>121</v>
      </c>
      <c r="M376" s="1298" t="s">
        <v>1267</v>
      </c>
      <c r="N376" s="1298"/>
      <c r="O376" s="3065" t="s">
        <v>121</v>
      </c>
      <c r="P376" s="1298" t="s">
        <v>1268</v>
      </c>
      <c r="Q376" s="1326"/>
      <c r="R376" s="3065" t="s">
        <v>121</v>
      </c>
      <c r="S376" s="1298" t="s">
        <v>1269</v>
      </c>
      <c r="T376" s="1326"/>
      <c r="U376" s="1326"/>
      <c r="V376" s="1326"/>
      <c r="W376" s="1326"/>
      <c r="X376" s="1327"/>
      <c r="Y376" s="1295"/>
      <c r="Z376" s="1292"/>
      <c r="AA376" s="1292"/>
      <c r="AB376" s="1293"/>
      <c r="AC376" s="3203"/>
      <c r="AD376" s="3202"/>
      <c r="AE376" s="3202"/>
      <c r="AF376" s="3201"/>
      <c r="AI376" s="3056" t="str">
        <f>"23:serteikyo_kyoka_code:" &amp; IF(I376="■",1,IF(L376="■",6,IF(O376="■",5,IF(R376="■",7,0))))</f>
        <v>23:serteikyo_kyoka_code:0</v>
      </c>
    </row>
    <row r="377" spans="1:36" s="3056" customFormat="1" ht="18.75" hidden="1" customHeight="1">
      <c r="A377" s="735"/>
      <c r="B377" s="1407"/>
      <c r="C377" s="1303"/>
      <c r="D377" s="1304"/>
      <c r="E377" s="1305"/>
      <c r="F377" s="1289"/>
      <c r="G377" s="1275"/>
      <c r="H377" s="1539" t="s">
        <v>2390</v>
      </c>
      <c r="I377" s="3162" t="s">
        <v>121</v>
      </c>
      <c r="J377" s="3161" t="s">
        <v>1230</v>
      </c>
      <c r="K377" s="3161"/>
      <c r="L377" s="3160" t="s">
        <v>121</v>
      </c>
      <c r="M377" s="3161" t="s">
        <v>1248</v>
      </c>
      <c r="N377" s="3161"/>
      <c r="O377" s="1290"/>
      <c r="P377" s="1290"/>
      <c r="Q377" s="1290"/>
      <c r="R377" s="1290"/>
      <c r="S377" s="1290"/>
      <c r="T377" s="1290"/>
      <c r="U377" s="1290"/>
      <c r="V377" s="1290"/>
      <c r="W377" s="1290"/>
      <c r="X377" s="1331"/>
      <c r="Y377" s="1295"/>
      <c r="Z377" s="1292"/>
      <c r="AA377" s="1292"/>
      <c r="AB377" s="1293"/>
      <c r="AC377" s="3203"/>
      <c r="AD377" s="3202"/>
      <c r="AE377" s="3202"/>
      <c r="AF377" s="3201"/>
      <c r="AI377" s="3056" t="str">
        <f>"23:field221:" &amp; IF(I377="■",1,IF(L377="■",2,0))</f>
        <v>23:field221:0</v>
      </c>
    </row>
    <row r="378" spans="1:36" s="3056" customFormat="1" ht="18.75" hidden="1" customHeight="1">
      <c r="A378" s="735"/>
      <c r="B378" s="1407"/>
      <c r="C378" s="1303"/>
      <c r="D378" s="1304"/>
      <c r="E378" s="1305"/>
      <c r="F378" s="1289"/>
      <c r="G378" s="1275"/>
      <c r="H378" s="1540"/>
      <c r="I378" s="3162"/>
      <c r="J378" s="3161"/>
      <c r="K378" s="3161"/>
      <c r="L378" s="3160"/>
      <c r="M378" s="3161"/>
      <c r="N378" s="3161"/>
      <c r="O378" s="1296"/>
      <c r="P378" s="1296"/>
      <c r="Q378" s="1296"/>
      <c r="R378" s="1296"/>
      <c r="S378" s="1296"/>
      <c r="T378" s="1296"/>
      <c r="U378" s="1296"/>
      <c r="V378" s="1296"/>
      <c r="W378" s="1296"/>
      <c r="X378" s="1332"/>
      <c r="Y378" s="1295"/>
      <c r="Z378" s="1292"/>
      <c r="AA378" s="1292"/>
      <c r="AB378" s="1293"/>
      <c r="AC378" s="3203"/>
      <c r="AD378" s="3202"/>
      <c r="AE378" s="3202"/>
      <c r="AF378" s="3201"/>
    </row>
    <row r="379" spans="1:36" s="3056" customFormat="1" ht="18.75" hidden="1" customHeight="1">
      <c r="A379" s="736"/>
      <c r="B379" s="1316"/>
      <c r="C379" s="1346"/>
      <c r="D379" s="1348"/>
      <c r="E379" s="1317"/>
      <c r="F379" s="1318"/>
      <c r="G379" s="1361"/>
      <c r="H379" s="3134" t="s">
        <v>2288</v>
      </c>
      <c r="I379" s="3060" t="s">
        <v>121</v>
      </c>
      <c r="J379" s="3130" t="s">
        <v>1230</v>
      </c>
      <c r="K379" s="3130"/>
      <c r="L379" s="3059" t="s">
        <v>121</v>
      </c>
      <c r="M379" s="3130" t="s">
        <v>2287</v>
      </c>
      <c r="N379" s="3133"/>
      <c r="O379" s="3059" t="s">
        <v>121</v>
      </c>
      <c r="P379" s="3132" t="s">
        <v>2286</v>
      </c>
      <c r="Q379" s="3131"/>
      <c r="R379" s="3059" t="s">
        <v>121</v>
      </c>
      <c r="S379" s="3130" t="s">
        <v>2285</v>
      </c>
      <c r="T379" s="3131"/>
      <c r="U379" s="3059" t="s">
        <v>121</v>
      </c>
      <c r="V379" s="3130" t="s">
        <v>2284</v>
      </c>
      <c r="W379" s="3129"/>
      <c r="X379" s="3128"/>
      <c r="Y379" s="1323"/>
      <c r="Z379" s="1323"/>
      <c r="AA379" s="1323"/>
      <c r="AB379" s="1324"/>
      <c r="AC379" s="3200"/>
      <c r="AD379" s="3199"/>
      <c r="AE379" s="3199"/>
      <c r="AF379" s="3198"/>
      <c r="AI379" s="3056" t="str">
        <f>"23:shoguukaizen_code:"&amp;IF(I379="■",1,IF(L379="■",7,IF(O379="■",8,IF(R379="■",9,IF(U379="■","A",0)))))</f>
        <v>23:shoguukaizen_code:0</v>
      </c>
    </row>
    <row r="380" spans="1:36" s="3056" customFormat="1" ht="18.75" hidden="1" customHeight="1">
      <c r="A380" s="1276"/>
      <c r="B380" s="1405"/>
      <c r="C380" s="1333"/>
      <c r="D380" s="1335"/>
      <c r="E380" s="1351"/>
      <c r="F380" s="1335"/>
      <c r="G380" s="1272"/>
      <c r="H380" s="1408" t="s">
        <v>91</v>
      </c>
      <c r="I380" s="3074" t="s">
        <v>121</v>
      </c>
      <c r="J380" s="1280" t="s">
        <v>1239</v>
      </c>
      <c r="K380" s="1281"/>
      <c r="L380" s="1282"/>
      <c r="M380" s="3073" t="s">
        <v>121</v>
      </c>
      <c r="N380" s="1280" t="s">
        <v>1240</v>
      </c>
      <c r="O380" s="1284"/>
      <c r="P380" s="1284"/>
      <c r="Q380" s="1284"/>
      <c r="R380" s="1284"/>
      <c r="S380" s="1284"/>
      <c r="T380" s="1284"/>
      <c r="U380" s="1284"/>
      <c r="V380" s="1284"/>
      <c r="W380" s="1284"/>
      <c r="X380" s="1325"/>
      <c r="Y380" s="3119" t="s">
        <v>121</v>
      </c>
      <c r="Z380" s="1270" t="s">
        <v>1229</v>
      </c>
      <c r="AA380" s="1270"/>
      <c r="AB380" s="1286"/>
      <c r="AC380" s="1543"/>
      <c r="AD380" s="1543"/>
      <c r="AE380" s="1543"/>
      <c r="AF380" s="1543"/>
      <c r="AG380" s="3056" t="str">
        <f>"ser_code = '" &amp; IF(A389="■",23,"") &amp; "'"</f>
        <v>ser_code = ''</v>
      </c>
      <c r="AH380" s="3056" t="str">
        <f>"23:jininkbn_code:"&amp;IF(F387="■",1,IF(F389="■",2,IF(F391="■",3,0)))</f>
        <v>23:jininkbn_code:0</v>
      </c>
      <c r="AI380" s="3056" t="str">
        <f>"23:unitcare_code:" &amp; IF(I380="■",1,IF(M380="■",2,0))</f>
        <v>23:unitcare_code:0</v>
      </c>
      <c r="AJ380" s="3056" t="str">
        <f>"23:field203:" &amp; IF(Y380="■",1,IF(Y381="■",2,0))</f>
        <v>23:field203:0</v>
      </c>
    </row>
    <row r="381" spans="1:36" s="3056" customFormat="1" ht="18.75" hidden="1" customHeight="1">
      <c r="A381" s="735"/>
      <c r="B381" s="1407"/>
      <c r="C381" s="1287"/>
      <c r="D381" s="1288"/>
      <c r="E381" s="1275"/>
      <c r="F381" s="1289"/>
      <c r="G381" s="1305"/>
      <c r="H381" s="3193" t="s">
        <v>1241</v>
      </c>
      <c r="I381" s="3096" t="s">
        <v>121</v>
      </c>
      <c r="J381" s="3091" t="s">
        <v>1242</v>
      </c>
      <c r="K381" s="3095"/>
      <c r="L381" s="3094"/>
      <c r="M381" s="3093" t="s">
        <v>121</v>
      </c>
      <c r="N381" s="3091" t="s">
        <v>1243</v>
      </c>
      <c r="O381" s="3095"/>
      <c r="P381" s="3192"/>
      <c r="Q381" s="3192"/>
      <c r="R381" s="3192"/>
      <c r="S381" s="3192"/>
      <c r="T381" s="3192"/>
      <c r="U381" s="3192"/>
      <c r="V381" s="3192"/>
      <c r="W381" s="3192"/>
      <c r="X381" s="3191"/>
      <c r="Y381" s="3122" t="s">
        <v>121</v>
      </c>
      <c r="Z381" s="1273" t="s">
        <v>1234</v>
      </c>
      <c r="AA381" s="1292"/>
      <c r="AB381" s="1293"/>
      <c r="AC381" s="1562"/>
      <c r="AD381" s="1562"/>
      <c r="AE381" s="1562"/>
      <c r="AF381" s="1562"/>
      <c r="AG381" s="3056" t="str">
        <f>"23:sisetukbn_code:"&amp;IF(D389="■","7",0)</f>
        <v>23:sisetukbn_code:0</v>
      </c>
      <c r="AI381" s="3056" t="str">
        <f>"23:sintaikousoku_code:" &amp; IF(I381="■",1,IF(M381="■",2,0))</f>
        <v>23:sintaikousoku_code:0</v>
      </c>
    </row>
    <row r="382" spans="1:36" s="3056" customFormat="1" ht="19.5" hidden="1" customHeight="1">
      <c r="A382" s="735"/>
      <c r="B382" s="1407"/>
      <c r="C382" s="1303"/>
      <c r="D382" s="1304"/>
      <c r="E382" s="1275"/>
      <c r="F382" s="1289"/>
      <c r="G382" s="1305"/>
      <c r="H382" s="1306" t="s">
        <v>1244</v>
      </c>
      <c r="I382" s="3066" t="s">
        <v>121</v>
      </c>
      <c r="J382" s="1298" t="s">
        <v>1242</v>
      </c>
      <c r="K382" s="1299"/>
      <c r="L382" s="1300"/>
      <c r="M382" s="3065" t="s">
        <v>121</v>
      </c>
      <c r="N382" s="1298" t="s">
        <v>1245</v>
      </c>
      <c r="O382" s="1301"/>
      <c r="P382" s="1298"/>
      <c r="Q382" s="1307"/>
      <c r="R382" s="1307"/>
      <c r="S382" s="1307"/>
      <c r="T382" s="1307"/>
      <c r="U382" s="1307"/>
      <c r="V382" s="1307"/>
      <c r="W382" s="1307"/>
      <c r="X382" s="1308"/>
      <c r="Y382" s="1413"/>
      <c r="Z382" s="1273"/>
      <c r="AA382" s="1292"/>
      <c r="AB382" s="1293"/>
      <c r="AC382" s="1562"/>
      <c r="AD382" s="1562"/>
      <c r="AE382" s="1562"/>
      <c r="AF382" s="1562"/>
      <c r="AI382" s="3056" t="str">
        <f>"23:field223:" &amp; IF(I382="■",1,IF(M382="■",2,0))</f>
        <v>23:field223:0</v>
      </c>
    </row>
    <row r="383" spans="1:36" s="3056" customFormat="1" ht="19.5" hidden="1" customHeight="1">
      <c r="A383" s="735"/>
      <c r="B383" s="1407"/>
      <c r="C383" s="1303"/>
      <c r="D383" s="1304"/>
      <c r="E383" s="1275"/>
      <c r="F383" s="1289"/>
      <c r="G383" s="1305"/>
      <c r="H383" s="1306" t="s">
        <v>1246</v>
      </c>
      <c r="I383" s="3066" t="s">
        <v>121</v>
      </c>
      <c r="J383" s="1298" t="s">
        <v>1242</v>
      </c>
      <c r="K383" s="1299"/>
      <c r="L383" s="1300"/>
      <c r="M383" s="3065" t="s">
        <v>121</v>
      </c>
      <c r="N383" s="1298" t="s">
        <v>1245</v>
      </c>
      <c r="O383" s="1301"/>
      <c r="P383" s="1298"/>
      <c r="Q383" s="1307"/>
      <c r="R383" s="1307"/>
      <c r="S383" s="1307"/>
      <c r="T383" s="1307"/>
      <c r="U383" s="1307"/>
      <c r="V383" s="1307"/>
      <c r="W383" s="1307"/>
      <c r="X383" s="1308"/>
      <c r="Y383" s="1413"/>
      <c r="Z383" s="1273"/>
      <c r="AA383" s="1292"/>
      <c r="AB383" s="1293"/>
      <c r="AC383" s="1562"/>
      <c r="AD383" s="1562"/>
      <c r="AE383" s="1562"/>
      <c r="AF383" s="1562"/>
      <c r="AI383" s="3056" t="str">
        <f>"23:field232:" &amp; IF(I383="■",1,IF(M383="■",2,0))</f>
        <v>23:field232:0</v>
      </c>
    </row>
    <row r="384" spans="1:36" s="3056" customFormat="1" ht="18.75" hidden="1" customHeight="1">
      <c r="A384" s="735"/>
      <c r="B384" s="1407"/>
      <c r="C384" s="1303"/>
      <c r="D384" s="1304"/>
      <c r="E384" s="1305"/>
      <c r="F384" s="1304"/>
      <c r="G384" s="1275"/>
      <c r="H384" s="1409" t="s">
        <v>2410</v>
      </c>
      <c r="I384" s="3066" t="s">
        <v>121</v>
      </c>
      <c r="J384" s="1298" t="s">
        <v>1227</v>
      </c>
      <c r="K384" s="1299"/>
      <c r="L384" s="1300"/>
      <c r="M384" s="3065" t="s">
        <v>121</v>
      </c>
      <c r="N384" s="1298" t="s">
        <v>2291</v>
      </c>
      <c r="O384" s="1307"/>
      <c r="P384" s="1307"/>
      <c r="Q384" s="1307"/>
      <c r="R384" s="1307"/>
      <c r="S384" s="1307"/>
      <c r="T384" s="1307"/>
      <c r="U384" s="1307"/>
      <c r="V384" s="1307"/>
      <c r="W384" s="1307"/>
      <c r="X384" s="1308"/>
      <c r="Y384" s="1295"/>
      <c r="Z384" s="1292"/>
      <c r="AA384" s="1292"/>
      <c r="AB384" s="1293"/>
      <c r="AC384" s="1544"/>
      <c r="AD384" s="1544"/>
      <c r="AE384" s="1544"/>
      <c r="AF384" s="1544"/>
      <c r="AI384" s="3056" t="str">
        <f>"23:setubi_kijyun_code:" &amp; IF(I384="■",1,IF(M384="■",2,0))</f>
        <v>23:setubi_kijyun_code:0</v>
      </c>
    </row>
    <row r="385" spans="1:36" s="3056" customFormat="1" ht="18.75" hidden="1" customHeight="1">
      <c r="A385" s="735"/>
      <c r="B385" s="1407"/>
      <c r="C385" s="1303"/>
      <c r="D385" s="1304"/>
      <c r="E385" s="1305"/>
      <c r="F385" s="1304"/>
      <c r="G385" s="1275"/>
      <c r="H385" s="1409" t="s">
        <v>2409</v>
      </c>
      <c r="I385" s="3066" t="s">
        <v>121</v>
      </c>
      <c r="J385" s="1298" t="s">
        <v>1227</v>
      </c>
      <c r="K385" s="1299"/>
      <c r="L385" s="1300"/>
      <c r="M385" s="3065" t="s">
        <v>121</v>
      </c>
      <c r="N385" s="1298" t="s">
        <v>2291</v>
      </c>
      <c r="O385" s="1307"/>
      <c r="P385" s="1307"/>
      <c r="Q385" s="1307"/>
      <c r="R385" s="1307"/>
      <c r="S385" s="1307"/>
      <c r="T385" s="1307"/>
      <c r="U385" s="1307"/>
      <c r="V385" s="1307"/>
      <c r="W385" s="1307"/>
      <c r="X385" s="1308"/>
      <c r="Y385" s="1295"/>
      <c r="Z385" s="1292"/>
      <c r="AA385" s="1292"/>
      <c r="AB385" s="1293"/>
      <c r="AC385" s="1544"/>
      <c r="AD385" s="1544"/>
      <c r="AE385" s="1544"/>
      <c r="AF385" s="1544"/>
      <c r="AI385" s="3056" t="str">
        <f>"23:field163:" &amp; IF(I385="■",1,IF(M385="■",2,0))</f>
        <v>23:field163:0</v>
      </c>
    </row>
    <row r="386" spans="1:36" s="3056" customFormat="1" ht="18.75" hidden="1" customHeight="1">
      <c r="A386" s="735"/>
      <c r="B386" s="1407"/>
      <c r="C386" s="1303"/>
      <c r="D386" s="1304"/>
      <c r="E386" s="1305"/>
      <c r="F386" s="1304"/>
      <c r="G386" s="1275"/>
      <c r="H386" s="1409" t="s">
        <v>1305</v>
      </c>
      <c r="I386" s="3066" t="s">
        <v>121</v>
      </c>
      <c r="J386" s="1298" t="s">
        <v>1230</v>
      </c>
      <c r="K386" s="1299"/>
      <c r="L386" s="3065" t="s">
        <v>121</v>
      </c>
      <c r="M386" s="1298" t="s">
        <v>1248</v>
      </c>
      <c r="N386" s="1307"/>
      <c r="O386" s="1307"/>
      <c r="P386" s="1307"/>
      <c r="Q386" s="1299"/>
      <c r="R386" s="1307"/>
      <c r="S386" s="1307"/>
      <c r="T386" s="1307"/>
      <c r="U386" s="1307"/>
      <c r="V386" s="1307"/>
      <c r="W386" s="1307"/>
      <c r="X386" s="1308"/>
      <c r="Y386" s="1295"/>
      <c r="Z386" s="1292"/>
      <c r="AA386" s="1292"/>
      <c r="AB386" s="1293"/>
      <c r="AC386" s="1544"/>
      <c r="AD386" s="1544"/>
      <c r="AE386" s="1544"/>
      <c r="AF386" s="1544"/>
      <c r="AI386" s="3056" t="str">
        <f>"23:jyakuninti_uke_code:" &amp; IF(I386="■",1,IF(L386="■",2,0))</f>
        <v>23:jyakuninti_uke_code:0</v>
      </c>
    </row>
    <row r="387" spans="1:36" s="3056" customFormat="1" ht="18.75" hidden="1" customHeight="1">
      <c r="A387" s="735"/>
      <c r="B387" s="1407"/>
      <c r="C387" s="1303"/>
      <c r="D387" s="1304"/>
      <c r="E387" s="1305"/>
      <c r="F387" s="3122" t="s">
        <v>121</v>
      </c>
      <c r="G387" s="1275" t="s">
        <v>2408</v>
      </c>
      <c r="H387" s="1409" t="s">
        <v>1324</v>
      </c>
      <c r="I387" s="3066" t="s">
        <v>121</v>
      </c>
      <c r="J387" s="1298" t="s">
        <v>1239</v>
      </c>
      <c r="K387" s="1299"/>
      <c r="L387" s="1300"/>
      <c r="M387" s="3065" t="s">
        <v>121</v>
      </c>
      <c r="N387" s="1298" t="s">
        <v>1240</v>
      </c>
      <c r="O387" s="1307"/>
      <c r="P387" s="1307"/>
      <c r="Q387" s="1299"/>
      <c r="R387" s="1307"/>
      <c r="S387" s="1307"/>
      <c r="T387" s="1307"/>
      <c r="U387" s="1307"/>
      <c r="V387" s="1307"/>
      <c r="W387" s="1307"/>
      <c r="X387" s="1308"/>
      <c r="Y387" s="1295"/>
      <c r="Z387" s="1292"/>
      <c r="AA387" s="1292"/>
      <c r="AB387" s="1293"/>
      <c r="AC387" s="1544"/>
      <c r="AD387" s="1544"/>
      <c r="AE387" s="1544"/>
      <c r="AF387" s="1544"/>
      <c r="AI387" s="3056" t="str">
        <f>"23:sougei_code:" &amp; IF(I387="■",1,IF(M387="■",2,0))</f>
        <v>23:sougei_code:0</v>
      </c>
    </row>
    <row r="388" spans="1:36" s="3056" customFormat="1" ht="19.5" hidden="1" customHeight="1">
      <c r="A388" s="735"/>
      <c r="B388" s="1407"/>
      <c r="C388" s="1303"/>
      <c r="D388" s="1304"/>
      <c r="E388" s="1305"/>
      <c r="F388" s="1304"/>
      <c r="G388" s="1275" t="s">
        <v>2407</v>
      </c>
      <c r="H388" s="1306" t="s">
        <v>1325</v>
      </c>
      <c r="I388" s="3066" t="s">
        <v>121</v>
      </c>
      <c r="J388" s="1298" t="s">
        <v>1230</v>
      </c>
      <c r="K388" s="1298"/>
      <c r="L388" s="3065" t="s">
        <v>121</v>
      </c>
      <c r="M388" s="1298" t="s">
        <v>1248</v>
      </c>
      <c r="N388" s="1298"/>
      <c r="O388" s="1307"/>
      <c r="P388" s="1298"/>
      <c r="Q388" s="1307"/>
      <c r="R388" s="1307"/>
      <c r="S388" s="1307"/>
      <c r="T388" s="1307"/>
      <c r="U388" s="1307"/>
      <c r="V388" s="1307"/>
      <c r="W388" s="1307"/>
      <c r="X388" s="1308"/>
      <c r="Y388" s="1292"/>
      <c r="Z388" s="1292"/>
      <c r="AA388" s="1292"/>
      <c r="AB388" s="1293"/>
      <c r="AC388" s="1544"/>
      <c r="AD388" s="1544"/>
      <c r="AE388" s="1544"/>
      <c r="AF388" s="1544"/>
      <c r="AI388" s="3056" t="str">
        <f>"23:field224:" &amp; IF(I388="■",1,IF(L388="■",2,0))</f>
        <v>23:field224:0</v>
      </c>
    </row>
    <row r="389" spans="1:36" s="3056" customFormat="1" ht="18.75" hidden="1" customHeight="1">
      <c r="A389" s="3069" t="s">
        <v>121</v>
      </c>
      <c r="B389" s="1407">
        <v>23</v>
      </c>
      <c r="C389" s="1303" t="s">
        <v>1321</v>
      </c>
      <c r="D389" s="3122" t="s">
        <v>121</v>
      </c>
      <c r="E389" s="1305" t="s">
        <v>2406</v>
      </c>
      <c r="F389" s="3122" t="s">
        <v>121</v>
      </c>
      <c r="G389" s="1275" t="s">
        <v>2405</v>
      </c>
      <c r="H389" s="1409" t="s">
        <v>145</v>
      </c>
      <c r="I389" s="3066" t="s">
        <v>121</v>
      </c>
      <c r="J389" s="1298" t="s">
        <v>1230</v>
      </c>
      <c r="K389" s="1299"/>
      <c r="L389" s="3065" t="s">
        <v>121</v>
      </c>
      <c r="M389" s="1298" t="s">
        <v>1248</v>
      </c>
      <c r="N389" s="1307"/>
      <c r="O389" s="1307"/>
      <c r="P389" s="1307"/>
      <c r="Q389" s="1299"/>
      <c r="R389" s="1307"/>
      <c r="S389" s="1307"/>
      <c r="T389" s="1307"/>
      <c r="U389" s="1307"/>
      <c r="V389" s="1307"/>
      <c r="W389" s="1307"/>
      <c r="X389" s="1308"/>
      <c r="Y389" s="1295"/>
      <c r="Z389" s="1292"/>
      <c r="AA389" s="1292"/>
      <c r="AB389" s="1293"/>
      <c r="AC389" s="1544"/>
      <c r="AD389" s="1544"/>
      <c r="AE389" s="1544"/>
      <c r="AF389" s="1544"/>
      <c r="AI389" s="3056" t="str">
        <f>"23:ryouyoushoku_code:" &amp; IF(I389="■",1,IF(L389="■",2,0))</f>
        <v>23:ryouyoushoku_code:0</v>
      </c>
    </row>
    <row r="390" spans="1:36" s="3056" customFormat="1" ht="18.75" hidden="1" customHeight="1">
      <c r="A390" s="735"/>
      <c r="B390" s="1407"/>
      <c r="C390" s="1303"/>
      <c r="D390" s="1412"/>
      <c r="E390" s="1305"/>
      <c r="F390" s="1304"/>
      <c r="G390" s="1275" t="s">
        <v>2404</v>
      </c>
      <c r="H390" s="1409" t="s">
        <v>1326</v>
      </c>
      <c r="I390" s="3066" t="s">
        <v>121</v>
      </c>
      <c r="J390" s="1298" t="s">
        <v>1230</v>
      </c>
      <c r="K390" s="1298"/>
      <c r="L390" s="3065" t="s">
        <v>121</v>
      </c>
      <c r="M390" s="1298" t="s">
        <v>1256</v>
      </c>
      <c r="N390" s="1298"/>
      <c r="O390" s="3065" t="s">
        <v>121</v>
      </c>
      <c r="P390" s="1298" t="s">
        <v>1257</v>
      </c>
      <c r="Q390" s="1307"/>
      <c r="R390" s="1307"/>
      <c r="S390" s="1307"/>
      <c r="T390" s="1307"/>
      <c r="U390" s="1307"/>
      <c r="V390" s="1307"/>
      <c r="W390" s="1307"/>
      <c r="X390" s="1308"/>
      <c r="Y390" s="1295"/>
      <c r="Z390" s="1292"/>
      <c r="AA390" s="1292"/>
      <c r="AB390" s="1293"/>
      <c r="AC390" s="1544"/>
      <c r="AD390" s="1544"/>
      <c r="AE390" s="1544"/>
      <c r="AF390" s="1544"/>
      <c r="AI390" s="3056" t="str">
        <f>"23:ninti_senmoncare_code:" &amp; IF(I390="■",1,IF(O390="■",3,IF(L390="■",2,0)))</f>
        <v>23:ninti_senmoncare_code:0</v>
      </c>
    </row>
    <row r="391" spans="1:36" s="3056" customFormat="1" ht="18.75" hidden="1" customHeight="1">
      <c r="A391" s="735"/>
      <c r="B391" s="1407"/>
      <c r="C391" s="1303"/>
      <c r="D391" s="1304"/>
      <c r="E391" s="1305"/>
      <c r="F391" s="3122" t="s">
        <v>121</v>
      </c>
      <c r="G391" s="1275" t="s">
        <v>2403</v>
      </c>
      <c r="H391" s="1313" t="s">
        <v>1265</v>
      </c>
      <c r="I391" s="3066" t="s">
        <v>121</v>
      </c>
      <c r="J391" s="1298" t="s">
        <v>1230</v>
      </c>
      <c r="K391" s="1298"/>
      <c r="L391" s="3065" t="s">
        <v>121</v>
      </c>
      <c r="M391" s="1298" t="s">
        <v>1256</v>
      </c>
      <c r="N391" s="1298"/>
      <c r="O391" s="3065" t="s">
        <v>121</v>
      </c>
      <c r="P391" s="1298" t="s">
        <v>1257</v>
      </c>
      <c r="Q391" s="1307"/>
      <c r="R391" s="1307"/>
      <c r="S391" s="1307"/>
      <c r="T391" s="1307"/>
      <c r="U391" s="1314"/>
      <c r="V391" s="1314"/>
      <c r="W391" s="1314"/>
      <c r="X391" s="1315"/>
      <c r="Y391" s="1295"/>
      <c r="Z391" s="1292"/>
      <c r="AA391" s="1292"/>
      <c r="AB391" s="1293"/>
      <c r="AC391" s="1544"/>
      <c r="AD391" s="1544"/>
      <c r="AE391" s="1544"/>
      <c r="AF391" s="1544"/>
      <c r="AI391" s="3056" t="str">
        <f>"23:field225:" &amp; IF(I391="■",1,IF(L391="■",2,IF(O391="■",3,0)))</f>
        <v>23:field225:0</v>
      </c>
    </row>
    <row r="392" spans="1:36" s="3056" customFormat="1" ht="18.75" hidden="1" customHeight="1">
      <c r="A392" s="735"/>
      <c r="B392" s="1407"/>
      <c r="C392" s="1303"/>
      <c r="D392" s="1304"/>
      <c r="E392" s="1305"/>
      <c r="F392" s="1304"/>
      <c r="G392" s="1275" t="s">
        <v>2402</v>
      </c>
      <c r="H392" s="1541" t="s">
        <v>2401</v>
      </c>
      <c r="I392" s="3137" t="s">
        <v>121</v>
      </c>
      <c r="J392" s="1290" t="s">
        <v>1273</v>
      </c>
      <c r="K392" s="1290"/>
      <c r="L392" s="1314"/>
      <c r="M392" s="1314"/>
      <c r="N392" s="1314"/>
      <c r="O392" s="1314"/>
      <c r="P392" s="3136" t="s">
        <v>121</v>
      </c>
      <c r="Q392" s="1290" t="s">
        <v>1274</v>
      </c>
      <c r="R392" s="1314"/>
      <c r="S392" s="1314"/>
      <c r="T392" s="1314"/>
      <c r="U392" s="1314"/>
      <c r="V392" s="1314"/>
      <c r="W392" s="1314"/>
      <c r="X392" s="1315"/>
      <c r="Y392" s="1295"/>
      <c r="Z392" s="1292"/>
      <c r="AA392" s="1292"/>
      <c r="AB392" s="1293"/>
      <c r="AC392" s="1544"/>
      <c r="AD392" s="1544"/>
      <c r="AE392" s="1544"/>
      <c r="AF392" s="1544"/>
      <c r="AI392" s="3056" t="str">
        <f>"23:" &amp; IF(AND(I392="□",P392="□",I393="□"),"tokusin_jyusho_code:0:tokusin_yakuzai_code:0:shuudan_comu_code:0",IF(I392="■","tokusin_jyusho_code:2","tokusin_jyusho_code:1")
&amp;IF(P392="■",":tokusin_yakuzai_code:2",":tokusin_yakuzai_code:1")
&amp;IF(I393="■",":shuudan_comu_code:2",":shuudan_comu_code:1"))</f>
        <v>23:tokusin_jyusho_code:0:tokusin_yakuzai_code:0:shuudan_comu_code:0</v>
      </c>
    </row>
    <row r="393" spans="1:36" s="3056" customFormat="1" ht="18.75" hidden="1" customHeight="1">
      <c r="A393" s="735"/>
      <c r="B393" s="1407"/>
      <c r="C393" s="1303"/>
      <c r="D393" s="1304"/>
      <c r="E393" s="1305"/>
      <c r="F393" s="1304"/>
      <c r="G393" s="1275"/>
      <c r="H393" s="1542"/>
      <c r="I393" s="3063" t="s">
        <v>121</v>
      </c>
      <c r="J393" s="1296" t="s">
        <v>2318</v>
      </c>
      <c r="K393" s="1330"/>
      <c r="L393" s="1330"/>
      <c r="M393" s="1330"/>
      <c r="N393" s="1330"/>
      <c r="O393" s="1330"/>
      <c r="P393" s="1330"/>
      <c r="Q393" s="1403"/>
      <c r="R393" s="1330"/>
      <c r="S393" s="1330"/>
      <c r="T393" s="1330"/>
      <c r="U393" s="1330"/>
      <c r="V393" s="1330"/>
      <c r="W393" s="1330"/>
      <c r="X393" s="1356"/>
      <c r="Y393" s="1295"/>
      <c r="Z393" s="1292"/>
      <c r="AA393" s="1292"/>
      <c r="AB393" s="1293"/>
      <c r="AC393" s="1544"/>
      <c r="AD393" s="1544"/>
      <c r="AE393" s="1544"/>
      <c r="AF393" s="1544"/>
    </row>
    <row r="394" spans="1:36" s="3056" customFormat="1" ht="18.75" hidden="1" customHeight="1">
      <c r="A394" s="735"/>
      <c r="B394" s="1407"/>
      <c r="C394" s="1303"/>
      <c r="D394" s="1304"/>
      <c r="E394" s="1305"/>
      <c r="F394" s="1304"/>
      <c r="G394" s="1275"/>
      <c r="H394" s="1541" t="s">
        <v>2400</v>
      </c>
      <c r="I394" s="3137" t="s">
        <v>121</v>
      </c>
      <c r="J394" s="1290" t="s">
        <v>2317</v>
      </c>
      <c r="K394" s="1328"/>
      <c r="L394" s="1329"/>
      <c r="M394" s="3136" t="s">
        <v>121</v>
      </c>
      <c r="N394" s="1290" t="s">
        <v>2316</v>
      </c>
      <c r="O394" s="1314"/>
      <c r="P394" s="1314"/>
      <c r="Q394" s="3136" t="s">
        <v>121</v>
      </c>
      <c r="R394" s="1290" t="s">
        <v>2315</v>
      </c>
      <c r="S394" s="1314"/>
      <c r="T394" s="1314"/>
      <c r="U394" s="1314"/>
      <c r="V394" s="1314"/>
      <c r="W394" s="1314"/>
      <c r="X394" s="1315"/>
      <c r="Y394" s="1295"/>
      <c r="Z394" s="1292"/>
      <c r="AA394" s="1292"/>
      <c r="AB394" s="1293"/>
      <c r="AC394" s="1544"/>
      <c r="AD394" s="1544"/>
      <c r="AE394" s="1544"/>
      <c r="AF394" s="1544"/>
      <c r="AI394" s="3056" t="str">
        <f>"23:"&amp;IF(AND(I394="□",M394="□",Q394="□",I395="□",Q395="□"),"koriha_rryoho1_code:0:koriha_sryoho_code:0:koriha_gengo_code=::riha_seisin_code:0:koriha_other_code:0",IF(I394="■","koriha_rryoho1_code:2","koriha_rryoho1_code:1")
&amp;IF(M394="■",":koriha_sryoho_code:2",":koriha_sryoho_code:1")
&amp;IF(Q394="■",":koriha_gengo_code:2",":koriha_gengo_code:1")
&amp;IF(I395="■",":riha_seisin_code:2",":riha_seisin_code:1")
&amp;IF(Q395="■",":koriha_other_code:2",":koriha_other_code:1"))</f>
        <v>23:koriha_rryoho1_code:0:koriha_sryoho_code:0:koriha_gengo_code=::riha_seisin_code:0:koriha_other_code:0</v>
      </c>
    </row>
    <row r="395" spans="1:36" s="3056" customFormat="1" ht="18.75" hidden="1" customHeight="1">
      <c r="A395" s="735"/>
      <c r="B395" s="1407"/>
      <c r="C395" s="1303"/>
      <c r="D395" s="1304"/>
      <c r="E395" s="1305"/>
      <c r="F395" s="1304"/>
      <c r="G395" s="1275"/>
      <c r="H395" s="1542"/>
      <c r="I395" s="3063" t="s">
        <v>121</v>
      </c>
      <c r="J395" s="1296" t="s">
        <v>2314</v>
      </c>
      <c r="K395" s="1330"/>
      <c r="L395" s="1330"/>
      <c r="M395" s="1330"/>
      <c r="N395" s="1330"/>
      <c r="O395" s="1330"/>
      <c r="P395" s="1330"/>
      <c r="Q395" s="3062" t="s">
        <v>121</v>
      </c>
      <c r="R395" s="1296" t="s">
        <v>2313</v>
      </c>
      <c r="S395" s="1403"/>
      <c r="T395" s="1330"/>
      <c r="U395" s="1330"/>
      <c r="V395" s="1330"/>
      <c r="W395" s="1330"/>
      <c r="X395" s="1356"/>
      <c r="Y395" s="1295"/>
      <c r="Z395" s="1292"/>
      <c r="AA395" s="1292"/>
      <c r="AB395" s="1293"/>
      <c r="AC395" s="1544"/>
      <c r="AD395" s="1544"/>
      <c r="AE395" s="1544"/>
      <c r="AF395" s="1544"/>
    </row>
    <row r="396" spans="1:36" s="3056" customFormat="1" ht="18.75" hidden="1" customHeight="1">
      <c r="A396" s="735"/>
      <c r="B396" s="1407"/>
      <c r="C396" s="1303"/>
      <c r="D396" s="1304"/>
      <c r="E396" s="1305"/>
      <c r="F396" s="1304"/>
      <c r="G396" s="1275"/>
      <c r="H396" s="1312" t="s">
        <v>1266</v>
      </c>
      <c r="I396" s="3066" t="s">
        <v>121</v>
      </c>
      <c r="J396" s="1298" t="s">
        <v>1230</v>
      </c>
      <c r="K396" s="1298"/>
      <c r="L396" s="3065" t="s">
        <v>121</v>
      </c>
      <c r="M396" s="1298" t="s">
        <v>1267</v>
      </c>
      <c r="N396" s="1298"/>
      <c r="O396" s="3065" t="s">
        <v>121</v>
      </c>
      <c r="P396" s="1298" t="s">
        <v>1268</v>
      </c>
      <c r="Q396" s="1326"/>
      <c r="R396" s="3065" t="s">
        <v>121</v>
      </c>
      <c r="S396" s="1298" t="s">
        <v>1269</v>
      </c>
      <c r="T396" s="1326"/>
      <c r="U396" s="1326"/>
      <c r="V396" s="1326"/>
      <c r="W396" s="1326"/>
      <c r="X396" s="1327"/>
      <c r="Y396" s="1295"/>
      <c r="Z396" s="1292"/>
      <c r="AA396" s="1292"/>
      <c r="AB396" s="1293"/>
      <c r="AC396" s="1544"/>
      <c r="AD396" s="1544"/>
      <c r="AE396" s="1544"/>
      <c r="AF396" s="1544"/>
      <c r="AI396" s="3056" t="str">
        <f>"23:serteikyo_kyoka_code:" &amp; IF(I396="■",1,IF(L396="■",6,IF(O396="■",5,IF(R396="■",7,0))))</f>
        <v>23:serteikyo_kyoka_code:0</v>
      </c>
    </row>
    <row r="397" spans="1:36" s="3056" customFormat="1" ht="18.75" hidden="1" customHeight="1">
      <c r="A397" s="735"/>
      <c r="B397" s="1407"/>
      <c r="C397" s="1303"/>
      <c r="D397" s="1304"/>
      <c r="E397" s="1305"/>
      <c r="F397" s="1304"/>
      <c r="G397" s="1275"/>
      <c r="H397" s="1539" t="s">
        <v>2390</v>
      </c>
      <c r="I397" s="3162" t="s">
        <v>121</v>
      </c>
      <c r="J397" s="3161" t="s">
        <v>1230</v>
      </c>
      <c r="K397" s="3161"/>
      <c r="L397" s="3160" t="s">
        <v>121</v>
      </c>
      <c r="M397" s="3161" t="s">
        <v>1248</v>
      </c>
      <c r="N397" s="3161"/>
      <c r="O397" s="1290"/>
      <c r="P397" s="1290"/>
      <c r="Q397" s="1290"/>
      <c r="R397" s="1290"/>
      <c r="S397" s="1290"/>
      <c r="T397" s="1290"/>
      <c r="U397" s="1290"/>
      <c r="V397" s="1290"/>
      <c r="W397" s="1290"/>
      <c r="X397" s="1331"/>
      <c r="Y397" s="1295"/>
      <c r="Z397" s="1292"/>
      <c r="AA397" s="1292"/>
      <c r="AB397" s="1293"/>
      <c r="AC397" s="1544"/>
      <c r="AD397" s="1544"/>
      <c r="AE397" s="1544"/>
      <c r="AF397" s="1544"/>
      <c r="AI397" s="3056" t="str">
        <f>"23:field221:" &amp; IF(I397="■",1,IF(L397="■",2,0))</f>
        <v>23:field221:0</v>
      </c>
    </row>
    <row r="398" spans="1:36" s="3056" customFormat="1" ht="18.75" hidden="1" customHeight="1">
      <c r="A398" s="735"/>
      <c r="B398" s="1407"/>
      <c r="C398" s="1303"/>
      <c r="D398" s="1304"/>
      <c r="E398" s="1305"/>
      <c r="F398" s="1304"/>
      <c r="G398" s="1275"/>
      <c r="H398" s="1540"/>
      <c r="I398" s="3162"/>
      <c r="J398" s="3161"/>
      <c r="K398" s="3161"/>
      <c r="L398" s="3160"/>
      <c r="M398" s="3161"/>
      <c r="N398" s="3161"/>
      <c r="O398" s="1296"/>
      <c r="P398" s="1296"/>
      <c r="Q398" s="1296"/>
      <c r="R398" s="1296"/>
      <c r="S398" s="1296"/>
      <c r="T398" s="1296"/>
      <c r="U398" s="1296"/>
      <c r="V398" s="1296"/>
      <c r="W398" s="1296"/>
      <c r="X398" s="1332"/>
      <c r="Y398" s="1295"/>
      <c r="Z398" s="1292"/>
      <c r="AA398" s="1292"/>
      <c r="AB398" s="1293"/>
      <c r="AC398" s="1544"/>
      <c r="AD398" s="1544"/>
      <c r="AE398" s="1544"/>
      <c r="AF398" s="1544"/>
    </row>
    <row r="399" spans="1:36" s="3056" customFormat="1" ht="18.75" hidden="1" customHeight="1">
      <c r="A399" s="735"/>
      <c r="B399" s="1407"/>
      <c r="C399" s="1303"/>
      <c r="D399" s="1304"/>
      <c r="E399" s="1275"/>
      <c r="F399" s="1289"/>
      <c r="G399" s="1305"/>
      <c r="H399" s="3155" t="s">
        <v>2288</v>
      </c>
      <c r="I399" s="3137" t="s">
        <v>121</v>
      </c>
      <c r="J399" s="3151" t="s">
        <v>1230</v>
      </c>
      <c r="K399" s="3151"/>
      <c r="L399" s="3136" t="s">
        <v>121</v>
      </c>
      <c r="M399" s="3151" t="s">
        <v>2287</v>
      </c>
      <c r="N399" s="3154"/>
      <c r="O399" s="3136" t="s">
        <v>121</v>
      </c>
      <c r="P399" s="3153" t="s">
        <v>2286</v>
      </c>
      <c r="Q399" s="3152"/>
      <c r="R399" s="3136" t="s">
        <v>121</v>
      </c>
      <c r="S399" s="3151" t="s">
        <v>2285</v>
      </c>
      <c r="T399" s="3152"/>
      <c r="U399" s="3136" t="s">
        <v>121</v>
      </c>
      <c r="V399" s="3151" t="s">
        <v>2284</v>
      </c>
      <c r="W399" s="3150"/>
      <c r="X399" s="3149"/>
      <c r="Y399" s="1292"/>
      <c r="Z399" s="1292"/>
      <c r="AA399" s="1292"/>
      <c r="AB399" s="1293"/>
      <c r="AC399" s="1544"/>
      <c r="AD399" s="1544"/>
      <c r="AE399" s="1544"/>
      <c r="AF399" s="1544"/>
      <c r="AI399" s="3056" t="str">
        <f>"23:shoguukaizen_code:"&amp;IF(I399="■",1,IF(L399="■",7,IF(O399="■",8,IF(R399="■",9,IF(U399="■","A",0)))))</f>
        <v>23:shoguukaizen_code:0</v>
      </c>
    </row>
    <row r="400" spans="1:36" s="3056" customFormat="1" ht="18.75" hidden="1" customHeight="1">
      <c r="A400" s="3197"/>
      <c r="B400" s="3196"/>
      <c r="C400" s="1333"/>
      <c r="D400" s="1335"/>
      <c r="E400" s="1351"/>
      <c r="F400" s="1335"/>
      <c r="G400" s="1272"/>
      <c r="H400" s="1545" t="s">
        <v>2399</v>
      </c>
      <c r="I400" s="3119" t="s">
        <v>121</v>
      </c>
      <c r="J400" s="1270" t="s">
        <v>1227</v>
      </c>
      <c r="K400" s="3139"/>
      <c r="L400" s="1337"/>
      <c r="M400" s="3138" t="s">
        <v>121</v>
      </c>
      <c r="N400" s="1270" t="s">
        <v>2306</v>
      </c>
      <c r="O400" s="1334"/>
      <c r="P400" s="1334"/>
      <c r="Q400" s="3138" t="s">
        <v>121</v>
      </c>
      <c r="R400" s="1270" t="s">
        <v>2305</v>
      </c>
      <c r="S400" s="1334"/>
      <c r="T400" s="1334"/>
      <c r="U400" s="3138" t="s">
        <v>121</v>
      </c>
      <c r="V400" s="1270" t="s">
        <v>2304</v>
      </c>
      <c r="W400" s="1334"/>
      <c r="X400" s="1336"/>
      <c r="Y400" s="3119" t="s">
        <v>121</v>
      </c>
      <c r="Z400" s="1270" t="s">
        <v>1229</v>
      </c>
      <c r="AA400" s="1270"/>
      <c r="AB400" s="1286"/>
      <c r="AC400" s="1543"/>
      <c r="AD400" s="1543"/>
      <c r="AE400" s="1543"/>
      <c r="AF400" s="1543"/>
      <c r="AG400" s="3056" t="str">
        <f>"ser_code = '" &amp; IF(A412="■","2A","") &amp; "'"</f>
        <v>ser_code = ''</v>
      </c>
      <c r="AH400" s="3056" t="str">
        <f>"2A:jininkbn_code:"&amp;IF(F411="■",1,IF(F412="■",2,IF(F413="■",3,0)))</f>
        <v>2A:jininkbn_code:0</v>
      </c>
      <c r="AI400" s="3056" t="str">
        <f>"2A:yakan_kinmu_code:" &amp; IF(I400="■",1,IF(M400="■",2,IF(Q400="■",3,IF(U400="■",7,IF(I401="■",5,IF(M401="■",6,0))))))</f>
        <v>2A:yakan_kinmu_code:0</v>
      </c>
      <c r="AJ400" s="3056" t="str">
        <f>"2A:field203:" &amp; IF(Y400="■",1,IF(Y401="■",2,0))</f>
        <v>2A:field203:0</v>
      </c>
    </row>
    <row r="401" spans="1:35" s="3056" customFormat="1" ht="18.75" hidden="1" customHeight="1">
      <c r="A401" s="3195"/>
      <c r="B401" s="3194"/>
      <c r="C401" s="1303"/>
      <c r="D401" s="1304"/>
      <c r="E401" s="1305"/>
      <c r="F401" s="1304"/>
      <c r="G401" s="1275"/>
      <c r="H401" s="1542"/>
      <c r="I401" s="3063" t="s">
        <v>121</v>
      </c>
      <c r="J401" s="1296" t="s">
        <v>2303</v>
      </c>
      <c r="K401" s="1309"/>
      <c r="L401" s="1355"/>
      <c r="M401" s="3062" t="s">
        <v>121</v>
      </c>
      <c r="N401" s="1296" t="s">
        <v>1228</v>
      </c>
      <c r="O401" s="1403"/>
      <c r="P401" s="1403"/>
      <c r="Q401" s="1403"/>
      <c r="R401" s="1403"/>
      <c r="S401" s="1403"/>
      <c r="T401" s="1403"/>
      <c r="U401" s="1403"/>
      <c r="V401" s="1403"/>
      <c r="W401" s="1403"/>
      <c r="X401" s="1297"/>
      <c r="Y401" s="3122" t="s">
        <v>121</v>
      </c>
      <c r="Z401" s="1273" t="s">
        <v>1234</v>
      </c>
      <c r="AA401" s="1292"/>
      <c r="AB401" s="1293"/>
      <c r="AC401" s="1562"/>
      <c r="AD401" s="1562"/>
      <c r="AE401" s="1562"/>
      <c r="AF401" s="1562"/>
      <c r="AG401" s="3056" t="str">
        <f>"2A:sisetukbn_code:"&amp;IF(D412="■","1",0)</f>
        <v>2A:sisetukbn_code:0</v>
      </c>
    </row>
    <row r="402" spans="1:35" s="3056" customFormat="1" ht="18.75" hidden="1" customHeight="1">
      <c r="A402" s="3195"/>
      <c r="B402" s="3194"/>
      <c r="C402" s="1303"/>
      <c r="D402" s="1304"/>
      <c r="E402" s="1305"/>
      <c r="F402" s="1304"/>
      <c r="G402" s="1275"/>
      <c r="H402" s="1541" t="s">
        <v>90</v>
      </c>
      <c r="I402" s="3137" t="s">
        <v>121</v>
      </c>
      <c r="J402" s="1290" t="s">
        <v>1230</v>
      </c>
      <c r="K402" s="1290"/>
      <c r="L402" s="1329"/>
      <c r="M402" s="3136" t="s">
        <v>121</v>
      </c>
      <c r="N402" s="1290" t="s">
        <v>1231</v>
      </c>
      <c r="O402" s="1290"/>
      <c r="P402" s="1329"/>
      <c r="Q402" s="3136" t="s">
        <v>121</v>
      </c>
      <c r="R402" s="1402" t="s">
        <v>2302</v>
      </c>
      <c r="S402" s="1402"/>
      <c r="T402" s="1402"/>
      <c r="U402" s="1314"/>
      <c r="V402" s="1329"/>
      <c r="W402" s="1402"/>
      <c r="X402" s="1315"/>
      <c r="Y402" s="1295"/>
      <c r="Z402" s="1292"/>
      <c r="AA402" s="1292"/>
      <c r="AB402" s="1293"/>
      <c r="AC402" s="1544"/>
      <c r="AD402" s="1544"/>
      <c r="AE402" s="1544"/>
      <c r="AF402" s="1544"/>
      <c r="AI402" s="3056" t="str">
        <f>"2A:"&amp;IF(AND(I402="□",M402="□",Q402="□",I403="□",M403="□"),"ketu_doctor_code:0",IF(I402="■","ketu_doctor_code:1:field197:1:ketu_kangos_code:1:ketu_kshoku_code:1",IF(M402="■","ketu_doctor_code:2","ketu_doctor_code:1")
&amp;IF(Q402="■",":field197:2",":field197:1")
&amp;IF(I403="■",":ketu_kangos_code:2",":ketu_kangos_code:1")
&amp;IF(M403="■",":ketu_kshoku_code:2",":ketu_kshoku_code:1")))</f>
        <v>2A:ketu_doctor_code:0</v>
      </c>
    </row>
    <row r="403" spans="1:35" s="3056" customFormat="1" ht="18.75" hidden="1" customHeight="1">
      <c r="A403" s="3195"/>
      <c r="B403" s="3194"/>
      <c r="C403" s="1303"/>
      <c r="D403" s="1304"/>
      <c r="E403" s="1305"/>
      <c r="F403" s="1304"/>
      <c r="G403" s="1275"/>
      <c r="H403" s="1542"/>
      <c r="I403" s="3063" t="s">
        <v>121</v>
      </c>
      <c r="J403" s="1403" t="s">
        <v>2301</v>
      </c>
      <c r="K403" s="1403"/>
      <c r="L403" s="1403"/>
      <c r="M403" s="3062" t="s">
        <v>121</v>
      </c>
      <c r="N403" s="1403" t="s">
        <v>2300</v>
      </c>
      <c r="O403" s="1355"/>
      <c r="P403" s="1403"/>
      <c r="Q403" s="1403"/>
      <c r="R403" s="1355"/>
      <c r="S403" s="1403"/>
      <c r="T403" s="1403"/>
      <c r="U403" s="1330"/>
      <c r="V403" s="1355"/>
      <c r="W403" s="1403"/>
      <c r="X403" s="1356"/>
      <c r="Y403" s="1295"/>
      <c r="Z403" s="1292"/>
      <c r="AA403" s="1292"/>
      <c r="AB403" s="1293"/>
      <c r="AC403" s="1544"/>
      <c r="AD403" s="1544"/>
      <c r="AE403" s="1544"/>
      <c r="AF403" s="1544"/>
    </row>
    <row r="404" spans="1:35" s="3056" customFormat="1" ht="18.75" hidden="1" customHeight="1">
      <c r="A404" s="735"/>
      <c r="B404" s="1407"/>
      <c r="C404" s="1287"/>
      <c r="D404" s="1288"/>
      <c r="E404" s="1275"/>
      <c r="F404" s="1289"/>
      <c r="G404" s="1305"/>
      <c r="H404" s="3193" t="s">
        <v>1241</v>
      </c>
      <c r="I404" s="3096" t="s">
        <v>121</v>
      </c>
      <c r="J404" s="3091" t="s">
        <v>1242</v>
      </c>
      <c r="K404" s="3095"/>
      <c r="L404" s="3094"/>
      <c r="M404" s="3093" t="s">
        <v>121</v>
      </c>
      <c r="N404" s="3091" t="s">
        <v>1243</v>
      </c>
      <c r="O404" s="3095"/>
      <c r="P404" s="3192"/>
      <c r="Q404" s="3192"/>
      <c r="R404" s="3192"/>
      <c r="S404" s="3192"/>
      <c r="T404" s="3192"/>
      <c r="U404" s="3192"/>
      <c r="V404" s="3192"/>
      <c r="W404" s="3192"/>
      <c r="X404" s="3191"/>
      <c r="Y404" s="1295"/>
      <c r="Z404" s="1292"/>
      <c r="AA404" s="1292"/>
      <c r="AB404" s="1293"/>
      <c r="AC404" s="1544"/>
      <c r="AD404" s="1544"/>
      <c r="AE404" s="1544"/>
      <c r="AF404" s="1544"/>
      <c r="AI404" s="3056" t="str">
        <f>"2A:sintaikousoku_code:" &amp; IF(I404="■",1,IF(M404="■",2,0))</f>
        <v>2A:sintaikousoku_code:0</v>
      </c>
    </row>
    <row r="405" spans="1:35" s="3056" customFormat="1" ht="19.5" hidden="1" customHeight="1">
      <c r="A405" s="735"/>
      <c r="B405" s="1407"/>
      <c r="C405" s="1303"/>
      <c r="D405" s="1304"/>
      <c r="E405" s="1275"/>
      <c r="F405" s="1289"/>
      <c r="G405" s="1305"/>
      <c r="H405" s="1306" t="s">
        <v>1244</v>
      </c>
      <c r="I405" s="3066" t="s">
        <v>121</v>
      </c>
      <c r="J405" s="1298" t="s">
        <v>1242</v>
      </c>
      <c r="K405" s="1299"/>
      <c r="L405" s="1300"/>
      <c r="M405" s="3065" t="s">
        <v>121</v>
      </c>
      <c r="N405" s="1298" t="s">
        <v>1245</v>
      </c>
      <c r="O405" s="1301"/>
      <c r="P405" s="1298"/>
      <c r="Q405" s="1307"/>
      <c r="R405" s="1307"/>
      <c r="S405" s="1307"/>
      <c r="T405" s="1307"/>
      <c r="U405" s="1307"/>
      <c r="V405" s="1307"/>
      <c r="W405" s="1307"/>
      <c r="X405" s="1308"/>
      <c r="Y405" s="1292"/>
      <c r="Z405" s="1292"/>
      <c r="AA405" s="1292"/>
      <c r="AB405" s="1293"/>
      <c r="AC405" s="1544"/>
      <c r="AD405" s="1544"/>
      <c r="AE405" s="1544"/>
      <c r="AF405" s="1544"/>
      <c r="AI405" s="3056" t="str">
        <f>"2A:field223:" &amp; IF(I405="■",1,IF(M405="■",2,0))</f>
        <v>2A:field223:0</v>
      </c>
    </row>
    <row r="406" spans="1:35" s="3056" customFormat="1" ht="19.5" hidden="1" customHeight="1">
      <c r="A406" s="735"/>
      <c r="B406" s="1407"/>
      <c r="C406" s="1303"/>
      <c r="D406" s="1304"/>
      <c r="E406" s="1275"/>
      <c r="F406" s="1289"/>
      <c r="G406" s="1305"/>
      <c r="H406" s="1306" t="s">
        <v>1246</v>
      </c>
      <c r="I406" s="3066" t="s">
        <v>121</v>
      </c>
      <c r="J406" s="1298" t="s">
        <v>1242</v>
      </c>
      <c r="K406" s="1299"/>
      <c r="L406" s="1300"/>
      <c r="M406" s="3065" t="s">
        <v>121</v>
      </c>
      <c r="N406" s="1298" t="s">
        <v>1245</v>
      </c>
      <c r="O406" s="1301"/>
      <c r="P406" s="1298"/>
      <c r="Q406" s="1307"/>
      <c r="R406" s="1307"/>
      <c r="S406" s="1307"/>
      <c r="T406" s="1307"/>
      <c r="U406" s="1307"/>
      <c r="V406" s="1307"/>
      <c r="W406" s="1307"/>
      <c r="X406" s="1308"/>
      <c r="Y406" s="1292"/>
      <c r="Z406" s="1292"/>
      <c r="AA406" s="1292"/>
      <c r="AB406" s="1293"/>
      <c r="AC406" s="1544"/>
      <c r="AD406" s="1544"/>
      <c r="AE406" s="1544"/>
      <c r="AF406" s="1544"/>
      <c r="AI406" s="3056" t="str">
        <f>"2A:field232:" &amp; IF(I406="■",1,IF(M406="■",2,0))</f>
        <v>2A:field232:0</v>
      </c>
    </row>
    <row r="407" spans="1:35" s="3056" customFormat="1" ht="18.75" hidden="1" customHeight="1">
      <c r="A407" s="3195"/>
      <c r="B407" s="3194"/>
      <c r="C407" s="1303"/>
      <c r="D407" s="1304"/>
      <c r="E407" s="1305"/>
      <c r="F407" s="1304"/>
      <c r="G407" s="1275"/>
      <c r="H407" s="1409" t="s">
        <v>2295</v>
      </c>
      <c r="I407" s="3066" t="s">
        <v>121</v>
      </c>
      <c r="J407" s="1298" t="s">
        <v>1227</v>
      </c>
      <c r="K407" s="1299"/>
      <c r="L407" s="1300"/>
      <c r="M407" s="3065" t="s">
        <v>121</v>
      </c>
      <c r="N407" s="1298" t="s">
        <v>2291</v>
      </c>
      <c r="O407" s="1307"/>
      <c r="P407" s="1307"/>
      <c r="Q407" s="1307"/>
      <c r="R407" s="1307"/>
      <c r="S407" s="1307"/>
      <c r="T407" s="1307"/>
      <c r="U407" s="1307"/>
      <c r="V407" s="1307"/>
      <c r="W407" s="1307"/>
      <c r="X407" s="1308"/>
      <c r="Y407" s="1295"/>
      <c r="Z407" s="1292"/>
      <c r="AA407" s="1292"/>
      <c r="AB407" s="1293"/>
      <c r="AC407" s="1544"/>
      <c r="AD407" s="1544"/>
      <c r="AE407" s="1544"/>
      <c r="AF407" s="1544"/>
      <c r="AI407" s="3056" t="str">
        <f>"2A:field190:" &amp; IF(I407="■",1,IF(M407="■",2,0))</f>
        <v>2A:field190:0</v>
      </c>
    </row>
    <row r="408" spans="1:35" s="3056" customFormat="1" ht="18.75" hidden="1" customHeight="1">
      <c r="A408" s="3195"/>
      <c r="B408" s="3194"/>
      <c r="C408" s="1303"/>
      <c r="D408" s="1304"/>
      <c r="E408" s="1305"/>
      <c r="F408" s="1304"/>
      <c r="G408" s="1275"/>
      <c r="H408" s="1409" t="s">
        <v>2293</v>
      </c>
      <c r="I408" s="3066" t="s">
        <v>121</v>
      </c>
      <c r="J408" s="1298" t="s">
        <v>1227</v>
      </c>
      <c r="K408" s="1299"/>
      <c r="L408" s="1300"/>
      <c r="M408" s="3065" t="s">
        <v>121</v>
      </c>
      <c r="N408" s="1298" t="s">
        <v>2291</v>
      </c>
      <c r="O408" s="1307"/>
      <c r="P408" s="1307"/>
      <c r="Q408" s="1307"/>
      <c r="R408" s="1307"/>
      <c r="S408" s="1307"/>
      <c r="T408" s="1307"/>
      <c r="U408" s="1307"/>
      <c r="V408" s="1307"/>
      <c r="W408" s="1307"/>
      <c r="X408" s="1308"/>
      <c r="Y408" s="1295"/>
      <c r="Z408" s="1292"/>
      <c r="AA408" s="1292"/>
      <c r="AB408" s="1293"/>
      <c r="AC408" s="1544"/>
      <c r="AD408" s="1544"/>
      <c r="AE408" s="1544"/>
      <c r="AF408" s="1544"/>
      <c r="AI408" s="3056" t="str">
        <f>"2A:field191:" &amp; IF(I408="■",1,IF(M408="■",2,0))</f>
        <v>2A:field191:0</v>
      </c>
    </row>
    <row r="409" spans="1:35" s="3056" customFormat="1" ht="18.75" hidden="1" customHeight="1">
      <c r="A409" s="3195"/>
      <c r="B409" s="3194"/>
      <c r="C409" s="1303"/>
      <c r="D409" s="1304"/>
      <c r="E409" s="1305"/>
      <c r="F409" s="1304"/>
      <c r="G409" s="1275"/>
      <c r="H409" s="1409" t="s">
        <v>1305</v>
      </c>
      <c r="I409" s="3066" t="s">
        <v>121</v>
      </c>
      <c r="J409" s="1298" t="s">
        <v>1230</v>
      </c>
      <c r="K409" s="1299"/>
      <c r="L409" s="3065" t="s">
        <v>121</v>
      </c>
      <c r="M409" s="1298" t="s">
        <v>1248</v>
      </c>
      <c r="N409" s="1307"/>
      <c r="O409" s="1307"/>
      <c r="P409" s="1307"/>
      <c r="Q409" s="1299"/>
      <c r="R409" s="1307"/>
      <c r="S409" s="1307"/>
      <c r="T409" s="1307"/>
      <c r="U409" s="1307"/>
      <c r="V409" s="1307"/>
      <c r="W409" s="1307"/>
      <c r="X409" s="1308"/>
      <c r="Y409" s="1295"/>
      <c r="Z409" s="1292"/>
      <c r="AA409" s="1292"/>
      <c r="AB409" s="1293"/>
      <c r="AC409" s="1544"/>
      <c r="AD409" s="1544"/>
      <c r="AE409" s="1544"/>
      <c r="AF409" s="1544"/>
      <c r="AI409" s="3056" t="str">
        <f>"2A:jyakuninti_uke_code:" &amp; IF(I409="■",1,IF(L409="■",2,0))</f>
        <v>2A:jyakuninti_uke_code:0</v>
      </c>
    </row>
    <row r="410" spans="1:35" s="3056" customFormat="1" ht="18.75" hidden="1" customHeight="1">
      <c r="A410" s="3195"/>
      <c r="B410" s="3194"/>
      <c r="C410" s="1303"/>
      <c r="D410" s="1304"/>
      <c r="E410" s="1305"/>
      <c r="F410" s="1304"/>
      <c r="G410" s="1275"/>
      <c r="H410" s="1409" t="s">
        <v>2398</v>
      </c>
      <c r="I410" s="3066" t="s">
        <v>121</v>
      </c>
      <c r="J410" s="1298" t="s">
        <v>1239</v>
      </c>
      <c r="K410" s="1299"/>
      <c r="L410" s="1300"/>
      <c r="M410" s="3065" t="s">
        <v>121</v>
      </c>
      <c r="N410" s="1298" t="s">
        <v>1240</v>
      </c>
      <c r="O410" s="1307"/>
      <c r="P410" s="1307"/>
      <c r="Q410" s="1299"/>
      <c r="R410" s="1307"/>
      <c r="S410" s="1307"/>
      <c r="T410" s="1307"/>
      <c r="U410" s="1307"/>
      <c r="V410" s="1307"/>
      <c r="W410" s="1307"/>
      <c r="X410" s="1308"/>
      <c r="Y410" s="1295"/>
      <c r="Z410" s="1292"/>
      <c r="AA410" s="1292"/>
      <c r="AB410" s="1293"/>
      <c r="AC410" s="1544"/>
      <c r="AD410" s="1544"/>
      <c r="AE410" s="1544"/>
      <c r="AF410" s="1544"/>
      <c r="AI410" s="3056" t="str">
        <f>"2A:sougei_code:" &amp; IF(I410="■",1,IF(M410="■",2,0))</f>
        <v>2A:sougei_code:0</v>
      </c>
    </row>
    <row r="411" spans="1:35" s="3056" customFormat="1" ht="19.5" hidden="1" customHeight="1">
      <c r="A411" s="3195"/>
      <c r="B411" s="3194"/>
      <c r="C411" s="1303"/>
      <c r="D411" s="1304"/>
      <c r="E411" s="1305"/>
      <c r="F411" s="3122" t="s">
        <v>121</v>
      </c>
      <c r="G411" s="1275" t="s">
        <v>2323</v>
      </c>
      <c r="H411" s="1306" t="s">
        <v>1325</v>
      </c>
      <c r="I411" s="3066" t="s">
        <v>121</v>
      </c>
      <c r="J411" s="1298" t="s">
        <v>1230</v>
      </c>
      <c r="K411" s="1298"/>
      <c r="L411" s="3065" t="s">
        <v>121</v>
      </c>
      <c r="M411" s="1298" t="s">
        <v>1248</v>
      </c>
      <c r="N411" s="1298"/>
      <c r="O411" s="1307"/>
      <c r="P411" s="1298"/>
      <c r="Q411" s="1307"/>
      <c r="R411" s="1307"/>
      <c r="S411" s="1307"/>
      <c r="T411" s="1307"/>
      <c r="U411" s="1307"/>
      <c r="V411" s="1307"/>
      <c r="W411" s="1307"/>
      <c r="X411" s="1308"/>
      <c r="Y411" s="1292"/>
      <c r="Z411" s="1292"/>
      <c r="AA411" s="1292"/>
      <c r="AB411" s="1293"/>
      <c r="AC411" s="1544"/>
      <c r="AD411" s="1544"/>
      <c r="AE411" s="1544"/>
      <c r="AF411" s="1544"/>
      <c r="AI411" s="3056" t="str">
        <f>"2A:field224:" &amp; IF(I411="■",1,IF(L411="■",2,0))</f>
        <v>2A:field224:0</v>
      </c>
    </row>
    <row r="412" spans="1:35" s="3056" customFormat="1" ht="18.75" hidden="1" customHeight="1">
      <c r="A412" s="3069" t="s">
        <v>121</v>
      </c>
      <c r="B412" s="3194" t="s">
        <v>2392</v>
      </c>
      <c r="C412" s="1303" t="s">
        <v>1321</v>
      </c>
      <c r="D412" s="3122" t="s">
        <v>121</v>
      </c>
      <c r="E412" s="1305" t="s">
        <v>2336</v>
      </c>
      <c r="F412" s="3122" t="s">
        <v>121</v>
      </c>
      <c r="G412" s="1275" t="s">
        <v>2322</v>
      </c>
      <c r="H412" s="1409" t="s">
        <v>145</v>
      </c>
      <c r="I412" s="3066" t="s">
        <v>121</v>
      </c>
      <c r="J412" s="1298" t="s">
        <v>1230</v>
      </c>
      <c r="K412" s="1299"/>
      <c r="L412" s="3065" t="s">
        <v>121</v>
      </c>
      <c r="M412" s="1298" t="s">
        <v>1248</v>
      </c>
      <c r="N412" s="1307"/>
      <c r="O412" s="1307"/>
      <c r="P412" s="1307"/>
      <c r="Q412" s="1299"/>
      <c r="R412" s="1307"/>
      <c r="S412" s="1307"/>
      <c r="T412" s="1307"/>
      <c r="U412" s="1307"/>
      <c r="V412" s="1307"/>
      <c r="W412" s="1307"/>
      <c r="X412" s="1308"/>
      <c r="Y412" s="1295"/>
      <c r="Z412" s="1292"/>
      <c r="AA412" s="1292"/>
      <c r="AB412" s="1293"/>
      <c r="AC412" s="1544"/>
      <c r="AD412" s="1544"/>
      <c r="AE412" s="1544"/>
      <c r="AF412" s="1544"/>
      <c r="AI412" s="3056" t="str">
        <f>"2A:ryouyoushoku_code:" &amp; IF(I412="■",1,IF(L412="■",2,0))</f>
        <v>2A:ryouyoushoku_code:0</v>
      </c>
    </row>
    <row r="413" spans="1:35" s="3056" customFormat="1" ht="18.75" hidden="1" customHeight="1">
      <c r="A413" s="3195"/>
      <c r="B413" s="3194"/>
      <c r="C413" s="1303"/>
      <c r="D413" s="1304"/>
      <c r="E413" s="1305"/>
      <c r="F413" s="3122" t="s">
        <v>121</v>
      </c>
      <c r="G413" s="1275" t="s">
        <v>2397</v>
      </c>
      <c r="H413" s="1409" t="s">
        <v>1260</v>
      </c>
      <c r="I413" s="3066" t="s">
        <v>121</v>
      </c>
      <c r="J413" s="1298" t="s">
        <v>1230</v>
      </c>
      <c r="K413" s="1298"/>
      <c r="L413" s="3065" t="s">
        <v>121</v>
      </c>
      <c r="M413" s="1298" t="s">
        <v>1256</v>
      </c>
      <c r="N413" s="1298"/>
      <c r="O413" s="3065" t="s">
        <v>121</v>
      </c>
      <c r="P413" s="1298" t="s">
        <v>1257</v>
      </c>
      <c r="Q413" s="1307"/>
      <c r="R413" s="1307"/>
      <c r="S413" s="1307"/>
      <c r="T413" s="1307"/>
      <c r="U413" s="1307"/>
      <c r="V413" s="1307"/>
      <c r="W413" s="1307"/>
      <c r="X413" s="1308"/>
      <c r="Y413" s="1295"/>
      <c r="Z413" s="1292"/>
      <c r="AA413" s="1292"/>
      <c r="AB413" s="1293"/>
      <c r="AC413" s="1544"/>
      <c r="AD413" s="1544"/>
      <c r="AE413" s="1544"/>
      <c r="AF413" s="1544"/>
      <c r="AI413" s="3056" t="str">
        <f>"2A:ninti_senmoncare_code:" &amp; IF(I413="■",1,IF(O413="■",3,IF(L413="■",2,0)))</f>
        <v>2A:ninti_senmoncare_code:0</v>
      </c>
    </row>
    <row r="414" spans="1:35" s="3056" customFormat="1" ht="18.75" hidden="1" customHeight="1">
      <c r="A414" s="3195"/>
      <c r="B414" s="3194"/>
      <c r="C414" s="1303"/>
      <c r="D414" s="1304"/>
      <c r="E414" s="1305"/>
      <c r="F414" s="1304"/>
      <c r="G414" s="1275"/>
      <c r="H414" s="1409" t="s">
        <v>2307</v>
      </c>
      <c r="I414" s="3066" t="s">
        <v>121</v>
      </c>
      <c r="J414" s="1298" t="s">
        <v>1230</v>
      </c>
      <c r="K414" s="1298"/>
      <c r="L414" s="3065" t="s">
        <v>121</v>
      </c>
      <c r="M414" s="1298" t="s">
        <v>1256</v>
      </c>
      <c r="N414" s="1298"/>
      <c r="O414" s="3065" t="s">
        <v>121</v>
      </c>
      <c r="P414" s="1298" t="s">
        <v>1257</v>
      </c>
      <c r="Q414" s="1307"/>
      <c r="R414" s="1307"/>
      <c r="S414" s="1307"/>
      <c r="T414" s="1307"/>
      <c r="U414" s="1307"/>
      <c r="V414" s="1307"/>
      <c r="W414" s="1307"/>
      <c r="X414" s="1308"/>
      <c r="Y414" s="1295"/>
      <c r="Z414" s="1292"/>
      <c r="AA414" s="1292"/>
      <c r="AB414" s="1293"/>
      <c r="AC414" s="1544"/>
      <c r="AD414" s="1544"/>
      <c r="AE414" s="1544"/>
      <c r="AF414" s="1544"/>
      <c r="AI414" s="3056" t="str">
        <f>"2A:field164:" &amp; IF(I414="■",1,IF(L414="■",2,IF(O414="■",3,0)))</f>
        <v>2A:field164:0</v>
      </c>
    </row>
    <row r="415" spans="1:35" s="3056" customFormat="1" ht="18.75" hidden="1" customHeight="1">
      <c r="A415" s="3195"/>
      <c r="B415" s="3194"/>
      <c r="C415" s="1303"/>
      <c r="D415" s="1304"/>
      <c r="E415" s="1305"/>
      <c r="F415" s="1304"/>
      <c r="G415" s="1275"/>
      <c r="H415" s="1541" t="s">
        <v>2393</v>
      </c>
      <c r="I415" s="3137" t="s">
        <v>121</v>
      </c>
      <c r="J415" s="1290" t="s">
        <v>1273</v>
      </c>
      <c r="K415" s="1290"/>
      <c r="L415" s="1314"/>
      <c r="M415" s="1314"/>
      <c r="N415" s="1314"/>
      <c r="O415" s="1314"/>
      <c r="P415" s="3136" t="s">
        <v>121</v>
      </c>
      <c r="Q415" s="1290" t="s">
        <v>1274</v>
      </c>
      <c r="R415" s="1314"/>
      <c r="S415" s="1314"/>
      <c r="T415" s="1314"/>
      <c r="U415" s="1314"/>
      <c r="V415" s="1314"/>
      <c r="W415" s="1314"/>
      <c r="X415" s="1315"/>
      <c r="Y415" s="1295"/>
      <c r="Z415" s="1292"/>
      <c r="AA415" s="1292"/>
      <c r="AB415" s="1293"/>
      <c r="AC415" s="1544"/>
      <c r="AD415" s="1544"/>
      <c r="AE415" s="1544"/>
      <c r="AF415" s="1544"/>
      <c r="AI415" s="3056" t="str">
        <f>"2A:" &amp; IF(AND(I415="□",P415="□",I416="□"),"tokusin_jyusho_code:0:tokusin_yakuzai_code:0:shuudan_comu_code:0",IF(I415="■","tokusin_jyusho_code:2","tokusin_jyusho_code:1")
&amp;IF(P415="■",":tokusin_yakuzai_code:2",":tokusin_yakuzai_code:1")
&amp;IF(I416="■",":shuudan_comu_code:2",":shuudan_comu_code:1"))</f>
        <v>2A:tokusin_jyusho_code:0:tokusin_yakuzai_code:0:shuudan_comu_code:0</v>
      </c>
    </row>
    <row r="416" spans="1:35" s="3056" customFormat="1" ht="18.75" hidden="1" customHeight="1">
      <c r="A416" s="3195"/>
      <c r="B416" s="3194"/>
      <c r="C416" s="1303"/>
      <c r="D416" s="1304"/>
      <c r="E416" s="1305"/>
      <c r="F416" s="1304"/>
      <c r="G416" s="1275"/>
      <c r="H416" s="1542"/>
      <c r="I416" s="3063" t="s">
        <v>121</v>
      </c>
      <c r="J416" s="1296" t="s">
        <v>2318</v>
      </c>
      <c r="K416" s="1330"/>
      <c r="L416" s="1330"/>
      <c r="M416" s="1330"/>
      <c r="N416" s="1330"/>
      <c r="O416" s="1330"/>
      <c r="P416" s="1330"/>
      <c r="Q416" s="1403"/>
      <c r="R416" s="1330"/>
      <c r="S416" s="1330"/>
      <c r="T416" s="1330"/>
      <c r="U416" s="1330"/>
      <c r="V416" s="1330"/>
      <c r="W416" s="1330"/>
      <c r="X416" s="1356"/>
      <c r="Y416" s="1295"/>
      <c r="Z416" s="1292"/>
      <c r="AA416" s="1292"/>
      <c r="AB416" s="1293"/>
      <c r="AC416" s="1544"/>
      <c r="AD416" s="1544"/>
      <c r="AE416" s="1544"/>
      <c r="AF416" s="1544"/>
    </row>
    <row r="417" spans="1:36" s="3056" customFormat="1" ht="18.75" hidden="1" customHeight="1">
      <c r="A417" s="3195"/>
      <c r="B417" s="3194"/>
      <c r="C417" s="1303"/>
      <c r="D417" s="1304"/>
      <c r="E417" s="1305"/>
      <c r="F417" s="1304"/>
      <c r="G417" s="1275"/>
      <c r="H417" s="1541" t="s">
        <v>1280</v>
      </c>
      <c r="I417" s="3137" t="s">
        <v>121</v>
      </c>
      <c r="J417" s="1290" t="s">
        <v>2317</v>
      </c>
      <c r="K417" s="1328"/>
      <c r="L417" s="1329"/>
      <c r="M417" s="3136" t="s">
        <v>121</v>
      </c>
      <c r="N417" s="1290" t="s">
        <v>2316</v>
      </c>
      <c r="O417" s="1314"/>
      <c r="P417" s="1314"/>
      <c r="Q417" s="3136" t="s">
        <v>121</v>
      </c>
      <c r="R417" s="1290" t="s">
        <v>2315</v>
      </c>
      <c r="S417" s="1314"/>
      <c r="T417" s="1314"/>
      <c r="U417" s="1314"/>
      <c r="V417" s="1314"/>
      <c r="W417" s="1314"/>
      <c r="X417" s="1315"/>
      <c r="Y417" s="1295"/>
      <c r="Z417" s="1292"/>
      <c r="AA417" s="1292"/>
      <c r="AB417" s="1293"/>
      <c r="AC417" s="1544"/>
      <c r="AD417" s="1544"/>
      <c r="AE417" s="1544"/>
      <c r="AF417" s="1544"/>
      <c r="AI417" s="3056" t="str">
        <f>"2A:"&amp;IF(AND(I417="□",M417="□",Q417="□",I418="□",Q418="□"),"koriha_rryoho1_code:0:koriha_sryoho_code:0:koriha_gengo_code:0:riha_seisin_code:0:koriha_other_code:0",IF(I417="■","koriha_rryoho1_code:2","koriha_rryoho1_code:1")
&amp;IF(M417="■",":koriha_sryoho_code:2",":koriha_sryoho_code:1")
&amp;IF(Q417="■",":koriha_gengo_code:2",":koriha_gengo_code:1")
&amp;IF(I418="■",":riha_seisin_code:2",":riha_seisin_code:1")
&amp;IF(Q418="■",":koriha_other_code:2",":koriha_other_code:1"))</f>
        <v>2A:koriha_rryoho1_code:0:koriha_sryoho_code:0:koriha_gengo_code:0:riha_seisin_code:0:koriha_other_code:0</v>
      </c>
    </row>
    <row r="418" spans="1:36" s="3056" customFormat="1" ht="18.75" hidden="1" customHeight="1">
      <c r="A418" s="3195"/>
      <c r="B418" s="3194"/>
      <c r="C418" s="1303"/>
      <c r="D418" s="1304"/>
      <c r="E418" s="1305"/>
      <c r="F418" s="1304"/>
      <c r="G418" s="1275"/>
      <c r="H418" s="1542"/>
      <c r="I418" s="3063" t="s">
        <v>121</v>
      </c>
      <c r="J418" s="1296" t="s">
        <v>2314</v>
      </c>
      <c r="K418" s="1330"/>
      <c r="L418" s="1330"/>
      <c r="M418" s="1330"/>
      <c r="N418" s="1330"/>
      <c r="O418" s="1330"/>
      <c r="P418" s="1330"/>
      <c r="Q418" s="3062" t="s">
        <v>121</v>
      </c>
      <c r="R418" s="1296" t="s">
        <v>2313</v>
      </c>
      <c r="S418" s="1403"/>
      <c r="T418" s="1330"/>
      <c r="U418" s="1330"/>
      <c r="V418" s="1330"/>
      <c r="W418" s="1330"/>
      <c r="X418" s="1356"/>
      <c r="Y418" s="1295"/>
      <c r="Z418" s="1292"/>
      <c r="AA418" s="1292"/>
      <c r="AB418" s="1293"/>
      <c r="AC418" s="1544"/>
      <c r="AD418" s="1544"/>
      <c r="AE418" s="1544"/>
      <c r="AF418" s="1544"/>
    </row>
    <row r="419" spans="1:36" s="3056" customFormat="1" ht="18.75" hidden="1" customHeight="1">
      <c r="A419" s="3195"/>
      <c r="B419" s="3194"/>
      <c r="C419" s="1303"/>
      <c r="D419" s="1304"/>
      <c r="E419" s="1305"/>
      <c r="F419" s="1304"/>
      <c r="G419" s="1275"/>
      <c r="H419" s="1313" t="s">
        <v>1265</v>
      </c>
      <c r="I419" s="3066" t="s">
        <v>121</v>
      </c>
      <c r="J419" s="1298" t="s">
        <v>1230</v>
      </c>
      <c r="K419" s="1298"/>
      <c r="L419" s="3065" t="s">
        <v>121</v>
      </c>
      <c r="M419" s="1298" t="s">
        <v>1256</v>
      </c>
      <c r="N419" s="1298"/>
      <c r="O419" s="3065" t="s">
        <v>121</v>
      </c>
      <c r="P419" s="1298" t="s">
        <v>1257</v>
      </c>
      <c r="Q419" s="1307"/>
      <c r="R419" s="1307"/>
      <c r="S419" s="1307"/>
      <c r="T419" s="1307"/>
      <c r="U419" s="1314"/>
      <c r="V419" s="1314"/>
      <c r="W419" s="1314"/>
      <c r="X419" s="1315"/>
      <c r="Y419" s="1295"/>
      <c r="Z419" s="1292"/>
      <c r="AA419" s="1292"/>
      <c r="AB419" s="1293"/>
      <c r="AC419" s="1544"/>
      <c r="AD419" s="1544"/>
      <c r="AE419" s="1544"/>
      <c r="AF419" s="1544"/>
      <c r="AI419" s="3056" t="str">
        <f>"2A:field225:" &amp; IF(I419="■",1,IF(L419="■",2,IF(O419="■",3,0)))</f>
        <v>2A:field225:0</v>
      </c>
    </row>
    <row r="420" spans="1:36" s="3056" customFormat="1" ht="18.75" hidden="1" customHeight="1">
      <c r="A420" s="3195"/>
      <c r="B420" s="3194"/>
      <c r="C420" s="1303"/>
      <c r="D420" s="1304"/>
      <c r="E420" s="1305"/>
      <c r="F420" s="1304"/>
      <c r="G420" s="1275"/>
      <c r="H420" s="1312" t="s">
        <v>1266</v>
      </c>
      <c r="I420" s="3066" t="s">
        <v>121</v>
      </c>
      <c r="J420" s="1298" t="s">
        <v>1230</v>
      </c>
      <c r="K420" s="1298"/>
      <c r="L420" s="3065" t="s">
        <v>121</v>
      </c>
      <c r="M420" s="1298" t="s">
        <v>1267</v>
      </c>
      <c r="N420" s="1298"/>
      <c r="O420" s="3065" t="s">
        <v>121</v>
      </c>
      <c r="P420" s="1298" t="s">
        <v>1268</v>
      </c>
      <c r="Q420" s="1326"/>
      <c r="R420" s="3065" t="s">
        <v>121</v>
      </c>
      <c r="S420" s="1298" t="s">
        <v>1269</v>
      </c>
      <c r="T420" s="1326"/>
      <c r="U420" s="1326"/>
      <c r="V420" s="1326"/>
      <c r="W420" s="1326"/>
      <c r="X420" s="1327"/>
      <c r="Y420" s="1295"/>
      <c r="Z420" s="1292"/>
      <c r="AA420" s="1292"/>
      <c r="AB420" s="1293"/>
      <c r="AC420" s="1544"/>
      <c r="AD420" s="1544"/>
      <c r="AE420" s="1544"/>
      <c r="AF420" s="1544"/>
      <c r="AI420" s="3056" t="str">
        <f>"2A:serteikyo_kyoka_code:" &amp; IF(I420="■",1,IF(L420="■",6,IF(O420="■",5,IF(R420="■",7,0))))</f>
        <v>2A:serteikyo_kyoka_code:0</v>
      </c>
    </row>
    <row r="421" spans="1:36" s="3056" customFormat="1" ht="18.75" hidden="1" customHeight="1">
      <c r="A421" s="3195"/>
      <c r="B421" s="3194"/>
      <c r="C421" s="1303"/>
      <c r="D421" s="1304"/>
      <c r="E421" s="1305"/>
      <c r="F421" s="1304"/>
      <c r="G421" s="1275"/>
      <c r="H421" s="1539" t="s">
        <v>2390</v>
      </c>
      <c r="I421" s="3162" t="s">
        <v>121</v>
      </c>
      <c r="J421" s="3161" t="s">
        <v>1230</v>
      </c>
      <c r="K421" s="3161"/>
      <c r="L421" s="3160" t="s">
        <v>121</v>
      </c>
      <c r="M421" s="3161" t="s">
        <v>1248</v>
      </c>
      <c r="N421" s="3161"/>
      <c r="O421" s="1290"/>
      <c r="P421" s="1290"/>
      <c r="Q421" s="1290"/>
      <c r="R421" s="1290"/>
      <c r="S421" s="1290"/>
      <c r="T421" s="1290"/>
      <c r="U421" s="1290"/>
      <c r="V421" s="1290"/>
      <c r="W421" s="1290"/>
      <c r="X421" s="1331"/>
      <c r="Y421" s="1295"/>
      <c r="Z421" s="1292"/>
      <c r="AA421" s="1292"/>
      <c r="AB421" s="1293"/>
      <c r="AC421" s="1544"/>
      <c r="AD421" s="1544"/>
      <c r="AE421" s="1544"/>
      <c r="AF421" s="1544"/>
      <c r="AI421" s="3056" t="str">
        <f>"2A:field221:" &amp; IF(I421="■",1,IF(L421="■",2,0))</f>
        <v>2A:field221:0</v>
      </c>
    </row>
    <row r="422" spans="1:36" s="3056" customFormat="1" ht="18.75" hidden="1" customHeight="1">
      <c r="A422" s="3195"/>
      <c r="B422" s="3194"/>
      <c r="C422" s="1303"/>
      <c r="D422" s="1304"/>
      <c r="E422" s="1305"/>
      <c r="F422" s="1304"/>
      <c r="G422" s="1275"/>
      <c r="H422" s="1540"/>
      <c r="I422" s="3162"/>
      <c r="J422" s="3161"/>
      <c r="K422" s="3161"/>
      <c r="L422" s="3160"/>
      <c r="M422" s="3161"/>
      <c r="N422" s="3161"/>
      <c r="O422" s="1296"/>
      <c r="P422" s="1296"/>
      <c r="Q422" s="1296"/>
      <c r="R422" s="1296"/>
      <c r="S422" s="1296"/>
      <c r="T422" s="1296"/>
      <c r="U422" s="1296"/>
      <c r="V422" s="1296"/>
      <c r="W422" s="1296"/>
      <c r="X422" s="1332"/>
      <c r="Y422" s="1295"/>
      <c r="Z422" s="1292"/>
      <c r="AA422" s="1292"/>
      <c r="AB422" s="1293"/>
      <c r="AC422" s="1544"/>
      <c r="AD422" s="1544"/>
      <c r="AE422" s="1544"/>
      <c r="AF422" s="1544"/>
    </row>
    <row r="423" spans="1:36" s="3056" customFormat="1" ht="18.75" hidden="1" customHeight="1">
      <c r="A423" s="736"/>
      <c r="B423" s="1316"/>
      <c r="C423" s="1346"/>
      <c r="D423" s="1348"/>
      <c r="E423" s="1317"/>
      <c r="F423" s="1318"/>
      <c r="G423" s="1361"/>
      <c r="H423" s="3134" t="s">
        <v>2288</v>
      </c>
      <c r="I423" s="3060" t="s">
        <v>121</v>
      </c>
      <c r="J423" s="3130" t="s">
        <v>1230</v>
      </c>
      <c r="K423" s="3130"/>
      <c r="L423" s="3059" t="s">
        <v>121</v>
      </c>
      <c r="M423" s="3130" t="s">
        <v>2287</v>
      </c>
      <c r="N423" s="3133"/>
      <c r="O423" s="3059" t="s">
        <v>121</v>
      </c>
      <c r="P423" s="3132" t="s">
        <v>2286</v>
      </c>
      <c r="Q423" s="3131"/>
      <c r="R423" s="3059" t="s">
        <v>121</v>
      </c>
      <c r="S423" s="3130" t="s">
        <v>2285</v>
      </c>
      <c r="T423" s="3131"/>
      <c r="U423" s="3059" t="s">
        <v>121</v>
      </c>
      <c r="V423" s="3130" t="s">
        <v>2284</v>
      </c>
      <c r="W423" s="3129"/>
      <c r="X423" s="3128"/>
      <c r="Y423" s="1323"/>
      <c r="Z423" s="1323"/>
      <c r="AA423" s="1323"/>
      <c r="AB423" s="1324"/>
      <c r="AC423" s="1558"/>
      <c r="AD423" s="1558"/>
      <c r="AE423" s="1558"/>
      <c r="AF423" s="1558"/>
      <c r="AI423" s="3056" t="str">
        <f>"2A:shoguukaizen_code:"&amp;IF(I423="■",1,IF(L423="■",7,IF(O423="■",8,IF(R423="■",9,IF(U423="■","A",0)))))</f>
        <v>2A:shoguukaizen_code:0</v>
      </c>
    </row>
    <row r="424" spans="1:36" s="3056" customFormat="1" ht="18.75" hidden="1" customHeight="1">
      <c r="A424" s="3197"/>
      <c r="B424" s="3196"/>
      <c r="C424" s="1333"/>
      <c r="D424" s="1335"/>
      <c r="E424" s="1351"/>
      <c r="F424" s="1335"/>
      <c r="G424" s="1272"/>
      <c r="H424" s="1545" t="s">
        <v>1226</v>
      </c>
      <c r="I424" s="3119" t="s">
        <v>121</v>
      </c>
      <c r="J424" s="1270" t="s">
        <v>1227</v>
      </c>
      <c r="K424" s="3139"/>
      <c r="L424" s="1337"/>
      <c r="M424" s="3138" t="s">
        <v>121</v>
      </c>
      <c r="N424" s="1270" t="s">
        <v>2306</v>
      </c>
      <c r="O424" s="1334"/>
      <c r="P424" s="1334"/>
      <c r="Q424" s="3138" t="s">
        <v>121</v>
      </c>
      <c r="R424" s="1270" t="s">
        <v>2305</v>
      </c>
      <c r="S424" s="1334"/>
      <c r="T424" s="1334"/>
      <c r="U424" s="3138" t="s">
        <v>121</v>
      </c>
      <c r="V424" s="1270" t="s">
        <v>2304</v>
      </c>
      <c r="W424" s="1334"/>
      <c r="X424" s="1336"/>
      <c r="Y424" s="3138" t="s">
        <v>121</v>
      </c>
      <c r="Z424" s="1270" t="s">
        <v>1229</v>
      </c>
      <c r="AA424" s="1270"/>
      <c r="AB424" s="1286"/>
      <c r="AC424" s="1543"/>
      <c r="AD424" s="1543"/>
      <c r="AE424" s="1543"/>
      <c r="AF424" s="1543"/>
      <c r="AG424" s="3056" t="str">
        <f>"ser_code = '" &amp; IF(A436="■","2A","") &amp; "'"</f>
        <v>ser_code = ''</v>
      </c>
      <c r="AH424" s="3056" t="str">
        <f>"2A:jininkbn_code:"&amp;IF(F435="■",1,IF(F436="■",2,IF(F437="■",3,0)))</f>
        <v>2A:jininkbn_code:0</v>
      </c>
      <c r="AI424" s="3056" t="str">
        <f>"2A:yakan_kinmu_code:" &amp; IF(I424="■",1,IF(M424="■",2,IF(Q424="■",3,IF(U424="■",7,IF(I425="■",5,IF(M425="■",6,0))))))</f>
        <v>2A:yakan_kinmu_code:0</v>
      </c>
      <c r="AJ424" s="3056" t="str">
        <f>"2A:field203:" &amp; IF(Y424="■",1,IF(Y425="■",2,0))</f>
        <v>2A:field203:0</v>
      </c>
    </row>
    <row r="425" spans="1:36" s="3056" customFormat="1" ht="18.75" hidden="1" customHeight="1">
      <c r="A425" s="3195"/>
      <c r="B425" s="3194"/>
      <c r="C425" s="1303"/>
      <c r="D425" s="1304"/>
      <c r="E425" s="1305"/>
      <c r="F425" s="1304"/>
      <c r="G425" s="1275"/>
      <c r="H425" s="1542"/>
      <c r="I425" s="3063" t="s">
        <v>121</v>
      </c>
      <c r="J425" s="1296" t="s">
        <v>2303</v>
      </c>
      <c r="K425" s="1309"/>
      <c r="L425" s="1355"/>
      <c r="M425" s="3062" t="s">
        <v>121</v>
      </c>
      <c r="N425" s="1296" t="s">
        <v>1228</v>
      </c>
      <c r="O425" s="1403"/>
      <c r="P425" s="1403"/>
      <c r="Q425" s="1403"/>
      <c r="R425" s="1403"/>
      <c r="S425" s="1403"/>
      <c r="T425" s="1403"/>
      <c r="U425" s="1403"/>
      <c r="V425" s="1403"/>
      <c r="W425" s="1403"/>
      <c r="X425" s="1297"/>
      <c r="Y425" s="3122" t="s">
        <v>121</v>
      </c>
      <c r="Z425" s="1273" t="s">
        <v>1234</v>
      </c>
      <c r="AA425" s="1292"/>
      <c r="AB425" s="1293"/>
      <c r="AC425" s="1562"/>
      <c r="AD425" s="1562"/>
      <c r="AE425" s="1562"/>
      <c r="AF425" s="1562"/>
      <c r="AG425" s="3056" t="str">
        <f>"2A:sisetukbn_code:"&amp;IF(D436="■","2",0)</f>
        <v>2A:sisetukbn_code:0</v>
      </c>
    </row>
    <row r="426" spans="1:36" s="3056" customFormat="1" ht="18.75" hidden="1" customHeight="1">
      <c r="A426" s="3195"/>
      <c r="B426" s="3194"/>
      <c r="C426" s="1303"/>
      <c r="D426" s="1304"/>
      <c r="E426" s="1305"/>
      <c r="F426" s="1304"/>
      <c r="G426" s="1275"/>
      <c r="H426" s="1541" t="s">
        <v>90</v>
      </c>
      <c r="I426" s="3137" t="s">
        <v>121</v>
      </c>
      <c r="J426" s="1290" t="s">
        <v>1230</v>
      </c>
      <c r="K426" s="1290"/>
      <c r="L426" s="1329"/>
      <c r="M426" s="3136" t="s">
        <v>121</v>
      </c>
      <c r="N426" s="1290" t="s">
        <v>1231</v>
      </c>
      <c r="O426" s="1290"/>
      <c r="P426" s="1329"/>
      <c r="Q426" s="3136" t="s">
        <v>121</v>
      </c>
      <c r="R426" s="1402" t="s">
        <v>2302</v>
      </c>
      <c r="S426" s="1402"/>
      <c r="T426" s="1402"/>
      <c r="U426" s="1314"/>
      <c r="V426" s="1329"/>
      <c r="W426" s="1402"/>
      <c r="X426" s="1315"/>
      <c r="Y426" s="1295"/>
      <c r="Z426" s="1292"/>
      <c r="AA426" s="1292"/>
      <c r="AB426" s="1293"/>
      <c r="AC426" s="1544"/>
      <c r="AD426" s="1544"/>
      <c r="AE426" s="1544"/>
      <c r="AF426" s="1544"/>
      <c r="AI426" s="3056" t="str">
        <f>"2A:"&amp;IF(AND(I426="□",M426="□",Q426="□",I427="□",M427="□"),"ketu_doctor_code:0",IF(I426="■","ketu_doctor_code:1:field197:1:ketu_kangos_code:1:ketu_kshoku_code:1",IF(M426="■","ketu_doctor_code:2","ketu_doctor_code:1")
&amp;IF(Q426="■",":field197:2",":field197:1")
&amp;IF(I427="■",":ketu_kangos_code:2",":ketu_kangos_code:1")
&amp;IF(M427="■",":ketu_kshoku_code:2",":ketu_kshoku_code:1")))</f>
        <v>2A:ketu_doctor_code:0</v>
      </c>
    </row>
    <row r="427" spans="1:36" s="3056" customFormat="1" ht="18.75" hidden="1" customHeight="1">
      <c r="A427" s="3195"/>
      <c r="B427" s="3194"/>
      <c r="C427" s="1303"/>
      <c r="D427" s="1304"/>
      <c r="E427" s="1305"/>
      <c r="F427" s="1304"/>
      <c r="G427" s="1275"/>
      <c r="H427" s="1542"/>
      <c r="I427" s="3063" t="s">
        <v>121</v>
      </c>
      <c r="J427" s="1403" t="s">
        <v>2301</v>
      </c>
      <c r="K427" s="1403"/>
      <c r="L427" s="1403"/>
      <c r="M427" s="3062" t="s">
        <v>121</v>
      </c>
      <c r="N427" s="1403" t="s">
        <v>2300</v>
      </c>
      <c r="O427" s="1355"/>
      <c r="P427" s="1403"/>
      <c r="Q427" s="1403"/>
      <c r="R427" s="1355"/>
      <c r="S427" s="1403"/>
      <c r="T427" s="1403"/>
      <c r="U427" s="1330"/>
      <c r="V427" s="1355"/>
      <c r="W427" s="1403"/>
      <c r="X427" s="1356"/>
      <c r="Y427" s="1295"/>
      <c r="Z427" s="1292"/>
      <c r="AA427" s="1292"/>
      <c r="AB427" s="1293"/>
      <c r="AC427" s="1544"/>
      <c r="AD427" s="1544"/>
      <c r="AE427" s="1544"/>
      <c r="AF427" s="1544"/>
    </row>
    <row r="428" spans="1:36" s="3056" customFormat="1" ht="18.75" hidden="1" customHeight="1">
      <c r="A428" s="735"/>
      <c r="B428" s="1407"/>
      <c r="C428" s="1287"/>
      <c r="D428" s="1288"/>
      <c r="E428" s="1275"/>
      <c r="F428" s="1289"/>
      <c r="G428" s="1305"/>
      <c r="H428" s="3193" t="s">
        <v>1241</v>
      </c>
      <c r="I428" s="3096" t="s">
        <v>121</v>
      </c>
      <c r="J428" s="3091" t="s">
        <v>1242</v>
      </c>
      <c r="K428" s="3095"/>
      <c r="L428" s="3094"/>
      <c r="M428" s="3093" t="s">
        <v>121</v>
      </c>
      <c r="N428" s="3091" t="s">
        <v>1243</v>
      </c>
      <c r="O428" s="3095"/>
      <c r="P428" s="3192"/>
      <c r="Q428" s="3192"/>
      <c r="R428" s="3192"/>
      <c r="S428" s="3192"/>
      <c r="T428" s="3192"/>
      <c r="U428" s="3192"/>
      <c r="V428" s="3192"/>
      <c r="W428" s="3192"/>
      <c r="X428" s="3191"/>
      <c r="Y428" s="1295"/>
      <c r="Z428" s="1292"/>
      <c r="AA428" s="1292"/>
      <c r="AB428" s="1293"/>
      <c r="AC428" s="1544"/>
      <c r="AD428" s="1544"/>
      <c r="AE428" s="1544"/>
      <c r="AF428" s="1544"/>
      <c r="AI428" s="3056" t="str">
        <f>"2A:sintaikousoku_code:" &amp; IF(I428="■",1,IF(M428="■",2,0))</f>
        <v>2A:sintaikousoku_code:0</v>
      </c>
    </row>
    <row r="429" spans="1:36" s="3056" customFormat="1" ht="19.5" hidden="1" customHeight="1">
      <c r="A429" s="735"/>
      <c r="B429" s="1407"/>
      <c r="C429" s="1303"/>
      <c r="D429" s="1304"/>
      <c r="E429" s="1275"/>
      <c r="F429" s="1289"/>
      <c r="G429" s="1305"/>
      <c r="H429" s="1306" t="s">
        <v>1244</v>
      </c>
      <c r="I429" s="3066" t="s">
        <v>121</v>
      </c>
      <c r="J429" s="1298" t="s">
        <v>1242</v>
      </c>
      <c r="K429" s="1299"/>
      <c r="L429" s="1300"/>
      <c r="M429" s="3065" t="s">
        <v>121</v>
      </c>
      <c r="N429" s="1298" t="s">
        <v>1245</v>
      </c>
      <c r="O429" s="1301"/>
      <c r="P429" s="1298"/>
      <c r="Q429" s="1307"/>
      <c r="R429" s="1307"/>
      <c r="S429" s="1307"/>
      <c r="T429" s="1307"/>
      <c r="U429" s="1307"/>
      <c r="V429" s="1307"/>
      <c r="W429" s="1307"/>
      <c r="X429" s="1308"/>
      <c r="Y429" s="1292"/>
      <c r="Z429" s="1292"/>
      <c r="AA429" s="1292"/>
      <c r="AB429" s="1293"/>
      <c r="AC429" s="1544"/>
      <c r="AD429" s="1544"/>
      <c r="AE429" s="1544"/>
      <c r="AF429" s="1544"/>
      <c r="AI429" s="3056" t="str">
        <f>"2A:field223:" &amp; IF(I429="■",1,IF(M429="■",2,0))</f>
        <v>2A:field223:0</v>
      </c>
    </row>
    <row r="430" spans="1:36" s="3056" customFormat="1" ht="19.5" hidden="1" customHeight="1">
      <c r="A430" s="735"/>
      <c r="B430" s="1407"/>
      <c r="C430" s="1303"/>
      <c r="D430" s="1304"/>
      <c r="E430" s="1275"/>
      <c r="F430" s="1289"/>
      <c r="G430" s="1305"/>
      <c r="H430" s="1306" t="s">
        <v>1246</v>
      </c>
      <c r="I430" s="3066" t="s">
        <v>121</v>
      </c>
      <c r="J430" s="1298" t="s">
        <v>1242</v>
      </c>
      <c r="K430" s="1299"/>
      <c r="L430" s="1300"/>
      <c r="M430" s="3065" t="s">
        <v>121</v>
      </c>
      <c r="N430" s="1298" t="s">
        <v>1245</v>
      </c>
      <c r="O430" s="1301"/>
      <c r="P430" s="1298"/>
      <c r="Q430" s="1307"/>
      <c r="R430" s="1307"/>
      <c r="S430" s="1307"/>
      <c r="T430" s="1307"/>
      <c r="U430" s="1307"/>
      <c r="V430" s="1307"/>
      <c r="W430" s="1307"/>
      <c r="X430" s="1308"/>
      <c r="Y430" s="1292"/>
      <c r="Z430" s="1292"/>
      <c r="AA430" s="1292"/>
      <c r="AB430" s="1293"/>
      <c r="AC430" s="1544"/>
      <c r="AD430" s="1544"/>
      <c r="AE430" s="1544"/>
      <c r="AF430" s="1544"/>
      <c r="AI430" s="3056" t="str">
        <f>"2A:field232:" &amp; IF(I430="■",1,IF(M430="■",2,0))</f>
        <v>2A:field232:0</v>
      </c>
    </row>
    <row r="431" spans="1:36" s="1418" customFormat="1" ht="19.5" hidden="1" customHeight="1">
      <c r="A431" s="625"/>
      <c r="B431" s="1416"/>
      <c r="C431" s="629"/>
      <c r="D431" s="1417"/>
      <c r="E431" s="1420"/>
      <c r="F431" s="1415"/>
      <c r="G431" s="617"/>
      <c r="H431" s="3148" t="s">
        <v>2328</v>
      </c>
      <c r="I431" s="3066" t="s">
        <v>121</v>
      </c>
      <c r="J431" s="3144" t="s">
        <v>2326</v>
      </c>
      <c r="K431" s="3147"/>
      <c r="L431" s="3146"/>
      <c r="M431" s="3065" t="s">
        <v>121</v>
      </c>
      <c r="N431" s="3144" t="s">
        <v>2325</v>
      </c>
      <c r="O431" s="3145"/>
      <c r="P431" s="3144"/>
      <c r="Q431" s="3143"/>
      <c r="R431" s="3143"/>
      <c r="S431" s="3143"/>
      <c r="T431" s="3143"/>
      <c r="U431" s="3143"/>
      <c r="V431" s="3143"/>
      <c r="W431" s="3143"/>
      <c r="X431" s="3142"/>
      <c r="Y431" s="1421"/>
      <c r="Z431" s="2"/>
      <c r="AA431" s="626"/>
      <c r="AB431" s="627"/>
      <c r="AC431" s="1544"/>
      <c r="AD431" s="1544"/>
      <c r="AE431" s="1544"/>
      <c r="AF431" s="1544"/>
      <c r="AI431" s="3056" t="str">
        <f>"2A:field242:" &amp; IF(I431="■",1,IF(M431="■",2,0))</f>
        <v>2A:field242:0</v>
      </c>
    </row>
    <row r="432" spans="1:36" s="3056" customFormat="1" ht="18.75" hidden="1" customHeight="1">
      <c r="A432" s="3195"/>
      <c r="B432" s="3194"/>
      <c r="C432" s="1303"/>
      <c r="D432" s="1304"/>
      <c r="E432" s="1305"/>
      <c r="F432" s="1304"/>
      <c r="G432" s="1275"/>
      <c r="H432" s="1409" t="s">
        <v>2295</v>
      </c>
      <c r="I432" s="3066" t="s">
        <v>121</v>
      </c>
      <c r="J432" s="1298" t="s">
        <v>1227</v>
      </c>
      <c r="K432" s="1299"/>
      <c r="L432" s="1300"/>
      <c r="M432" s="3065" t="s">
        <v>121</v>
      </c>
      <c r="N432" s="1298" t="s">
        <v>2291</v>
      </c>
      <c r="O432" s="1307"/>
      <c r="P432" s="1307"/>
      <c r="Q432" s="1307"/>
      <c r="R432" s="1307"/>
      <c r="S432" s="1307"/>
      <c r="T432" s="1307"/>
      <c r="U432" s="1307"/>
      <c r="V432" s="1307"/>
      <c r="W432" s="1307"/>
      <c r="X432" s="1308"/>
      <c r="Y432" s="1295"/>
      <c r="Z432" s="1292"/>
      <c r="AA432" s="1292"/>
      <c r="AB432" s="1293"/>
      <c r="AC432" s="1544"/>
      <c r="AD432" s="1544"/>
      <c r="AE432" s="1544"/>
      <c r="AF432" s="1544"/>
      <c r="AI432" s="3056" t="str">
        <f>"2A:field190:" &amp; IF(I432="■",1,IF(M432="■",2,0))</f>
        <v>2A:field190:0</v>
      </c>
    </row>
    <row r="433" spans="1:35" s="3056" customFormat="1" ht="18.75" hidden="1" customHeight="1">
      <c r="A433" s="3195"/>
      <c r="B433" s="3194"/>
      <c r="C433" s="1303"/>
      <c r="D433" s="1304"/>
      <c r="E433" s="1305"/>
      <c r="F433" s="1304"/>
      <c r="G433" s="1275"/>
      <c r="H433" s="1409" t="s">
        <v>2293</v>
      </c>
      <c r="I433" s="3066" t="s">
        <v>121</v>
      </c>
      <c r="J433" s="1298" t="s">
        <v>1227</v>
      </c>
      <c r="K433" s="1299"/>
      <c r="L433" s="1300"/>
      <c r="M433" s="3065" t="s">
        <v>121</v>
      </c>
      <c r="N433" s="1298" t="s">
        <v>2291</v>
      </c>
      <c r="O433" s="1307"/>
      <c r="P433" s="1307"/>
      <c r="Q433" s="1307"/>
      <c r="R433" s="1307"/>
      <c r="S433" s="1307"/>
      <c r="T433" s="1307"/>
      <c r="U433" s="1307"/>
      <c r="V433" s="1307"/>
      <c r="W433" s="1307"/>
      <c r="X433" s="1308"/>
      <c r="Y433" s="1295"/>
      <c r="Z433" s="1292"/>
      <c r="AA433" s="1292"/>
      <c r="AB433" s="1293"/>
      <c r="AC433" s="1544"/>
      <c r="AD433" s="1544"/>
      <c r="AE433" s="1544"/>
      <c r="AF433" s="1544"/>
      <c r="AI433" s="3056" t="str">
        <f>"2A:field191:" &amp; IF(I433="■",1,IF(M433="■",2,0))</f>
        <v>2A:field191:0</v>
      </c>
    </row>
    <row r="434" spans="1:35" s="3056" customFormat="1" ht="18.75" hidden="1" customHeight="1">
      <c r="A434" s="3195"/>
      <c r="B434" s="3194"/>
      <c r="C434" s="1303"/>
      <c r="D434" s="1304"/>
      <c r="E434" s="1305"/>
      <c r="F434" s="1304"/>
      <c r="G434" s="1275"/>
      <c r="H434" s="1409" t="s">
        <v>1305</v>
      </c>
      <c r="I434" s="3066" t="s">
        <v>121</v>
      </c>
      <c r="J434" s="1298" t="s">
        <v>1230</v>
      </c>
      <c r="K434" s="1299"/>
      <c r="L434" s="3065" t="s">
        <v>121</v>
      </c>
      <c r="M434" s="1298" t="s">
        <v>1248</v>
      </c>
      <c r="N434" s="1307"/>
      <c r="O434" s="1307"/>
      <c r="P434" s="1307"/>
      <c r="Q434" s="1307"/>
      <c r="R434" s="1307"/>
      <c r="S434" s="1307"/>
      <c r="T434" s="1307"/>
      <c r="U434" s="1307"/>
      <c r="V434" s="1307"/>
      <c r="W434" s="1307"/>
      <c r="X434" s="1308"/>
      <c r="Y434" s="1295"/>
      <c r="Z434" s="1292"/>
      <c r="AA434" s="1292"/>
      <c r="AB434" s="1293"/>
      <c r="AC434" s="1544"/>
      <c r="AD434" s="1544"/>
      <c r="AE434" s="1544"/>
      <c r="AF434" s="1544"/>
      <c r="AI434" s="3056" t="str">
        <f>"2A:jyakuninti_uke_code:" &amp; IF(I434="■",1,IF(L434="■",2,0))</f>
        <v>2A:jyakuninti_uke_code:0</v>
      </c>
    </row>
    <row r="435" spans="1:35" s="3056" customFormat="1" ht="18.75" hidden="1" customHeight="1">
      <c r="A435" s="3195"/>
      <c r="B435" s="3194"/>
      <c r="C435" s="1303"/>
      <c r="D435" s="1304"/>
      <c r="E435" s="1305"/>
      <c r="F435" s="3122" t="s">
        <v>121</v>
      </c>
      <c r="G435" s="1275" t="s">
        <v>2334</v>
      </c>
      <c r="H435" s="1409" t="s">
        <v>1324</v>
      </c>
      <c r="I435" s="3066" t="s">
        <v>121</v>
      </c>
      <c r="J435" s="1298" t="s">
        <v>1239</v>
      </c>
      <c r="K435" s="1299"/>
      <c r="L435" s="1300"/>
      <c r="M435" s="3065" t="s">
        <v>121</v>
      </c>
      <c r="N435" s="1298" t="s">
        <v>1240</v>
      </c>
      <c r="O435" s="1307"/>
      <c r="P435" s="1307"/>
      <c r="Q435" s="1307"/>
      <c r="R435" s="1307"/>
      <c r="S435" s="1307"/>
      <c r="T435" s="1307"/>
      <c r="U435" s="1307"/>
      <c r="V435" s="1307"/>
      <c r="W435" s="1307"/>
      <c r="X435" s="1308"/>
      <c r="Y435" s="1295"/>
      <c r="Z435" s="1292"/>
      <c r="AA435" s="1292"/>
      <c r="AB435" s="1293"/>
      <c r="AC435" s="1544"/>
      <c r="AD435" s="1544"/>
      <c r="AE435" s="1544"/>
      <c r="AF435" s="1544"/>
      <c r="AI435" s="3056" t="str">
        <f>"2A:sougei_code:" &amp; IF(I435="■",1,IF(M435="■",2,0))</f>
        <v>2A:sougei_code:0</v>
      </c>
    </row>
    <row r="436" spans="1:35" s="3056" customFormat="1" ht="19.5" hidden="1" customHeight="1">
      <c r="A436" s="3069" t="s">
        <v>121</v>
      </c>
      <c r="B436" s="3194" t="s">
        <v>2392</v>
      </c>
      <c r="C436" s="1303" t="s">
        <v>1321</v>
      </c>
      <c r="D436" s="3122" t="s">
        <v>121</v>
      </c>
      <c r="E436" s="1305" t="s">
        <v>2396</v>
      </c>
      <c r="F436" s="3122" t="s">
        <v>121</v>
      </c>
      <c r="G436" s="1275" t="s">
        <v>2331</v>
      </c>
      <c r="H436" s="1306" t="s">
        <v>1325</v>
      </c>
      <c r="I436" s="3066" t="s">
        <v>121</v>
      </c>
      <c r="J436" s="1298" t="s">
        <v>1230</v>
      </c>
      <c r="K436" s="1298"/>
      <c r="L436" s="3065" t="s">
        <v>121</v>
      </c>
      <c r="M436" s="1298" t="s">
        <v>1248</v>
      </c>
      <c r="N436" s="1298"/>
      <c r="O436" s="1307"/>
      <c r="P436" s="1298"/>
      <c r="Q436" s="1307"/>
      <c r="R436" s="1307"/>
      <c r="S436" s="1307"/>
      <c r="T436" s="1307"/>
      <c r="U436" s="1307"/>
      <c r="V436" s="1307"/>
      <c r="W436" s="1307"/>
      <c r="X436" s="1308"/>
      <c r="Y436" s="1292"/>
      <c r="Z436" s="1292"/>
      <c r="AA436" s="1292"/>
      <c r="AB436" s="1293"/>
      <c r="AC436" s="1544"/>
      <c r="AD436" s="1544"/>
      <c r="AE436" s="1544"/>
      <c r="AF436" s="1544"/>
      <c r="AI436" s="3056" t="str">
        <f>"2A:field224:" &amp; IF(I436="■",1,IF(L436="■",2,0))</f>
        <v>2A:field224:0</v>
      </c>
    </row>
    <row r="437" spans="1:35" s="3056" customFormat="1" ht="18.75" hidden="1" customHeight="1">
      <c r="A437" s="3195"/>
      <c r="B437" s="3194"/>
      <c r="C437" s="1303"/>
      <c r="D437" s="1304"/>
      <c r="E437" s="1305"/>
      <c r="F437" s="3122" t="s">
        <v>121</v>
      </c>
      <c r="G437" s="1275" t="s">
        <v>2330</v>
      </c>
      <c r="H437" s="1409" t="s">
        <v>145</v>
      </c>
      <c r="I437" s="3066" t="s">
        <v>121</v>
      </c>
      <c r="J437" s="1298" t="s">
        <v>1230</v>
      </c>
      <c r="K437" s="1299"/>
      <c r="L437" s="3065" t="s">
        <v>121</v>
      </c>
      <c r="M437" s="1298" t="s">
        <v>1248</v>
      </c>
      <c r="N437" s="1307"/>
      <c r="O437" s="1307"/>
      <c r="P437" s="1307"/>
      <c r="Q437" s="1307"/>
      <c r="R437" s="1307"/>
      <c r="S437" s="1307"/>
      <c r="T437" s="1307"/>
      <c r="U437" s="1307"/>
      <c r="V437" s="1307"/>
      <c r="W437" s="1307"/>
      <c r="X437" s="1308"/>
      <c r="Y437" s="1295"/>
      <c r="Z437" s="1292"/>
      <c r="AA437" s="1292"/>
      <c r="AB437" s="1293"/>
      <c r="AC437" s="1544"/>
      <c r="AD437" s="1544"/>
      <c r="AE437" s="1544"/>
      <c r="AF437" s="1544"/>
      <c r="AI437" s="3056" t="str">
        <f>"2A:ryouyoushoku_code:" &amp; IF(I437="■",1,IF(L437="■",2,0))</f>
        <v>2A:ryouyoushoku_code:0</v>
      </c>
    </row>
    <row r="438" spans="1:35" s="3056" customFormat="1" ht="18.75" hidden="1" customHeight="1">
      <c r="A438" s="3195"/>
      <c r="B438" s="3194"/>
      <c r="C438" s="1303"/>
      <c r="D438" s="1304"/>
      <c r="E438" s="1305"/>
      <c r="F438" s="1304"/>
      <c r="G438" s="1275"/>
      <c r="H438" s="1409" t="s">
        <v>1260</v>
      </c>
      <c r="I438" s="3066" t="s">
        <v>121</v>
      </c>
      <c r="J438" s="1298" t="s">
        <v>1230</v>
      </c>
      <c r="K438" s="1298"/>
      <c r="L438" s="3065" t="s">
        <v>121</v>
      </c>
      <c r="M438" s="1298" t="s">
        <v>1256</v>
      </c>
      <c r="N438" s="1298"/>
      <c r="O438" s="3065" t="s">
        <v>121</v>
      </c>
      <c r="P438" s="1298" t="s">
        <v>1257</v>
      </c>
      <c r="Q438" s="1307"/>
      <c r="R438" s="1307"/>
      <c r="S438" s="1307"/>
      <c r="T438" s="1307"/>
      <c r="U438" s="1307"/>
      <c r="V438" s="1307"/>
      <c r="W438" s="1307"/>
      <c r="X438" s="1308"/>
      <c r="Y438" s="1295"/>
      <c r="Z438" s="1292"/>
      <c r="AA438" s="1292"/>
      <c r="AB438" s="1293"/>
      <c r="AC438" s="1544"/>
      <c r="AD438" s="1544"/>
      <c r="AE438" s="1544"/>
      <c r="AF438" s="1544"/>
      <c r="AI438" s="3056" t="str">
        <f>"2A:ninti_senmoncare_code:" &amp; IF(I438="■",1,IF(O438="■",3,IF(L438="■",2,0)))</f>
        <v>2A:ninti_senmoncare_code:0</v>
      </c>
    </row>
    <row r="439" spans="1:35" s="3056" customFormat="1" ht="18.75" hidden="1" customHeight="1">
      <c r="A439" s="3195"/>
      <c r="B439" s="3194"/>
      <c r="C439" s="1303"/>
      <c r="D439" s="1304"/>
      <c r="E439" s="1305"/>
      <c r="F439" s="1304"/>
      <c r="G439" s="1275"/>
      <c r="H439" s="1409" t="s">
        <v>2307</v>
      </c>
      <c r="I439" s="3066" t="s">
        <v>121</v>
      </c>
      <c r="J439" s="1298" t="s">
        <v>1230</v>
      </c>
      <c r="K439" s="1298"/>
      <c r="L439" s="3065" t="s">
        <v>121</v>
      </c>
      <c r="M439" s="1298" t="s">
        <v>1256</v>
      </c>
      <c r="N439" s="1298"/>
      <c r="O439" s="3065" t="s">
        <v>121</v>
      </c>
      <c r="P439" s="1298" t="s">
        <v>1257</v>
      </c>
      <c r="Q439" s="1307"/>
      <c r="R439" s="1307"/>
      <c r="S439" s="1307"/>
      <c r="T439" s="1307"/>
      <c r="U439" s="1307"/>
      <c r="V439" s="1307"/>
      <c r="W439" s="1307"/>
      <c r="X439" s="1308"/>
      <c r="Y439" s="1295"/>
      <c r="Z439" s="1292"/>
      <c r="AA439" s="1292"/>
      <c r="AB439" s="1293"/>
      <c r="AC439" s="1544"/>
      <c r="AD439" s="1544"/>
      <c r="AE439" s="1544"/>
      <c r="AF439" s="1544"/>
      <c r="AI439" s="3056" t="str">
        <f>"2A:field164:" &amp; IF(I439="■",1,IF(L439="■",2,IF(O439="■",3,0)))</f>
        <v>2A:field164:0</v>
      </c>
    </row>
    <row r="440" spans="1:35" s="3056" customFormat="1" ht="18.75" hidden="1" customHeight="1">
      <c r="A440" s="3195"/>
      <c r="B440" s="3194"/>
      <c r="C440" s="1303"/>
      <c r="D440" s="1304"/>
      <c r="E440" s="1305"/>
      <c r="F440" s="1304"/>
      <c r="G440" s="1275"/>
      <c r="H440" s="1541" t="s">
        <v>2395</v>
      </c>
      <c r="I440" s="3137" t="s">
        <v>121</v>
      </c>
      <c r="J440" s="1290" t="s">
        <v>1273</v>
      </c>
      <c r="K440" s="1290"/>
      <c r="L440" s="1314"/>
      <c r="M440" s="1314"/>
      <c r="N440" s="1314"/>
      <c r="O440" s="1314"/>
      <c r="P440" s="3136" t="s">
        <v>121</v>
      </c>
      <c r="Q440" s="1290" t="s">
        <v>1274</v>
      </c>
      <c r="R440" s="1314"/>
      <c r="S440" s="1314"/>
      <c r="T440" s="1314"/>
      <c r="U440" s="1314"/>
      <c r="V440" s="1314"/>
      <c r="W440" s="1314"/>
      <c r="X440" s="1315"/>
      <c r="Y440" s="1295"/>
      <c r="Z440" s="1292"/>
      <c r="AA440" s="1292"/>
      <c r="AB440" s="1293"/>
      <c r="AC440" s="1544"/>
      <c r="AD440" s="1544"/>
      <c r="AE440" s="1544"/>
      <c r="AF440" s="1544"/>
      <c r="AI440" s="3056" t="str">
        <f>"2A:" &amp; IF(AND(I440="□",P440="□",I441="□"),"tokusin_jyusho_code:0:tokusin_yakuzai_code:0:shuudan_comu_code:0",IF(I440="■","tokusin_jyusho_code:2","tokusin_jyusho_code:1")
&amp;IF(P440="■",":tokusin_yakuzai_code:2",":tokusin_yakuzai_code:1")
&amp;IF(I441="■",":shuudan_comu_code:2",":shuudan_comu_code:1"))</f>
        <v>2A:tokusin_jyusho_code:0:tokusin_yakuzai_code:0:shuudan_comu_code:0</v>
      </c>
    </row>
    <row r="441" spans="1:35" s="3056" customFormat="1" ht="18.75" hidden="1" customHeight="1">
      <c r="A441" s="3195"/>
      <c r="B441" s="3194"/>
      <c r="C441" s="1303"/>
      <c r="D441" s="1304"/>
      <c r="E441" s="1305"/>
      <c r="F441" s="1304"/>
      <c r="G441" s="1275"/>
      <c r="H441" s="1542"/>
      <c r="I441" s="3063" t="s">
        <v>121</v>
      </c>
      <c r="J441" s="1296" t="s">
        <v>2318</v>
      </c>
      <c r="K441" s="1330"/>
      <c r="L441" s="1330"/>
      <c r="M441" s="1330"/>
      <c r="N441" s="1330"/>
      <c r="O441" s="1330"/>
      <c r="P441" s="1330"/>
      <c r="Q441" s="1403"/>
      <c r="R441" s="1330"/>
      <c r="S441" s="1330"/>
      <c r="T441" s="1330"/>
      <c r="U441" s="1330"/>
      <c r="V441" s="1330"/>
      <c r="W441" s="1330"/>
      <c r="X441" s="1356"/>
      <c r="Y441" s="1295"/>
      <c r="Z441" s="1292"/>
      <c r="AA441" s="1292"/>
      <c r="AB441" s="1293"/>
      <c r="AC441" s="1544"/>
      <c r="AD441" s="1544"/>
      <c r="AE441" s="1544"/>
      <c r="AF441" s="1544"/>
    </row>
    <row r="442" spans="1:35" s="3056" customFormat="1" ht="18.75" hidden="1" customHeight="1">
      <c r="A442" s="3195"/>
      <c r="B442" s="3194"/>
      <c r="C442" s="1303"/>
      <c r="D442" s="1304"/>
      <c r="E442" s="1305"/>
      <c r="F442" s="1304"/>
      <c r="G442" s="1275"/>
      <c r="H442" s="1541" t="s">
        <v>1280</v>
      </c>
      <c r="I442" s="3137" t="s">
        <v>121</v>
      </c>
      <c r="J442" s="1290" t="s">
        <v>2317</v>
      </c>
      <c r="K442" s="1328"/>
      <c r="L442" s="1329"/>
      <c r="M442" s="3136" t="s">
        <v>121</v>
      </c>
      <c r="N442" s="1290" t="s">
        <v>2316</v>
      </c>
      <c r="O442" s="1314"/>
      <c r="P442" s="1314"/>
      <c r="Q442" s="3136" t="s">
        <v>121</v>
      </c>
      <c r="R442" s="1290" t="s">
        <v>2315</v>
      </c>
      <c r="S442" s="1314"/>
      <c r="T442" s="1314"/>
      <c r="U442" s="1314"/>
      <c r="V442" s="1314"/>
      <c r="W442" s="1314"/>
      <c r="X442" s="1315"/>
      <c r="Y442" s="1295"/>
      <c r="Z442" s="1292"/>
      <c r="AA442" s="1292"/>
      <c r="AB442" s="1293"/>
      <c r="AC442" s="1544"/>
      <c r="AD442" s="1544"/>
      <c r="AE442" s="1544"/>
      <c r="AF442" s="1544"/>
      <c r="AI442" s="3056" t="str">
        <f>"2A:"&amp;IF(AND(I442="□",M442="□",Q442="□",I443="□",Q443="□"),"koriha_rryoho1_code:0:koriha_sryoho_code:0:koriha_gengo_code:0:riha_seisin_code:0:koriha_other_code:0",IF(I442="■","koriha_rryoho1_code:2","koriha_rryoho1_code:1")
&amp;IF(M442="■",":koriha_sryoho_code:2",":koriha_sryoho_code:1")
&amp;IF(Q442="■",":koriha_gengo_code:2",":koriha_gengo_code:1")
&amp;IF(I443="■",":riha_seisin_code:2",":riha_seisin_code:1")
&amp;IF(Q443="■",":koriha_other_code:2",":koriha_other_code:1"))</f>
        <v>2A:koriha_rryoho1_code:0:koriha_sryoho_code:0:koriha_gengo_code:0:riha_seisin_code:0:koriha_other_code:0</v>
      </c>
    </row>
    <row r="443" spans="1:35" s="3056" customFormat="1" ht="18.75" hidden="1" customHeight="1">
      <c r="A443" s="3195"/>
      <c r="B443" s="3194"/>
      <c r="C443" s="1303"/>
      <c r="D443" s="1304"/>
      <c r="E443" s="1305"/>
      <c r="F443" s="1304"/>
      <c r="G443" s="1275"/>
      <c r="H443" s="1542"/>
      <c r="I443" s="3063" t="s">
        <v>121</v>
      </c>
      <c r="J443" s="1296" t="s">
        <v>2314</v>
      </c>
      <c r="K443" s="1330"/>
      <c r="L443" s="1330"/>
      <c r="M443" s="1330"/>
      <c r="N443" s="1330"/>
      <c r="O443" s="1330"/>
      <c r="P443" s="1330"/>
      <c r="Q443" s="3062" t="s">
        <v>121</v>
      </c>
      <c r="R443" s="1296" t="s">
        <v>2313</v>
      </c>
      <c r="S443" s="1403"/>
      <c r="T443" s="1330"/>
      <c r="U443" s="1330"/>
      <c r="V443" s="1330"/>
      <c r="W443" s="1330"/>
      <c r="X443" s="1356"/>
      <c r="Y443" s="1295"/>
      <c r="Z443" s="1292"/>
      <c r="AA443" s="1292"/>
      <c r="AB443" s="1293"/>
      <c r="AC443" s="1544"/>
      <c r="AD443" s="1544"/>
      <c r="AE443" s="1544"/>
      <c r="AF443" s="1544"/>
    </row>
    <row r="444" spans="1:35" s="3056" customFormat="1" ht="18.75" hidden="1" customHeight="1">
      <c r="A444" s="3195"/>
      <c r="B444" s="3194"/>
      <c r="C444" s="1303"/>
      <c r="D444" s="1304"/>
      <c r="E444" s="1305"/>
      <c r="F444" s="1304"/>
      <c r="G444" s="1275"/>
      <c r="H444" s="1313" t="s">
        <v>1265</v>
      </c>
      <c r="I444" s="3066" t="s">
        <v>121</v>
      </c>
      <c r="J444" s="1298" t="s">
        <v>1230</v>
      </c>
      <c r="K444" s="1298"/>
      <c r="L444" s="3065" t="s">
        <v>121</v>
      </c>
      <c r="M444" s="1298" t="s">
        <v>1256</v>
      </c>
      <c r="N444" s="1298"/>
      <c r="O444" s="3065" t="s">
        <v>121</v>
      </c>
      <c r="P444" s="1298" t="s">
        <v>1257</v>
      </c>
      <c r="Q444" s="1307"/>
      <c r="R444" s="1307"/>
      <c r="S444" s="1307"/>
      <c r="T444" s="1307"/>
      <c r="U444" s="1314"/>
      <c r="V444" s="1314"/>
      <c r="W444" s="1314"/>
      <c r="X444" s="1315"/>
      <c r="Y444" s="1295"/>
      <c r="Z444" s="1292"/>
      <c r="AA444" s="1292"/>
      <c r="AB444" s="1293"/>
      <c r="AC444" s="1544"/>
      <c r="AD444" s="1544"/>
      <c r="AE444" s="1544"/>
      <c r="AF444" s="1544"/>
      <c r="AI444" s="3056" t="str">
        <f>"2A:field225:" &amp; IF(I444="■",1,IF(L444="■",2,IF(O444="■",3,0)))</f>
        <v>2A:field225:0</v>
      </c>
    </row>
    <row r="445" spans="1:35" s="3056" customFormat="1" ht="18.75" hidden="1" customHeight="1">
      <c r="A445" s="3195"/>
      <c r="B445" s="3194"/>
      <c r="C445" s="1303"/>
      <c r="D445" s="1304"/>
      <c r="E445" s="1305"/>
      <c r="F445" s="1304"/>
      <c r="G445" s="1275"/>
      <c r="H445" s="1410" t="s">
        <v>1266</v>
      </c>
      <c r="I445" s="3066" t="s">
        <v>121</v>
      </c>
      <c r="J445" s="1298" t="s">
        <v>1230</v>
      </c>
      <c r="K445" s="1298"/>
      <c r="L445" s="3065" t="s">
        <v>121</v>
      </c>
      <c r="M445" s="1298" t="s">
        <v>1267</v>
      </c>
      <c r="N445" s="1298"/>
      <c r="O445" s="3065" t="s">
        <v>121</v>
      </c>
      <c r="P445" s="1298" t="s">
        <v>1268</v>
      </c>
      <c r="Q445" s="1326"/>
      <c r="R445" s="3065" t="s">
        <v>121</v>
      </c>
      <c r="S445" s="1298" t="s">
        <v>1269</v>
      </c>
      <c r="T445" s="1326"/>
      <c r="U445" s="1326"/>
      <c r="V445" s="1326"/>
      <c r="W445" s="1326"/>
      <c r="X445" s="1327"/>
      <c r="Y445" s="1295"/>
      <c r="Z445" s="1292"/>
      <c r="AA445" s="1292"/>
      <c r="AB445" s="1293"/>
      <c r="AC445" s="1544"/>
      <c r="AD445" s="1544"/>
      <c r="AE445" s="1544"/>
      <c r="AF445" s="1544"/>
      <c r="AI445" s="3056" t="str">
        <f>"2A:serteikyo_kyoka_code:" &amp; IF(I445="■",1,IF(L445="■",6,IF(O445="■",5,IF(R445="■",7,0))))</f>
        <v>2A:serteikyo_kyoka_code:0</v>
      </c>
    </row>
    <row r="446" spans="1:35" s="3056" customFormat="1" ht="18.75" hidden="1" customHeight="1">
      <c r="A446" s="3195"/>
      <c r="B446" s="3194"/>
      <c r="C446" s="1303"/>
      <c r="D446" s="1304"/>
      <c r="E446" s="1305"/>
      <c r="F446" s="1304"/>
      <c r="G446" s="1275"/>
      <c r="H446" s="1539" t="s">
        <v>2390</v>
      </c>
      <c r="I446" s="3162" t="s">
        <v>121</v>
      </c>
      <c r="J446" s="3161" t="s">
        <v>1230</v>
      </c>
      <c r="K446" s="3161"/>
      <c r="L446" s="3160" t="s">
        <v>121</v>
      </c>
      <c r="M446" s="3161" t="s">
        <v>1248</v>
      </c>
      <c r="N446" s="3161"/>
      <c r="O446" s="1290"/>
      <c r="P446" s="1290"/>
      <c r="Q446" s="1290"/>
      <c r="R446" s="1290"/>
      <c r="S446" s="1290"/>
      <c r="T446" s="1290"/>
      <c r="U446" s="1290"/>
      <c r="V446" s="1290"/>
      <c r="W446" s="1290"/>
      <c r="X446" s="1331"/>
      <c r="Y446" s="1295"/>
      <c r="Z446" s="1292"/>
      <c r="AA446" s="1292"/>
      <c r="AB446" s="1293"/>
      <c r="AC446" s="1544"/>
      <c r="AD446" s="1544"/>
      <c r="AE446" s="1544"/>
      <c r="AF446" s="1544"/>
      <c r="AI446" s="3056" t="str">
        <f>"2A:field221:" &amp; IF(I446="■",1,IF(L446="■",2,0))</f>
        <v>2A:field221:0</v>
      </c>
    </row>
    <row r="447" spans="1:35" s="3056" customFormat="1" ht="18.75" hidden="1" customHeight="1">
      <c r="A447" s="3195"/>
      <c r="B447" s="3194"/>
      <c r="C447" s="1303"/>
      <c r="D447" s="1304"/>
      <c r="E447" s="1305"/>
      <c r="F447" s="1304"/>
      <c r="G447" s="1275"/>
      <c r="H447" s="1540"/>
      <c r="I447" s="3162"/>
      <c r="J447" s="3161"/>
      <c r="K447" s="3161"/>
      <c r="L447" s="3160"/>
      <c r="M447" s="3161"/>
      <c r="N447" s="3161"/>
      <c r="O447" s="1296"/>
      <c r="P447" s="1296"/>
      <c r="Q447" s="1296"/>
      <c r="R447" s="1296"/>
      <c r="S447" s="1296"/>
      <c r="T447" s="1296"/>
      <c r="U447" s="1296"/>
      <c r="V447" s="1296"/>
      <c r="W447" s="1296"/>
      <c r="X447" s="1332"/>
      <c r="Y447" s="1295"/>
      <c r="Z447" s="1292"/>
      <c r="AA447" s="1292"/>
      <c r="AB447" s="1293"/>
      <c r="AC447" s="1544"/>
      <c r="AD447" s="1544"/>
      <c r="AE447" s="1544"/>
      <c r="AF447" s="1544"/>
    </row>
    <row r="448" spans="1:35" s="3056" customFormat="1" ht="18.75" hidden="1" customHeight="1">
      <c r="A448" s="735"/>
      <c r="B448" s="1407"/>
      <c r="C448" s="1303"/>
      <c r="D448" s="1304"/>
      <c r="E448" s="1275"/>
      <c r="F448" s="1289"/>
      <c r="G448" s="1305"/>
      <c r="H448" s="3155" t="s">
        <v>2288</v>
      </c>
      <c r="I448" s="3137" t="s">
        <v>121</v>
      </c>
      <c r="J448" s="3151" t="s">
        <v>1230</v>
      </c>
      <c r="K448" s="3151"/>
      <c r="L448" s="3136" t="s">
        <v>121</v>
      </c>
      <c r="M448" s="3151" t="s">
        <v>2287</v>
      </c>
      <c r="N448" s="3154"/>
      <c r="O448" s="3136" t="s">
        <v>121</v>
      </c>
      <c r="P448" s="3153" t="s">
        <v>2286</v>
      </c>
      <c r="Q448" s="3152"/>
      <c r="R448" s="3136" t="s">
        <v>121</v>
      </c>
      <c r="S448" s="3151" t="s">
        <v>2285</v>
      </c>
      <c r="T448" s="3152"/>
      <c r="U448" s="3136" t="s">
        <v>121</v>
      </c>
      <c r="V448" s="3151" t="s">
        <v>2284</v>
      </c>
      <c r="W448" s="3150"/>
      <c r="X448" s="3149"/>
      <c r="Y448" s="1292"/>
      <c r="Z448" s="1292"/>
      <c r="AA448" s="1292"/>
      <c r="AB448" s="1293"/>
      <c r="AC448" s="1544"/>
      <c r="AD448" s="1544"/>
      <c r="AE448" s="1544"/>
      <c r="AF448" s="1544"/>
      <c r="AI448" s="3056" t="str">
        <f>"2A:shoguukaizen_code:"&amp;IF(I448="■",1,IF(L448="■",7,IF(O448="■",8,IF(R448="■",9,IF(U448="■","A",0)))))</f>
        <v>2A:shoguukaizen_code:0</v>
      </c>
    </row>
    <row r="449" spans="1:36" s="3056" customFormat="1" ht="18.75" hidden="1" customHeight="1">
      <c r="A449" s="3197"/>
      <c r="B449" s="3196"/>
      <c r="C449" s="1333"/>
      <c r="D449" s="1335"/>
      <c r="E449" s="1351"/>
      <c r="F449" s="1335"/>
      <c r="G449" s="1272"/>
      <c r="H449" s="1545" t="s">
        <v>1226</v>
      </c>
      <c r="I449" s="3119" t="s">
        <v>121</v>
      </c>
      <c r="J449" s="1270" t="s">
        <v>1227</v>
      </c>
      <c r="K449" s="3139"/>
      <c r="L449" s="1337"/>
      <c r="M449" s="3138" t="s">
        <v>121</v>
      </c>
      <c r="N449" s="1270" t="s">
        <v>2306</v>
      </c>
      <c r="O449" s="1334"/>
      <c r="P449" s="1334"/>
      <c r="Q449" s="3138" t="s">
        <v>121</v>
      </c>
      <c r="R449" s="1270" t="s">
        <v>2305</v>
      </c>
      <c r="S449" s="1334"/>
      <c r="T449" s="1334"/>
      <c r="U449" s="3138" t="s">
        <v>121</v>
      </c>
      <c r="V449" s="1270" t="s">
        <v>2304</v>
      </c>
      <c r="W449" s="1334"/>
      <c r="X449" s="1336"/>
      <c r="Y449" s="3119" t="s">
        <v>121</v>
      </c>
      <c r="Z449" s="1270" t="s">
        <v>1229</v>
      </c>
      <c r="AA449" s="1270"/>
      <c r="AB449" s="1286"/>
      <c r="AC449" s="1543"/>
      <c r="AD449" s="1543"/>
      <c r="AE449" s="1543"/>
      <c r="AF449" s="1543"/>
      <c r="AG449" s="3056" t="str">
        <f>"ser_code = '" &amp; IF(A458="■","2A","") &amp; "'"</f>
        <v>ser_code = ''</v>
      </c>
      <c r="AH449" s="3056" t="str">
        <f>"2A:jininkbn_code:"&amp;IF(F458="■",1,0)</f>
        <v>2A:jininkbn_code:0</v>
      </c>
      <c r="AI449" s="3056" t="str">
        <f>"2A:yakan_kinmu_code:" &amp; IF(I449="■",1,IF(M449="■",2,IF(Q449="■",3,IF(U449="■",7,IF(I450="■",5,IF(M450="■",6,0))))))</f>
        <v>2A:yakan_kinmu_code:0</v>
      </c>
      <c r="AJ449" s="3056" t="str">
        <f>"2A:field203:" &amp; IF(Y449="■",1,IF(Y450="■",2,0))</f>
        <v>2A:field203:0</v>
      </c>
    </row>
    <row r="450" spans="1:36" s="3056" customFormat="1" ht="18.75" hidden="1" customHeight="1">
      <c r="A450" s="3195"/>
      <c r="B450" s="3194"/>
      <c r="C450" s="1303"/>
      <c r="D450" s="1304"/>
      <c r="E450" s="1305"/>
      <c r="F450" s="1304"/>
      <c r="G450" s="1275"/>
      <c r="H450" s="1542"/>
      <c r="I450" s="3063" t="s">
        <v>121</v>
      </c>
      <c r="J450" s="1296" t="s">
        <v>2303</v>
      </c>
      <c r="K450" s="1309"/>
      <c r="L450" s="1355"/>
      <c r="M450" s="3062" t="s">
        <v>121</v>
      </c>
      <c r="N450" s="1296" t="s">
        <v>1228</v>
      </c>
      <c r="O450" s="1403"/>
      <c r="P450" s="1403"/>
      <c r="Q450" s="1403"/>
      <c r="R450" s="1403"/>
      <c r="S450" s="1403"/>
      <c r="T450" s="1403"/>
      <c r="U450" s="1403"/>
      <c r="V450" s="1403"/>
      <c r="W450" s="1403"/>
      <c r="X450" s="1297"/>
      <c r="Y450" s="3122" t="s">
        <v>121</v>
      </c>
      <c r="Z450" s="1273" t="s">
        <v>1234</v>
      </c>
      <c r="AA450" s="1292"/>
      <c r="AB450" s="1293"/>
      <c r="AC450" s="1562"/>
      <c r="AD450" s="1562"/>
      <c r="AE450" s="1562"/>
      <c r="AF450" s="1562"/>
      <c r="AG450" s="3056" t="str">
        <f>"2A:sisetukbn_code:"&amp;IF(D458="■","3",0)</f>
        <v>2A:sisetukbn_code:0</v>
      </c>
    </row>
    <row r="451" spans="1:36" s="3056" customFormat="1" ht="18.75" hidden="1" customHeight="1">
      <c r="A451" s="3195"/>
      <c r="B451" s="3194"/>
      <c r="C451" s="1303"/>
      <c r="D451" s="1304"/>
      <c r="E451" s="1305"/>
      <c r="F451" s="1304"/>
      <c r="G451" s="1275"/>
      <c r="H451" s="1541" t="s">
        <v>90</v>
      </c>
      <c r="I451" s="3137" t="s">
        <v>121</v>
      </c>
      <c r="J451" s="1290" t="s">
        <v>1230</v>
      </c>
      <c r="K451" s="1290"/>
      <c r="L451" s="1329"/>
      <c r="M451" s="3136" t="s">
        <v>121</v>
      </c>
      <c r="N451" s="1290" t="s">
        <v>1231</v>
      </c>
      <c r="O451" s="1290"/>
      <c r="P451" s="1329"/>
      <c r="Q451" s="3136" t="s">
        <v>121</v>
      </c>
      <c r="R451" s="1402" t="s">
        <v>2302</v>
      </c>
      <c r="S451" s="1402"/>
      <c r="T451" s="1402"/>
      <c r="U451" s="1314"/>
      <c r="V451" s="1329"/>
      <c r="W451" s="1402"/>
      <c r="X451" s="1315"/>
      <c r="Y451" s="1295"/>
      <c r="Z451" s="1292"/>
      <c r="AA451" s="1292"/>
      <c r="AB451" s="1293"/>
      <c r="AC451" s="1544"/>
      <c r="AD451" s="1544"/>
      <c r="AE451" s="1544"/>
      <c r="AF451" s="1544"/>
      <c r="AI451" s="3056" t="str">
        <f>"2A:"&amp;IF(AND(I451="□",M451="□",Q451="□",I452="□",M452="□"),"ketu_doctor_code:0",IF(I451="■","ketu_doctor_code:1:field197:1:ketu_kangos_code:1:ketu_kshoku_code:1",IF(M451="■","ketu_doctor_code:2","ketu_doctor_code:1")
&amp;IF(Q451="■",":field197:2",":field197:1")
&amp;IF(I452="■",":ketu_kangos_code:2",":ketu_kangos_code:1")
&amp;IF(M452="■",":ketu_kshoku_code:2",":ketu_kshoku_code:1")))</f>
        <v>2A:ketu_doctor_code:0</v>
      </c>
    </row>
    <row r="452" spans="1:36" s="3056" customFormat="1" ht="18.75" hidden="1" customHeight="1">
      <c r="A452" s="3195"/>
      <c r="B452" s="3194"/>
      <c r="C452" s="1303"/>
      <c r="D452" s="1304"/>
      <c r="E452" s="1305"/>
      <c r="F452" s="1304"/>
      <c r="G452" s="1275"/>
      <c r="H452" s="1542"/>
      <c r="I452" s="3063" t="s">
        <v>121</v>
      </c>
      <c r="J452" s="1403" t="s">
        <v>2301</v>
      </c>
      <c r="K452" s="1403"/>
      <c r="L452" s="1403"/>
      <c r="M452" s="3062" t="s">
        <v>121</v>
      </c>
      <c r="N452" s="1403" t="s">
        <v>2300</v>
      </c>
      <c r="O452" s="1355"/>
      <c r="P452" s="1403"/>
      <c r="Q452" s="1403"/>
      <c r="R452" s="1355"/>
      <c r="S452" s="1403"/>
      <c r="T452" s="1403"/>
      <c r="U452" s="1330"/>
      <c r="V452" s="1355"/>
      <c r="W452" s="1403"/>
      <c r="X452" s="1356"/>
      <c r="Y452" s="1295"/>
      <c r="Z452" s="1292"/>
      <c r="AA452" s="1292"/>
      <c r="AB452" s="1293"/>
      <c r="AC452" s="1544"/>
      <c r="AD452" s="1544"/>
      <c r="AE452" s="1544"/>
      <c r="AF452" s="1544"/>
    </row>
    <row r="453" spans="1:36" s="3056" customFormat="1" ht="18.75" hidden="1" customHeight="1">
      <c r="A453" s="735"/>
      <c r="B453" s="1407"/>
      <c r="C453" s="1287"/>
      <c r="D453" s="1288"/>
      <c r="E453" s="1275"/>
      <c r="F453" s="1289"/>
      <c r="G453" s="1305"/>
      <c r="H453" s="3193" t="s">
        <v>1241</v>
      </c>
      <c r="I453" s="3096" t="s">
        <v>121</v>
      </c>
      <c r="J453" s="3091" t="s">
        <v>1242</v>
      </c>
      <c r="K453" s="3095"/>
      <c r="L453" s="3094"/>
      <c r="M453" s="3093" t="s">
        <v>121</v>
      </c>
      <c r="N453" s="3091" t="s">
        <v>1243</v>
      </c>
      <c r="O453" s="3095"/>
      <c r="P453" s="3192"/>
      <c r="Q453" s="3192"/>
      <c r="R453" s="3192"/>
      <c r="S453" s="3192"/>
      <c r="T453" s="3192"/>
      <c r="U453" s="3192"/>
      <c r="V453" s="3192"/>
      <c r="W453" s="3192"/>
      <c r="X453" s="3191"/>
      <c r="Y453" s="1295"/>
      <c r="Z453" s="1292"/>
      <c r="AA453" s="1292"/>
      <c r="AB453" s="1293"/>
      <c r="AC453" s="1544"/>
      <c r="AD453" s="1544"/>
      <c r="AE453" s="1544"/>
      <c r="AF453" s="1544"/>
      <c r="AI453" s="3056" t="str">
        <f>"2A:sintaikousoku_code:" &amp; IF(I453="■",1,IF(M453="■",2,0))</f>
        <v>2A:sintaikousoku_code:0</v>
      </c>
    </row>
    <row r="454" spans="1:36" s="3056" customFormat="1" ht="19.5" hidden="1" customHeight="1">
      <c r="A454" s="735"/>
      <c r="B454" s="1407"/>
      <c r="C454" s="1303"/>
      <c r="D454" s="1304"/>
      <c r="E454" s="1275"/>
      <c r="F454" s="1289"/>
      <c r="G454" s="1305"/>
      <c r="H454" s="1306" t="s">
        <v>1244</v>
      </c>
      <c r="I454" s="3066" t="s">
        <v>121</v>
      </c>
      <c r="J454" s="1298" t="s">
        <v>1242</v>
      </c>
      <c r="K454" s="1299"/>
      <c r="L454" s="1300"/>
      <c r="M454" s="3065" t="s">
        <v>121</v>
      </c>
      <c r="N454" s="1298" t="s">
        <v>1245</v>
      </c>
      <c r="O454" s="1301"/>
      <c r="P454" s="1298"/>
      <c r="Q454" s="1307"/>
      <c r="R454" s="1307"/>
      <c r="S454" s="1307"/>
      <c r="T454" s="1307"/>
      <c r="U454" s="1307"/>
      <c r="V454" s="1307"/>
      <c r="W454" s="1307"/>
      <c r="X454" s="1308"/>
      <c r="Y454" s="1292"/>
      <c r="Z454" s="1292"/>
      <c r="AA454" s="1292"/>
      <c r="AB454" s="1293"/>
      <c r="AC454" s="1544"/>
      <c r="AD454" s="1544"/>
      <c r="AE454" s="1544"/>
      <c r="AF454" s="1544"/>
      <c r="AI454" s="3056" t="str">
        <f>"2A:field223:" &amp; IF(I454="■",1,IF(M454="■",2,0))</f>
        <v>2A:field223:0</v>
      </c>
    </row>
    <row r="455" spans="1:36" s="3056" customFormat="1" ht="18.75" hidden="1" customHeight="1">
      <c r="A455" s="3195"/>
      <c r="B455" s="3194"/>
      <c r="C455" s="1303"/>
      <c r="D455" s="1304"/>
      <c r="E455" s="1305"/>
      <c r="F455" s="1304"/>
      <c r="G455" s="1275"/>
      <c r="H455" s="1306" t="s">
        <v>1246</v>
      </c>
      <c r="I455" s="3066" t="s">
        <v>121</v>
      </c>
      <c r="J455" s="1298" t="s">
        <v>1242</v>
      </c>
      <c r="K455" s="1299"/>
      <c r="L455" s="1300"/>
      <c r="M455" s="3065" t="s">
        <v>121</v>
      </c>
      <c r="N455" s="1298" t="s">
        <v>1245</v>
      </c>
      <c r="O455" s="1301"/>
      <c r="P455" s="1298"/>
      <c r="Q455" s="1307"/>
      <c r="R455" s="1307"/>
      <c r="S455" s="1307"/>
      <c r="T455" s="1307"/>
      <c r="U455" s="1307"/>
      <c r="V455" s="1307"/>
      <c r="W455" s="1307"/>
      <c r="X455" s="1308"/>
      <c r="Y455" s="1292"/>
      <c r="Z455" s="1292"/>
      <c r="AA455" s="1292"/>
      <c r="AB455" s="1293"/>
      <c r="AC455" s="1544"/>
      <c r="AD455" s="1544"/>
      <c r="AE455" s="1544"/>
      <c r="AF455" s="1544"/>
      <c r="AI455" s="3056" t="str">
        <f>"2A:field232:" &amp; IF(I455="■",1,IF(M455="■",2,0))</f>
        <v>2A:field232:0</v>
      </c>
    </row>
    <row r="456" spans="1:36" s="3056" customFormat="1" ht="18.75" hidden="1" customHeight="1">
      <c r="A456" s="3195"/>
      <c r="B456" s="3194"/>
      <c r="C456" s="1303"/>
      <c r="D456" s="1304"/>
      <c r="E456" s="1305"/>
      <c r="F456" s="1304"/>
      <c r="G456" s="1275"/>
      <c r="H456" s="1409" t="s">
        <v>2295</v>
      </c>
      <c r="I456" s="3066" t="s">
        <v>121</v>
      </c>
      <c r="J456" s="1298" t="s">
        <v>1227</v>
      </c>
      <c r="K456" s="1299"/>
      <c r="L456" s="1300"/>
      <c r="M456" s="3065" t="s">
        <v>121</v>
      </c>
      <c r="N456" s="1298" t="s">
        <v>2291</v>
      </c>
      <c r="O456" s="1307"/>
      <c r="P456" s="1307"/>
      <c r="Q456" s="1307"/>
      <c r="R456" s="1307"/>
      <c r="S456" s="1307"/>
      <c r="T456" s="1307"/>
      <c r="U456" s="1307"/>
      <c r="V456" s="1307"/>
      <c r="W456" s="1307"/>
      <c r="X456" s="1308"/>
      <c r="Y456" s="1295"/>
      <c r="Z456" s="1292"/>
      <c r="AA456" s="1292"/>
      <c r="AB456" s="1293"/>
      <c r="AC456" s="1544"/>
      <c r="AD456" s="1544"/>
      <c r="AE456" s="1544"/>
      <c r="AF456" s="1544"/>
      <c r="AI456" s="3056" t="str">
        <f>"2A:field190:" &amp; IF(I456="■",1,IF(M456="■",2,0))</f>
        <v>2A:field190:0</v>
      </c>
    </row>
    <row r="457" spans="1:36" s="3056" customFormat="1" ht="18.75" hidden="1" customHeight="1">
      <c r="A457" s="3195"/>
      <c r="B457" s="3194"/>
      <c r="C457" s="1303"/>
      <c r="D457" s="1304"/>
      <c r="E457" s="1305"/>
      <c r="F457" s="1304"/>
      <c r="G457" s="1275"/>
      <c r="H457" s="1409" t="s">
        <v>2293</v>
      </c>
      <c r="I457" s="3066" t="s">
        <v>121</v>
      </c>
      <c r="J457" s="1298" t="s">
        <v>1227</v>
      </c>
      <c r="K457" s="1299"/>
      <c r="L457" s="1300"/>
      <c r="M457" s="3065" t="s">
        <v>121</v>
      </c>
      <c r="N457" s="1298" t="s">
        <v>2291</v>
      </c>
      <c r="O457" s="1307"/>
      <c r="P457" s="1307"/>
      <c r="Q457" s="1307"/>
      <c r="R457" s="1307"/>
      <c r="S457" s="1307"/>
      <c r="T457" s="1307"/>
      <c r="U457" s="1307"/>
      <c r="V457" s="1307"/>
      <c r="W457" s="1307"/>
      <c r="X457" s="1308"/>
      <c r="Y457" s="1295"/>
      <c r="Z457" s="1292"/>
      <c r="AA457" s="1292"/>
      <c r="AB457" s="1293"/>
      <c r="AC457" s="1544"/>
      <c r="AD457" s="1544"/>
      <c r="AE457" s="1544"/>
      <c r="AF457" s="1544"/>
      <c r="AI457" s="3056" t="str">
        <f>"2A:field191:" &amp; IF(I457="■",1,IF(M457="■",2,0))</f>
        <v>2A:field191:0</v>
      </c>
    </row>
    <row r="458" spans="1:36" s="3056" customFormat="1" ht="18.75" hidden="1" customHeight="1">
      <c r="A458" s="3069" t="s">
        <v>121</v>
      </c>
      <c r="B458" s="3194" t="s">
        <v>2392</v>
      </c>
      <c r="C458" s="1303" t="s">
        <v>1321</v>
      </c>
      <c r="D458" s="3122" t="s">
        <v>121</v>
      </c>
      <c r="E458" s="1305" t="s">
        <v>2329</v>
      </c>
      <c r="F458" s="3122" t="s">
        <v>121</v>
      </c>
      <c r="G458" s="1275" t="s">
        <v>2296</v>
      </c>
      <c r="H458" s="1409" t="s">
        <v>1305</v>
      </c>
      <c r="I458" s="3066" t="s">
        <v>121</v>
      </c>
      <c r="J458" s="1298" t="s">
        <v>1230</v>
      </c>
      <c r="K458" s="1299"/>
      <c r="L458" s="3065" t="s">
        <v>121</v>
      </c>
      <c r="M458" s="1298" t="s">
        <v>1248</v>
      </c>
      <c r="N458" s="1307"/>
      <c r="O458" s="1307"/>
      <c r="P458" s="1307"/>
      <c r="Q458" s="1307"/>
      <c r="R458" s="1307"/>
      <c r="S458" s="1307"/>
      <c r="T458" s="1307"/>
      <c r="U458" s="1307"/>
      <c r="V458" s="1307"/>
      <c r="W458" s="1307"/>
      <c r="X458" s="1308"/>
      <c r="Y458" s="1295"/>
      <c r="Z458" s="1292"/>
      <c r="AA458" s="1292"/>
      <c r="AB458" s="1293"/>
      <c r="AC458" s="1544"/>
      <c r="AD458" s="1544"/>
      <c r="AE458" s="1544"/>
      <c r="AF458" s="1544"/>
      <c r="AI458" s="3056" t="str">
        <f>"2A:jyakuninti_uke_code:" &amp; IF(I458="■",1,IF(L458="■",2,0))</f>
        <v>2A:jyakuninti_uke_code:0</v>
      </c>
    </row>
    <row r="459" spans="1:36" s="3056" customFormat="1" ht="18.75" hidden="1" customHeight="1">
      <c r="A459" s="3195"/>
      <c r="B459" s="3194"/>
      <c r="C459" s="1303"/>
      <c r="D459" s="1304"/>
      <c r="E459" s="1305"/>
      <c r="F459" s="1304"/>
      <c r="G459" s="1275"/>
      <c r="H459" s="1409" t="s">
        <v>1324</v>
      </c>
      <c r="I459" s="3066" t="s">
        <v>121</v>
      </c>
      <c r="J459" s="1298" t="s">
        <v>1239</v>
      </c>
      <c r="K459" s="1299"/>
      <c r="L459" s="1300"/>
      <c r="M459" s="3065" t="s">
        <v>121</v>
      </c>
      <c r="N459" s="1298" t="s">
        <v>1240</v>
      </c>
      <c r="O459" s="1307"/>
      <c r="P459" s="1307"/>
      <c r="Q459" s="1307"/>
      <c r="R459" s="1307"/>
      <c r="S459" s="1307"/>
      <c r="T459" s="1307"/>
      <c r="U459" s="1307"/>
      <c r="V459" s="1307"/>
      <c r="W459" s="1307"/>
      <c r="X459" s="1308"/>
      <c r="Y459" s="1295"/>
      <c r="Z459" s="1292"/>
      <c r="AA459" s="1292"/>
      <c r="AB459" s="1293"/>
      <c r="AC459" s="1544"/>
      <c r="AD459" s="1544"/>
      <c r="AE459" s="1544"/>
      <c r="AF459" s="1544"/>
      <c r="AI459" s="3056" t="str">
        <f>"2A:sougei_code:" &amp; IF(I459="■",1,IF(M459="■",2,0))</f>
        <v>2A:sougei_code:0</v>
      </c>
    </row>
    <row r="460" spans="1:36" s="3056" customFormat="1" ht="19.5" hidden="1" customHeight="1">
      <c r="A460" s="3195"/>
      <c r="B460" s="3194"/>
      <c r="C460" s="1303"/>
      <c r="D460" s="1304"/>
      <c r="E460" s="1305"/>
      <c r="F460" s="1304"/>
      <c r="G460" s="1275"/>
      <c r="H460" s="1306" t="s">
        <v>1325</v>
      </c>
      <c r="I460" s="3066" t="s">
        <v>121</v>
      </c>
      <c r="J460" s="1298" t="s">
        <v>1230</v>
      </c>
      <c r="K460" s="1298"/>
      <c r="L460" s="3065" t="s">
        <v>121</v>
      </c>
      <c r="M460" s="1298" t="s">
        <v>1248</v>
      </c>
      <c r="N460" s="1298"/>
      <c r="O460" s="1307"/>
      <c r="P460" s="1298"/>
      <c r="Q460" s="1307"/>
      <c r="R460" s="1307"/>
      <c r="S460" s="1307"/>
      <c r="T460" s="1307"/>
      <c r="U460" s="1307"/>
      <c r="V460" s="1307"/>
      <c r="W460" s="1307"/>
      <c r="X460" s="1308"/>
      <c r="Y460" s="1292"/>
      <c r="Z460" s="1292"/>
      <c r="AA460" s="1292"/>
      <c r="AB460" s="1293"/>
      <c r="AC460" s="1544"/>
      <c r="AD460" s="1544"/>
      <c r="AE460" s="1544"/>
      <c r="AF460" s="1544"/>
      <c r="AI460" s="3056" t="str">
        <f>"2A:field224:" &amp; IF(I460="■",1,IF(L460="■",2,0))</f>
        <v>2A:field224:0</v>
      </c>
    </row>
    <row r="461" spans="1:36" s="3056" customFormat="1" ht="18.75" hidden="1" customHeight="1">
      <c r="A461" s="3195"/>
      <c r="B461" s="3194"/>
      <c r="C461" s="1303"/>
      <c r="D461" s="1304"/>
      <c r="E461" s="1305"/>
      <c r="F461" s="1304"/>
      <c r="G461" s="1275"/>
      <c r="H461" s="1409" t="s">
        <v>145</v>
      </c>
      <c r="I461" s="3066" t="s">
        <v>121</v>
      </c>
      <c r="J461" s="1298" t="s">
        <v>1230</v>
      </c>
      <c r="K461" s="1299"/>
      <c r="L461" s="3065" t="s">
        <v>121</v>
      </c>
      <c r="M461" s="1298" t="s">
        <v>1248</v>
      </c>
      <c r="N461" s="1307"/>
      <c r="O461" s="1307"/>
      <c r="P461" s="1307"/>
      <c r="Q461" s="1307"/>
      <c r="R461" s="1307"/>
      <c r="S461" s="1307"/>
      <c r="T461" s="1307"/>
      <c r="U461" s="1307"/>
      <c r="V461" s="1307"/>
      <c r="W461" s="1307"/>
      <c r="X461" s="1308"/>
      <c r="Y461" s="1295"/>
      <c r="Z461" s="1292"/>
      <c r="AA461" s="1292"/>
      <c r="AB461" s="1293"/>
      <c r="AC461" s="1544"/>
      <c r="AD461" s="1544"/>
      <c r="AE461" s="1544"/>
      <c r="AF461" s="1544"/>
      <c r="AI461" s="3056" t="str">
        <f>"2A:ryouyoushoku_code:" &amp; IF(I461="■",1,IF(L461="■",2,0))</f>
        <v>2A:ryouyoushoku_code:0</v>
      </c>
    </row>
    <row r="462" spans="1:36" s="3056" customFormat="1" ht="18.75" hidden="1" customHeight="1">
      <c r="A462" s="3195"/>
      <c r="B462" s="3194"/>
      <c r="C462" s="1303"/>
      <c r="D462" s="1304"/>
      <c r="E462" s="1305"/>
      <c r="F462" s="1304"/>
      <c r="G462" s="1275"/>
      <c r="H462" s="1409" t="s">
        <v>1260</v>
      </c>
      <c r="I462" s="3066" t="s">
        <v>121</v>
      </c>
      <c r="J462" s="1298" t="s">
        <v>1230</v>
      </c>
      <c r="K462" s="1298"/>
      <c r="L462" s="3065" t="s">
        <v>121</v>
      </c>
      <c r="M462" s="1298" t="s">
        <v>1256</v>
      </c>
      <c r="N462" s="1298"/>
      <c r="O462" s="3065" t="s">
        <v>121</v>
      </c>
      <c r="P462" s="1298" t="s">
        <v>1257</v>
      </c>
      <c r="Q462" s="1307"/>
      <c r="R462" s="1307"/>
      <c r="S462" s="1307"/>
      <c r="T462" s="1307"/>
      <c r="U462" s="1307"/>
      <c r="V462" s="1307"/>
      <c r="W462" s="1307"/>
      <c r="X462" s="1308"/>
      <c r="Y462" s="1295"/>
      <c r="Z462" s="1292"/>
      <c r="AA462" s="1292"/>
      <c r="AB462" s="1293"/>
      <c r="AC462" s="1544"/>
      <c r="AD462" s="1544"/>
      <c r="AE462" s="1544"/>
      <c r="AF462" s="1544"/>
      <c r="AI462" s="3056" t="str">
        <f>"2A:ninti_senmoncare_code:" &amp; IF(I462="■",1,IF(O462="■",3,IF(L462="■",2,0)))</f>
        <v>2A:ninti_senmoncare_code:0</v>
      </c>
    </row>
    <row r="463" spans="1:36" s="3056" customFormat="1" ht="18.75" hidden="1" customHeight="1">
      <c r="A463" s="3195"/>
      <c r="B463" s="3194"/>
      <c r="C463" s="1303"/>
      <c r="D463" s="1304"/>
      <c r="E463" s="1305"/>
      <c r="F463" s="1304"/>
      <c r="G463" s="1275"/>
      <c r="H463" s="1409" t="s">
        <v>2289</v>
      </c>
      <c r="I463" s="3066" t="s">
        <v>121</v>
      </c>
      <c r="J463" s="1298" t="s">
        <v>1230</v>
      </c>
      <c r="K463" s="1298"/>
      <c r="L463" s="3065" t="s">
        <v>121</v>
      </c>
      <c r="M463" s="1298" t="s">
        <v>1256</v>
      </c>
      <c r="N463" s="1298"/>
      <c r="O463" s="3065" t="s">
        <v>121</v>
      </c>
      <c r="P463" s="1298" t="s">
        <v>1257</v>
      </c>
      <c r="Q463" s="1307"/>
      <c r="R463" s="1307"/>
      <c r="S463" s="1307"/>
      <c r="T463" s="1307"/>
      <c r="U463" s="1307"/>
      <c r="V463" s="1307"/>
      <c r="W463" s="1307"/>
      <c r="X463" s="1308"/>
      <c r="Y463" s="1295"/>
      <c r="Z463" s="1292"/>
      <c r="AA463" s="1292"/>
      <c r="AB463" s="1293"/>
      <c r="AC463" s="1544"/>
      <c r="AD463" s="1544"/>
      <c r="AE463" s="1544"/>
      <c r="AF463" s="1544"/>
      <c r="AI463" s="3056" t="str">
        <f>"2A:field164:" &amp; IF(I463="■",1,IF(L463="■",2,IF(O463="■",3,0)))</f>
        <v>2A:field164:0</v>
      </c>
    </row>
    <row r="464" spans="1:36" s="3056" customFormat="1" ht="18.75" hidden="1" customHeight="1">
      <c r="A464" s="3195"/>
      <c r="B464" s="3194"/>
      <c r="C464" s="1303"/>
      <c r="D464" s="1304"/>
      <c r="E464" s="1305"/>
      <c r="F464" s="1304"/>
      <c r="G464" s="1275"/>
      <c r="H464" s="1313" t="s">
        <v>1265</v>
      </c>
      <c r="I464" s="3066" t="s">
        <v>121</v>
      </c>
      <c r="J464" s="1298" t="s">
        <v>1230</v>
      </c>
      <c r="K464" s="1298"/>
      <c r="L464" s="3065" t="s">
        <v>121</v>
      </c>
      <c r="M464" s="1298" t="s">
        <v>1256</v>
      </c>
      <c r="N464" s="1298"/>
      <c r="O464" s="3065" t="s">
        <v>121</v>
      </c>
      <c r="P464" s="1298" t="s">
        <v>1257</v>
      </c>
      <c r="Q464" s="1307"/>
      <c r="R464" s="1307"/>
      <c r="S464" s="1307"/>
      <c r="T464" s="1307"/>
      <c r="U464" s="1314"/>
      <c r="V464" s="1314"/>
      <c r="W464" s="1314"/>
      <c r="X464" s="1315"/>
      <c r="Y464" s="1295"/>
      <c r="Z464" s="1292"/>
      <c r="AA464" s="1292"/>
      <c r="AB464" s="1293"/>
      <c r="AC464" s="1544"/>
      <c r="AD464" s="1544"/>
      <c r="AE464" s="1544"/>
      <c r="AF464" s="1544"/>
      <c r="AI464" s="3056" t="str">
        <f>"2A:field225:" &amp; IF(I464="■",1,IF(L464="■",2,IF(O464="■",3,0)))</f>
        <v>2A:field225:0</v>
      </c>
    </row>
    <row r="465" spans="1:36" s="3056" customFormat="1" ht="18.75" hidden="1" customHeight="1">
      <c r="A465" s="3195"/>
      <c r="B465" s="3194"/>
      <c r="C465" s="1303"/>
      <c r="D465" s="1304"/>
      <c r="E465" s="1305"/>
      <c r="F465" s="1304"/>
      <c r="G465" s="1275"/>
      <c r="H465" s="1410" t="s">
        <v>1266</v>
      </c>
      <c r="I465" s="3066" t="s">
        <v>121</v>
      </c>
      <c r="J465" s="1298" t="s">
        <v>1230</v>
      </c>
      <c r="K465" s="1298"/>
      <c r="L465" s="3065" t="s">
        <v>121</v>
      </c>
      <c r="M465" s="1298" t="s">
        <v>1267</v>
      </c>
      <c r="N465" s="1298"/>
      <c r="O465" s="3065" t="s">
        <v>121</v>
      </c>
      <c r="P465" s="1298" t="s">
        <v>1268</v>
      </c>
      <c r="Q465" s="1326"/>
      <c r="R465" s="3065" t="s">
        <v>121</v>
      </c>
      <c r="S465" s="1298" t="s">
        <v>1269</v>
      </c>
      <c r="T465" s="1326"/>
      <c r="U465" s="1326"/>
      <c r="V465" s="1326"/>
      <c r="W465" s="1326"/>
      <c r="X465" s="1327"/>
      <c r="Y465" s="1295"/>
      <c r="Z465" s="1292"/>
      <c r="AA465" s="1292"/>
      <c r="AB465" s="1293"/>
      <c r="AC465" s="1544"/>
      <c r="AD465" s="1544"/>
      <c r="AE465" s="1544"/>
      <c r="AF465" s="1544"/>
      <c r="AI465" s="3056" t="str">
        <f>"2A:serteikyo_kyoka_code:" &amp; IF(I465="■",1,IF(L465="■",6,IF(O465="■",5,IF(R465="■",7,0))))</f>
        <v>2A:serteikyo_kyoka_code:0</v>
      </c>
    </row>
    <row r="466" spans="1:36" s="3056" customFormat="1" ht="18.75" hidden="1" customHeight="1">
      <c r="A466" s="3195"/>
      <c r="B466" s="3194"/>
      <c r="C466" s="1303"/>
      <c r="D466" s="1304"/>
      <c r="E466" s="1305"/>
      <c r="F466" s="1304"/>
      <c r="G466" s="1275"/>
      <c r="H466" s="1539" t="s">
        <v>2390</v>
      </c>
      <c r="I466" s="3162" t="s">
        <v>121</v>
      </c>
      <c r="J466" s="3161" t="s">
        <v>1230</v>
      </c>
      <c r="K466" s="3161"/>
      <c r="L466" s="3160" t="s">
        <v>121</v>
      </c>
      <c r="M466" s="3161" t="s">
        <v>1248</v>
      </c>
      <c r="N466" s="3161"/>
      <c r="O466" s="1290"/>
      <c r="P466" s="1290"/>
      <c r="Q466" s="1290"/>
      <c r="R466" s="1290"/>
      <c r="S466" s="1290"/>
      <c r="T466" s="1290"/>
      <c r="U466" s="1290"/>
      <c r="V466" s="1290"/>
      <c r="W466" s="1290"/>
      <c r="X466" s="1331"/>
      <c r="Y466" s="1295"/>
      <c r="Z466" s="1292"/>
      <c r="AA466" s="1292"/>
      <c r="AB466" s="1293"/>
      <c r="AC466" s="1544"/>
      <c r="AD466" s="1544"/>
      <c r="AE466" s="1544"/>
      <c r="AF466" s="1544"/>
      <c r="AI466" s="3056" t="str">
        <f>"2A:field221:" &amp; IF(I466="■",1,IF(L466="■",2,0))</f>
        <v>2A:field221:0</v>
      </c>
    </row>
    <row r="467" spans="1:36" s="3056" customFormat="1" ht="18.75" hidden="1" customHeight="1">
      <c r="A467" s="3195"/>
      <c r="B467" s="3194"/>
      <c r="C467" s="1303"/>
      <c r="D467" s="1304"/>
      <c r="E467" s="1305"/>
      <c r="F467" s="1304"/>
      <c r="G467" s="1275"/>
      <c r="H467" s="1540"/>
      <c r="I467" s="3162"/>
      <c r="J467" s="3161"/>
      <c r="K467" s="3161"/>
      <c r="L467" s="3160"/>
      <c r="M467" s="3161"/>
      <c r="N467" s="3161"/>
      <c r="O467" s="1296"/>
      <c r="P467" s="1296"/>
      <c r="Q467" s="1296"/>
      <c r="R467" s="1296"/>
      <c r="S467" s="1296"/>
      <c r="T467" s="1296"/>
      <c r="U467" s="1296"/>
      <c r="V467" s="1296"/>
      <c r="W467" s="1296"/>
      <c r="X467" s="1332"/>
      <c r="Y467" s="1295"/>
      <c r="Z467" s="1292"/>
      <c r="AA467" s="1292"/>
      <c r="AB467" s="1293"/>
      <c r="AC467" s="1544"/>
      <c r="AD467" s="1544"/>
      <c r="AE467" s="1544"/>
      <c r="AF467" s="1544"/>
    </row>
    <row r="468" spans="1:36" s="3056" customFormat="1" ht="18.75" hidden="1" customHeight="1">
      <c r="A468" s="736"/>
      <c r="B468" s="1316"/>
      <c r="C468" s="1346"/>
      <c r="D468" s="1348"/>
      <c r="E468" s="1317"/>
      <c r="F468" s="1318"/>
      <c r="G468" s="1361"/>
      <c r="H468" s="3134" t="s">
        <v>2288</v>
      </c>
      <c r="I468" s="3060" t="s">
        <v>121</v>
      </c>
      <c r="J468" s="3130" t="s">
        <v>1230</v>
      </c>
      <c r="K468" s="3130"/>
      <c r="L468" s="3059" t="s">
        <v>121</v>
      </c>
      <c r="M468" s="3130" t="s">
        <v>2287</v>
      </c>
      <c r="N468" s="3133"/>
      <c r="O468" s="3059" t="s">
        <v>121</v>
      </c>
      <c r="P468" s="3132" t="s">
        <v>2286</v>
      </c>
      <c r="Q468" s="3131"/>
      <c r="R468" s="3059" t="s">
        <v>121</v>
      </c>
      <c r="S468" s="3130" t="s">
        <v>2285</v>
      </c>
      <c r="T468" s="3131"/>
      <c r="U468" s="3059" t="s">
        <v>121</v>
      </c>
      <c r="V468" s="3130" t="s">
        <v>2284</v>
      </c>
      <c r="W468" s="3129"/>
      <c r="X468" s="3128"/>
      <c r="Y468" s="1323"/>
      <c r="Z468" s="1323"/>
      <c r="AA468" s="1323"/>
      <c r="AB468" s="1324"/>
      <c r="AC468" s="1558"/>
      <c r="AD468" s="1558"/>
      <c r="AE468" s="1558"/>
      <c r="AF468" s="1558"/>
      <c r="AI468" s="3056" t="str">
        <f>"2A:shoguukaizen_code:"&amp;IF(I468="■",1,IF(L468="■",7,IF(O468="■",8,IF(R468="■",9,IF(U468="■","A",0)))))</f>
        <v>2A:shoguukaizen_code:0</v>
      </c>
    </row>
    <row r="469" spans="1:36" s="3056" customFormat="1" ht="18.75" hidden="1" customHeight="1">
      <c r="A469" s="3197"/>
      <c r="B469" s="3196"/>
      <c r="C469" s="1333"/>
      <c r="D469" s="1335"/>
      <c r="E469" s="1351"/>
      <c r="F469" s="1335"/>
      <c r="G469" s="1272"/>
      <c r="H469" s="1545" t="s">
        <v>1226</v>
      </c>
      <c r="I469" s="3119" t="s">
        <v>121</v>
      </c>
      <c r="J469" s="1270" t="s">
        <v>1227</v>
      </c>
      <c r="K469" s="3139"/>
      <c r="L469" s="1337"/>
      <c r="M469" s="3138" t="s">
        <v>121</v>
      </c>
      <c r="N469" s="1270" t="s">
        <v>2306</v>
      </c>
      <c r="O469" s="1334"/>
      <c r="P469" s="1334"/>
      <c r="Q469" s="3138" t="s">
        <v>121</v>
      </c>
      <c r="R469" s="1270" t="s">
        <v>2305</v>
      </c>
      <c r="S469" s="1334"/>
      <c r="T469" s="1334"/>
      <c r="U469" s="3138" t="s">
        <v>121</v>
      </c>
      <c r="V469" s="1270" t="s">
        <v>2304</v>
      </c>
      <c r="W469" s="1334"/>
      <c r="X469" s="1336"/>
      <c r="Y469" s="3119" t="s">
        <v>121</v>
      </c>
      <c r="Z469" s="1270" t="s">
        <v>1229</v>
      </c>
      <c r="AA469" s="1270"/>
      <c r="AB469" s="1286"/>
      <c r="AC469" s="1543"/>
      <c r="AD469" s="1543"/>
      <c r="AE469" s="1543"/>
      <c r="AF469" s="1543"/>
      <c r="AG469" s="3056" t="str">
        <f>"ser_code = '" &amp; IF(A479="■","2A","") &amp; "'"</f>
        <v>ser_code = ''</v>
      </c>
      <c r="AH469" s="3056" t="str">
        <f>"2A:jininkbn_code:"&amp;IF(F479="■",2,0)</f>
        <v>2A:jininkbn_code:0</v>
      </c>
      <c r="AI469" s="3056" t="str">
        <f>"2A:yakan_kinmu_code:" &amp; IF(I469="■",1,IF(M469="■",2,IF(Q469="■",3,IF(U469="■",7,IF(I470="■",5,IF(M470="■",6,0))))))</f>
        <v>2A:yakan_kinmu_code:0</v>
      </c>
      <c r="AJ469" s="3056" t="str">
        <f>"2A:field203:" &amp; IF(Y469="■",1,IF(Y470="■",2,0))</f>
        <v>2A:field203:0</v>
      </c>
    </row>
    <row r="470" spans="1:36" s="3056" customFormat="1" ht="18.75" hidden="1" customHeight="1">
      <c r="A470" s="3195"/>
      <c r="B470" s="3194"/>
      <c r="C470" s="1303"/>
      <c r="D470" s="1304"/>
      <c r="E470" s="1305"/>
      <c r="F470" s="1304"/>
      <c r="G470" s="1275"/>
      <c r="H470" s="1542"/>
      <c r="I470" s="3063" t="s">
        <v>121</v>
      </c>
      <c r="J470" s="1296" t="s">
        <v>2303</v>
      </c>
      <c r="K470" s="1309"/>
      <c r="L470" s="1355"/>
      <c r="M470" s="3062" t="s">
        <v>121</v>
      </c>
      <c r="N470" s="1296" t="s">
        <v>1228</v>
      </c>
      <c r="O470" s="1403"/>
      <c r="P470" s="1403"/>
      <c r="Q470" s="1403"/>
      <c r="R470" s="1403"/>
      <c r="S470" s="1403"/>
      <c r="T470" s="1403"/>
      <c r="U470" s="1403"/>
      <c r="V470" s="1403"/>
      <c r="W470" s="1403"/>
      <c r="X470" s="1297"/>
      <c r="Y470" s="3122" t="s">
        <v>121</v>
      </c>
      <c r="Z470" s="1273" t="s">
        <v>1234</v>
      </c>
      <c r="AA470" s="1292"/>
      <c r="AB470" s="1293"/>
      <c r="AC470" s="1562"/>
      <c r="AD470" s="1562"/>
      <c r="AE470" s="1562"/>
      <c r="AF470" s="1562"/>
      <c r="AG470" s="3056" t="str">
        <f>"2A:sisetukbn_code:"&amp;IF(D479="■","3",0)</f>
        <v>2A:sisetukbn_code:0</v>
      </c>
    </row>
    <row r="471" spans="1:36" s="3056" customFormat="1" ht="18.75" hidden="1" customHeight="1">
      <c r="A471" s="3195"/>
      <c r="B471" s="3194"/>
      <c r="C471" s="1303"/>
      <c r="D471" s="1304"/>
      <c r="E471" s="1305"/>
      <c r="F471" s="1304"/>
      <c r="G471" s="1275"/>
      <c r="H471" s="1541" t="s">
        <v>90</v>
      </c>
      <c r="I471" s="3137" t="s">
        <v>121</v>
      </c>
      <c r="J471" s="1290" t="s">
        <v>1230</v>
      </c>
      <c r="K471" s="1290"/>
      <c r="L471" s="1329"/>
      <c r="M471" s="3136" t="s">
        <v>121</v>
      </c>
      <c r="N471" s="1290" t="s">
        <v>1231</v>
      </c>
      <c r="O471" s="1290"/>
      <c r="P471" s="1329"/>
      <c r="Q471" s="3136" t="s">
        <v>121</v>
      </c>
      <c r="R471" s="1402" t="s">
        <v>2302</v>
      </c>
      <c r="S471" s="1402"/>
      <c r="T471" s="1402"/>
      <c r="U471" s="1314"/>
      <c r="V471" s="1329"/>
      <c r="W471" s="1402"/>
      <c r="X471" s="1315"/>
      <c r="Y471" s="1295"/>
      <c r="Z471" s="1292"/>
      <c r="AA471" s="1292"/>
      <c r="AB471" s="1293"/>
      <c r="AC471" s="1544"/>
      <c r="AD471" s="1544"/>
      <c r="AE471" s="1544"/>
      <c r="AF471" s="1544"/>
      <c r="AI471" s="3056" t="str">
        <f>"2A:"&amp;IF(AND(I471="□",M471="□",Q471="□",I472="□",M472="□"),"ketu_doctor_code:0",IF(I471="■","ketu_doctor_code:1:field197:1:ketu_kangos_code:1:ketu_kshoku_code:1",IF(M471="■","ketu_doctor_code:2","ketu_doctor_code:1")
&amp;IF(Q471="■",":field197:2",":field197:1")
&amp;IF(I472="■",":ketu_kangos_code:2",":ketu_kangos_code:1")
&amp;IF(M472="■",":ketu_kshoku_code:2",":ketu_kshoku_code:1")))</f>
        <v>2A:ketu_doctor_code:0</v>
      </c>
    </row>
    <row r="472" spans="1:36" s="3056" customFormat="1" ht="18.75" hidden="1" customHeight="1">
      <c r="A472" s="3195"/>
      <c r="B472" s="3194"/>
      <c r="C472" s="1303"/>
      <c r="D472" s="1304"/>
      <c r="E472" s="1305"/>
      <c r="F472" s="1304"/>
      <c r="G472" s="1275"/>
      <c r="H472" s="1542"/>
      <c r="I472" s="3063" t="s">
        <v>121</v>
      </c>
      <c r="J472" s="1403" t="s">
        <v>2301</v>
      </c>
      <c r="K472" s="1403"/>
      <c r="L472" s="1403"/>
      <c r="M472" s="3062" t="s">
        <v>121</v>
      </c>
      <c r="N472" s="1403" t="s">
        <v>2300</v>
      </c>
      <c r="O472" s="1355"/>
      <c r="P472" s="1403"/>
      <c r="Q472" s="1403"/>
      <c r="R472" s="1355"/>
      <c r="S472" s="1403"/>
      <c r="T472" s="1403"/>
      <c r="U472" s="1330"/>
      <c r="V472" s="1355"/>
      <c r="W472" s="1403"/>
      <c r="X472" s="1356"/>
      <c r="Y472" s="1295"/>
      <c r="Z472" s="1292"/>
      <c r="AA472" s="1292"/>
      <c r="AB472" s="1293"/>
      <c r="AC472" s="1544"/>
      <c r="AD472" s="1544"/>
      <c r="AE472" s="1544"/>
      <c r="AF472" s="1544"/>
    </row>
    <row r="473" spans="1:36" s="3056" customFormat="1" ht="18.75" hidden="1" customHeight="1">
      <c r="A473" s="735"/>
      <c r="B473" s="1407"/>
      <c r="C473" s="1287"/>
      <c r="D473" s="1288"/>
      <c r="E473" s="1275"/>
      <c r="F473" s="1289"/>
      <c r="G473" s="1305"/>
      <c r="H473" s="3193" t="s">
        <v>1241</v>
      </c>
      <c r="I473" s="3096" t="s">
        <v>121</v>
      </c>
      <c r="J473" s="3091" t="s">
        <v>1242</v>
      </c>
      <c r="K473" s="3095"/>
      <c r="L473" s="3094"/>
      <c r="M473" s="3093" t="s">
        <v>121</v>
      </c>
      <c r="N473" s="3091" t="s">
        <v>1243</v>
      </c>
      <c r="O473" s="3095"/>
      <c r="P473" s="3192"/>
      <c r="Q473" s="3192"/>
      <c r="R473" s="3192"/>
      <c r="S473" s="3192"/>
      <c r="T473" s="3192"/>
      <c r="U473" s="3192"/>
      <c r="V473" s="3192"/>
      <c r="W473" s="3192"/>
      <c r="X473" s="3191"/>
      <c r="Y473" s="1295"/>
      <c r="Z473" s="1292"/>
      <c r="AA473" s="1292"/>
      <c r="AB473" s="1293"/>
      <c r="AC473" s="1544"/>
      <c r="AD473" s="1544"/>
      <c r="AE473" s="1544"/>
      <c r="AF473" s="1544"/>
      <c r="AI473" s="3056" t="str">
        <f>"2A:sintaikousoku_code:" &amp; IF(I473="■",1,IF(M473="■",2,0))</f>
        <v>2A:sintaikousoku_code:0</v>
      </c>
    </row>
    <row r="474" spans="1:36" s="3056" customFormat="1" ht="19.5" hidden="1" customHeight="1">
      <c r="A474" s="735"/>
      <c r="B474" s="1407"/>
      <c r="C474" s="1303"/>
      <c r="D474" s="1304"/>
      <c r="E474" s="1275"/>
      <c r="F474" s="1289"/>
      <c r="G474" s="1305"/>
      <c r="H474" s="1306" t="s">
        <v>1244</v>
      </c>
      <c r="I474" s="3066" t="s">
        <v>121</v>
      </c>
      <c r="J474" s="1298" t="s">
        <v>1242</v>
      </c>
      <c r="K474" s="1299"/>
      <c r="L474" s="1300"/>
      <c r="M474" s="3065" t="s">
        <v>121</v>
      </c>
      <c r="N474" s="1298" t="s">
        <v>1245</v>
      </c>
      <c r="O474" s="1301"/>
      <c r="P474" s="1298"/>
      <c r="Q474" s="1307"/>
      <c r="R474" s="1307"/>
      <c r="S474" s="1307"/>
      <c r="T474" s="1307"/>
      <c r="U474" s="1307"/>
      <c r="V474" s="1307"/>
      <c r="W474" s="1307"/>
      <c r="X474" s="1308"/>
      <c r="Y474" s="1292"/>
      <c r="Z474" s="1292"/>
      <c r="AA474" s="1292"/>
      <c r="AB474" s="1293"/>
      <c r="AC474" s="1544"/>
      <c r="AD474" s="1544"/>
      <c r="AE474" s="1544"/>
      <c r="AF474" s="1544"/>
      <c r="AI474" s="3056" t="str">
        <f>"2A:field223:" &amp; IF(I474="■",1,IF(M474="■",2,0))</f>
        <v>2A:field223:0</v>
      </c>
    </row>
    <row r="475" spans="1:36" s="3056" customFormat="1" ht="18.75" hidden="1" customHeight="1">
      <c r="A475" s="3195"/>
      <c r="B475" s="3194"/>
      <c r="C475" s="1303"/>
      <c r="D475" s="1304"/>
      <c r="E475" s="1305"/>
      <c r="F475" s="1304"/>
      <c r="G475" s="1275"/>
      <c r="H475" s="1306" t="s">
        <v>1246</v>
      </c>
      <c r="I475" s="3066" t="s">
        <v>121</v>
      </c>
      <c r="J475" s="1298" t="s">
        <v>1242</v>
      </c>
      <c r="K475" s="1299"/>
      <c r="L475" s="1300"/>
      <c r="M475" s="3065" t="s">
        <v>121</v>
      </c>
      <c r="N475" s="1298" t="s">
        <v>1245</v>
      </c>
      <c r="O475" s="1301"/>
      <c r="P475" s="1298"/>
      <c r="Q475" s="1307"/>
      <c r="R475" s="1307"/>
      <c r="S475" s="1307"/>
      <c r="T475" s="1307"/>
      <c r="U475" s="1307"/>
      <c r="V475" s="1307"/>
      <c r="W475" s="1307"/>
      <c r="X475" s="1308"/>
      <c r="Y475" s="1292"/>
      <c r="Z475" s="1292"/>
      <c r="AA475" s="1292"/>
      <c r="AB475" s="1293"/>
      <c r="AC475" s="1544"/>
      <c r="AD475" s="1544"/>
      <c r="AE475" s="1544"/>
      <c r="AF475" s="1544"/>
      <c r="AI475" s="3056" t="str">
        <f>"2A:field232:" &amp; IF(I475="■",1,IF(M475="■",2,0))</f>
        <v>2A:field232:0</v>
      </c>
    </row>
    <row r="476" spans="1:36" s="1418" customFormat="1" ht="19.5" hidden="1" customHeight="1">
      <c r="A476" s="625"/>
      <c r="B476" s="1416"/>
      <c r="C476" s="629"/>
      <c r="D476" s="1417"/>
      <c r="E476" s="1420"/>
      <c r="F476" s="1415"/>
      <c r="G476" s="617"/>
      <c r="H476" s="3148" t="s">
        <v>2328</v>
      </c>
      <c r="I476" s="3066" t="s">
        <v>121</v>
      </c>
      <c r="J476" s="3144" t="s">
        <v>2326</v>
      </c>
      <c r="K476" s="3147"/>
      <c r="L476" s="3146"/>
      <c r="M476" s="3065" t="s">
        <v>121</v>
      </c>
      <c r="N476" s="3144" t="s">
        <v>2325</v>
      </c>
      <c r="O476" s="3145"/>
      <c r="P476" s="3144"/>
      <c r="Q476" s="3143"/>
      <c r="R476" s="3143"/>
      <c r="S476" s="3143"/>
      <c r="T476" s="3143"/>
      <c r="U476" s="3143"/>
      <c r="V476" s="3143"/>
      <c r="W476" s="3143"/>
      <c r="X476" s="3142"/>
      <c r="Y476" s="1421"/>
      <c r="Z476" s="2"/>
      <c r="AA476" s="626"/>
      <c r="AB476" s="627"/>
      <c r="AC476" s="1544"/>
      <c r="AD476" s="1544"/>
      <c r="AE476" s="1544"/>
      <c r="AF476" s="1544"/>
      <c r="AI476" s="3056" t="str">
        <f>"2A:field242:" &amp; IF(I476="■",1,IF(M476="■",2,0))</f>
        <v>2A:field242:0</v>
      </c>
    </row>
    <row r="477" spans="1:36" s="3056" customFormat="1" ht="18.75" hidden="1" customHeight="1">
      <c r="A477" s="3195"/>
      <c r="B477" s="3194"/>
      <c r="C477" s="1303"/>
      <c r="D477" s="1304"/>
      <c r="E477" s="1305"/>
      <c r="F477" s="1304"/>
      <c r="G477" s="1275"/>
      <c r="H477" s="1409" t="s">
        <v>2295</v>
      </c>
      <c r="I477" s="3066" t="s">
        <v>121</v>
      </c>
      <c r="J477" s="1298" t="s">
        <v>1227</v>
      </c>
      <c r="K477" s="1299"/>
      <c r="L477" s="1300"/>
      <c r="M477" s="3065" t="s">
        <v>121</v>
      </c>
      <c r="N477" s="1298" t="s">
        <v>2291</v>
      </c>
      <c r="O477" s="1307"/>
      <c r="P477" s="1307"/>
      <c r="Q477" s="1307"/>
      <c r="R477" s="1307"/>
      <c r="S477" s="1307"/>
      <c r="T477" s="1307"/>
      <c r="U477" s="1307"/>
      <c r="V477" s="1307"/>
      <c r="W477" s="1307"/>
      <c r="X477" s="1308"/>
      <c r="Y477" s="1295"/>
      <c r="Z477" s="1292"/>
      <c r="AA477" s="1292"/>
      <c r="AB477" s="1293"/>
      <c r="AC477" s="1544"/>
      <c r="AD477" s="1544"/>
      <c r="AE477" s="1544"/>
      <c r="AF477" s="1544"/>
      <c r="AI477" s="3056" t="str">
        <f>"2A:field190:" &amp; IF(I477="■",1,IF(M477="■",2,0))</f>
        <v>2A:field190:0</v>
      </c>
    </row>
    <row r="478" spans="1:36" s="3056" customFormat="1" ht="18.75" hidden="1" customHeight="1">
      <c r="A478" s="3195"/>
      <c r="B478" s="3194"/>
      <c r="C478" s="1303"/>
      <c r="D478" s="1304"/>
      <c r="E478" s="1305"/>
      <c r="F478" s="1304"/>
      <c r="G478" s="1275"/>
      <c r="H478" s="1409" t="s">
        <v>2293</v>
      </c>
      <c r="I478" s="3066" t="s">
        <v>121</v>
      </c>
      <c r="J478" s="1298" t="s">
        <v>1227</v>
      </c>
      <c r="K478" s="1299"/>
      <c r="L478" s="1300"/>
      <c r="M478" s="3065" t="s">
        <v>121</v>
      </c>
      <c r="N478" s="1298" t="s">
        <v>2291</v>
      </c>
      <c r="O478" s="1307"/>
      <c r="P478" s="1307"/>
      <c r="Q478" s="1307"/>
      <c r="R478" s="1307"/>
      <c r="S478" s="1307"/>
      <c r="T478" s="1307"/>
      <c r="U478" s="1307"/>
      <c r="V478" s="1307"/>
      <c r="W478" s="1307"/>
      <c r="X478" s="1308"/>
      <c r="Y478" s="1295"/>
      <c r="Z478" s="1292"/>
      <c r="AA478" s="1292"/>
      <c r="AB478" s="1293"/>
      <c r="AC478" s="1544"/>
      <c r="AD478" s="1544"/>
      <c r="AE478" s="1544"/>
      <c r="AF478" s="1544"/>
      <c r="AI478" s="3056" t="str">
        <f>"2A:field191:" &amp; IF(I478="■",1,IF(M478="■",2,0))</f>
        <v>2A:field191:0</v>
      </c>
    </row>
    <row r="479" spans="1:36" s="3056" customFormat="1" ht="18.75" hidden="1" customHeight="1">
      <c r="A479" s="3069" t="s">
        <v>121</v>
      </c>
      <c r="B479" s="3194" t="s">
        <v>2392</v>
      </c>
      <c r="C479" s="1303" t="s">
        <v>1321</v>
      </c>
      <c r="D479" s="3122" t="s">
        <v>121</v>
      </c>
      <c r="E479" s="1305" t="s">
        <v>2329</v>
      </c>
      <c r="F479" s="3122" t="s">
        <v>121</v>
      </c>
      <c r="G479" s="1275" t="s">
        <v>2294</v>
      </c>
      <c r="H479" s="1409" t="s">
        <v>1305</v>
      </c>
      <c r="I479" s="3066" t="s">
        <v>121</v>
      </c>
      <c r="J479" s="1298" t="s">
        <v>1230</v>
      </c>
      <c r="K479" s="1299"/>
      <c r="L479" s="3065" t="s">
        <v>121</v>
      </c>
      <c r="M479" s="1298" t="s">
        <v>1248</v>
      </c>
      <c r="N479" s="1307"/>
      <c r="O479" s="1307"/>
      <c r="P479" s="1307"/>
      <c r="Q479" s="1307"/>
      <c r="R479" s="1307"/>
      <c r="S479" s="1307"/>
      <c r="T479" s="1307"/>
      <c r="U479" s="1307"/>
      <c r="V479" s="1307"/>
      <c r="W479" s="1307"/>
      <c r="X479" s="1308"/>
      <c r="Y479" s="1295"/>
      <c r="Z479" s="1292"/>
      <c r="AA479" s="1292"/>
      <c r="AB479" s="1293"/>
      <c r="AC479" s="1544"/>
      <c r="AD479" s="1544"/>
      <c r="AE479" s="1544"/>
      <c r="AF479" s="1544"/>
      <c r="AI479" s="3056" t="str">
        <f>"2A:jyakuninti_uke_code:" &amp; IF(I479="■",1,IF(L479="■",2,0))</f>
        <v>2A:jyakuninti_uke_code:0</v>
      </c>
    </row>
    <row r="480" spans="1:36" s="3056" customFormat="1" ht="18.75" hidden="1" customHeight="1">
      <c r="A480" s="3195"/>
      <c r="B480" s="3194"/>
      <c r="C480" s="1303"/>
      <c r="D480" s="1304"/>
      <c r="E480" s="1305"/>
      <c r="F480" s="1304"/>
      <c r="G480" s="1275"/>
      <c r="H480" s="1409" t="s">
        <v>1324</v>
      </c>
      <c r="I480" s="3066" t="s">
        <v>121</v>
      </c>
      <c r="J480" s="1298" t="s">
        <v>1239</v>
      </c>
      <c r="K480" s="1299"/>
      <c r="L480" s="1300"/>
      <c r="M480" s="3065" t="s">
        <v>121</v>
      </c>
      <c r="N480" s="1298" t="s">
        <v>1240</v>
      </c>
      <c r="O480" s="1307"/>
      <c r="P480" s="1307"/>
      <c r="Q480" s="1307"/>
      <c r="R480" s="1307"/>
      <c r="S480" s="1307"/>
      <c r="T480" s="1307"/>
      <c r="U480" s="1307"/>
      <c r="V480" s="1307"/>
      <c r="W480" s="1307"/>
      <c r="X480" s="1308"/>
      <c r="Y480" s="1295"/>
      <c r="Z480" s="1292"/>
      <c r="AA480" s="1292"/>
      <c r="AB480" s="1293"/>
      <c r="AC480" s="1544"/>
      <c r="AD480" s="1544"/>
      <c r="AE480" s="1544"/>
      <c r="AF480" s="1544"/>
      <c r="AI480" s="3056" t="str">
        <f>"2A:sougei_code:" &amp; IF(I480="■",1,IF(M480="■",2,0))</f>
        <v>2A:sougei_code:0</v>
      </c>
    </row>
    <row r="481" spans="1:36" s="3056" customFormat="1" ht="19.5" hidden="1" customHeight="1">
      <c r="A481" s="3195"/>
      <c r="B481" s="3194"/>
      <c r="C481" s="1303"/>
      <c r="D481" s="1304"/>
      <c r="E481" s="1305"/>
      <c r="F481" s="1304"/>
      <c r="G481" s="1275"/>
      <c r="H481" s="1306" t="s">
        <v>1325</v>
      </c>
      <c r="I481" s="3066" t="s">
        <v>121</v>
      </c>
      <c r="J481" s="1298" t="s">
        <v>1230</v>
      </c>
      <c r="K481" s="1298"/>
      <c r="L481" s="3065" t="s">
        <v>121</v>
      </c>
      <c r="M481" s="1298" t="s">
        <v>1248</v>
      </c>
      <c r="N481" s="1298"/>
      <c r="O481" s="1307"/>
      <c r="P481" s="1298"/>
      <c r="Q481" s="1307"/>
      <c r="R481" s="1307"/>
      <c r="S481" s="1307"/>
      <c r="T481" s="1307"/>
      <c r="U481" s="1307"/>
      <c r="V481" s="1307"/>
      <c r="W481" s="1307"/>
      <c r="X481" s="1308"/>
      <c r="Y481" s="1292"/>
      <c r="Z481" s="1292"/>
      <c r="AA481" s="1292"/>
      <c r="AB481" s="1293"/>
      <c r="AC481" s="1544"/>
      <c r="AD481" s="1544"/>
      <c r="AE481" s="1544"/>
      <c r="AF481" s="1544"/>
      <c r="AI481" s="3056" t="str">
        <f>"2A:field224:" &amp; IF(I481="■",1,IF(L481="■",2,0))</f>
        <v>2A:field224:0</v>
      </c>
    </row>
    <row r="482" spans="1:36" s="3056" customFormat="1" ht="18.75" hidden="1" customHeight="1">
      <c r="A482" s="3195"/>
      <c r="B482" s="3194"/>
      <c r="C482" s="1303"/>
      <c r="D482" s="1304"/>
      <c r="E482" s="1305"/>
      <c r="F482" s="1304"/>
      <c r="G482" s="1275"/>
      <c r="H482" s="1409" t="s">
        <v>145</v>
      </c>
      <c r="I482" s="3066" t="s">
        <v>121</v>
      </c>
      <c r="J482" s="1298" t="s">
        <v>1230</v>
      </c>
      <c r="K482" s="1299"/>
      <c r="L482" s="3065" t="s">
        <v>121</v>
      </c>
      <c r="M482" s="1298" t="s">
        <v>1248</v>
      </c>
      <c r="N482" s="1307"/>
      <c r="O482" s="1307"/>
      <c r="P482" s="1307"/>
      <c r="Q482" s="1307"/>
      <c r="R482" s="1307"/>
      <c r="S482" s="1307"/>
      <c r="T482" s="1307"/>
      <c r="U482" s="1307"/>
      <c r="V482" s="1307"/>
      <c r="W482" s="1307"/>
      <c r="X482" s="1308"/>
      <c r="Y482" s="1295"/>
      <c r="Z482" s="1292"/>
      <c r="AA482" s="1292"/>
      <c r="AB482" s="1293"/>
      <c r="AC482" s="1544"/>
      <c r="AD482" s="1544"/>
      <c r="AE482" s="1544"/>
      <c r="AF482" s="1544"/>
      <c r="AI482" s="3056" t="str">
        <f>"2A:ryouyoushoku_code:" &amp; IF(I482="■",1,IF(L482="■",2,0))</f>
        <v>2A:ryouyoushoku_code:0</v>
      </c>
    </row>
    <row r="483" spans="1:36" s="3056" customFormat="1" ht="18.75" hidden="1" customHeight="1">
      <c r="A483" s="3195"/>
      <c r="B483" s="3194"/>
      <c r="C483" s="1303"/>
      <c r="D483" s="1304"/>
      <c r="E483" s="1305"/>
      <c r="F483" s="1304"/>
      <c r="G483" s="1275"/>
      <c r="H483" s="1409" t="s">
        <v>1260</v>
      </c>
      <c r="I483" s="3066" t="s">
        <v>121</v>
      </c>
      <c r="J483" s="1298" t="s">
        <v>1230</v>
      </c>
      <c r="K483" s="1298"/>
      <c r="L483" s="3065" t="s">
        <v>121</v>
      </c>
      <c r="M483" s="1298" t="s">
        <v>1256</v>
      </c>
      <c r="N483" s="1298"/>
      <c r="O483" s="3065" t="s">
        <v>121</v>
      </c>
      <c r="P483" s="1298" t="s">
        <v>1257</v>
      </c>
      <c r="Q483" s="1307"/>
      <c r="R483" s="1307"/>
      <c r="S483" s="1307"/>
      <c r="T483" s="1307"/>
      <c r="U483" s="1307"/>
      <c r="V483" s="1307"/>
      <c r="W483" s="1307"/>
      <c r="X483" s="1308"/>
      <c r="Y483" s="1295"/>
      <c r="Z483" s="1292"/>
      <c r="AA483" s="1292"/>
      <c r="AB483" s="1293"/>
      <c r="AC483" s="1544"/>
      <c r="AD483" s="1544"/>
      <c r="AE483" s="1544"/>
      <c r="AF483" s="1544"/>
      <c r="AI483" s="3056" t="str">
        <f>"2A:ninti_senmoncare_code:" &amp; IF(I483="■",1,IF(O483="■",3,IF(L483="■",2,0)))</f>
        <v>2A:ninti_senmoncare_code:0</v>
      </c>
    </row>
    <row r="484" spans="1:36" s="3056" customFormat="1" ht="18.75" hidden="1" customHeight="1">
      <c r="A484" s="3195"/>
      <c r="B484" s="3194"/>
      <c r="C484" s="1303"/>
      <c r="D484" s="1304"/>
      <c r="E484" s="1305"/>
      <c r="F484" s="1304"/>
      <c r="G484" s="1275"/>
      <c r="H484" s="1409" t="s">
        <v>2289</v>
      </c>
      <c r="I484" s="3066" t="s">
        <v>121</v>
      </c>
      <c r="J484" s="1298" t="s">
        <v>1230</v>
      </c>
      <c r="K484" s="1298"/>
      <c r="L484" s="3065" t="s">
        <v>121</v>
      </c>
      <c r="M484" s="1298" t="s">
        <v>1256</v>
      </c>
      <c r="N484" s="1298"/>
      <c r="O484" s="3065" t="s">
        <v>121</v>
      </c>
      <c r="P484" s="1298" t="s">
        <v>1257</v>
      </c>
      <c r="Q484" s="1307"/>
      <c r="R484" s="1307"/>
      <c r="S484" s="1307"/>
      <c r="T484" s="1307"/>
      <c r="U484" s="1307"/>
      <c r="V484" s="1307"/>
      <c r="W484" s="1307"/>
      <c r="X484" s="1308"/>
      <c r="Y484" s="1295"/>
      <c r="Z484" s="1292"/>
      <c r="AA484" s="1292"/>
      <c r="AB484" s="1293"/>
      <c r="AC484" s="1544"/>
      <c r="AD484" s="1544"/>
      <c r="AE484" s="1544"/>
      <c r="AF484" s="1544"/>
      <c r="AI484" s="3056" t="str">
        <f>"2A:field164:" &amp; IF(I484="■",1,IF(L484="■",2,IF(O484="■",3,0)))</f>
        <v>2A:field164:0</v>
      </c>
    </row>
    <row r="485" spans="1:36" s="3056" customFormat="1" ht="18.75" hidden="1" customHeight="1">
      <c r="A485" s="3195"/>
      <c r="B485" s="3194"/>
      <c r="C485" s="1303"/>
      <c r="D485" s="1304"/>
      <c r="E485" s="1305"/>
      <c r="F485" s="1304"/>
      <c r="G485" s="1275"/>
      <c r="H485" s="1313" t="s">
        <v>1265</v>
      </c>
      <c r="I485" s="3066" t="s">
        <v>121</v>
      </c>
      <c r="J485" s="1298" t="s">
        <v>1230</v>
      </c>
      <c r="K485" s="1298"/>
      <c r="L485" s="3065" t="s">
        <v>121</v>
      </c>
      <c r="M485" s="1298" t="s">
        <v>1256</v>
      </c>
      <c r="N485" s="1298"/>
      <c r="O485" s="3065" t="s">
        <v>121</v>
      </c>
      <c r="P485" s="1298" t="s">
        <v>1257</v>
      </c>
      <c r="Q485" s="1307"/>
      <c r="R485" s="1307"/>
      <c r="S485" s="1307"/>
      <c r="T485" s="1307"/>
      <c r="U485" s="1314"/>
      <c r="V485" s="1314"/>
      <c r="W485" s="1314"/>
      <c r="X485" s="1315"/>
      <c r="Y485" s="1295"/>
      <c r="Z485" s="1292"/>
      <c r="AA485" s="1292"/>
      <c r="AB485" s="1293"/>
      <c r="AC485" s="1544"/>
      <c r="AD485" s="1544"/>
      <c r="AE485" s="1544"/>
      <c r="AF485" s="1544"/>
      <c r="AI485" s="3056" t="str">
        <f>"2A:field225:" &amp; IF(I485="■",1,IF(L485="■",2,IF(O485="■",3,0)))</f>
        <v>2A:field225:0</v>
      </c>
    </row>
    <row r="486" spans="1:36" s="3056" customFormat="1" ht="18.75" hidden="1" customHeight="1">
      <c r="A486" s="3195"/>
      <c r="B486" s="3194"/>
      <c r="C486" s="1303"/>
      <c r="D486" s="1304"/>
      <c r="E486" s="1305"/>
      <c r="F486" s="1304"/>
      <c r="G486" s="1275"/>
      <c r="H486" s="1410" t="s">
        <v>1266</v>
      </c>
      <c r="I486" s="3066" t="s">
        <v>121</v>
      </c>
      <c r="J486" s="1298" t="s">
        <v>1230</v>
      </c>
      <c r="K486" s="1298"/>
      <c r="L486" s="3065" t="s">
        <v>121</v>
      </c>
      <c r="M486" s="1298" t="s">
        <v>1267</v>
      </c>
      <c r="N486" s="1298"/>
      <c r="O486" s="3065" t="s">
        <v>121</v>
      </c>
      <c r="P486" s="1298" t="s">
        <v>1268</v>
      </c>
      <c r="Q486" s="1326"/>
      <c r="R486" s="3065" t="s">
        <v>121</v>
      </c>
      <c r="S486" s="1298" t="s">
        <v>1269</v>
      </c>
      <c r="T486" s="1326"/>
      <c r="U486" s="1326"/>
      <c r="V486" s="1326"/>
      <c r="W486" s="1326"/>
      <c r="X486" s="1327"/>
      <c r="Y486" s="1295"/>
      <c r="Z486" s="1292"/>
      <c r="AA486" s="1292"/>
      <c r="AB486" s="1293"/>
      <c r="AC486" s="1544"/>
      <c r="AD486" s="1544"/>
      <c r="AE486" s="1544"/>
      <c r="AF486" s="1544"/>
      <c r="AI486" s="3056" t="str">
        <f>"2A:serteikyo_kyoka_code:" &amp; IF(I486="■",1,IF(L486="■",6,IF(O486="■",5,IF(R486="■",7,0))))</f>
        <v>2A:serteikyo_kyoka_code:0</v>
      </c>
    </row>
    <row r="487" spans="1:36" s="3056" customFormat="1" ht="18.75" hidden="1" customHeight="1">
      <c r="A487" s="3195"/>
      <c r="B487" s="3194"/>
      <c r="C487" s="1303"/>
      <c r="D487" s="1304"/>
      <c r="E487" s="1305"/>
      <c r="F487" s="1304"/>
      <c r="G487" s="1275"/>
      <c r="H487" s="1539" t="s">
        <v>2390</v>
      </c>
      <c r="I487" s="3162" t="s">
        <v>121</v>
      </c>
      <c r="J487" s="3161" t="s">
        <v>1230</v>
      </c>
      <c r="K487" s="3161"/>
      <c r="L487" s="3160" t="s">
        <v>121</v>
      </c>
      <c r="M487" s="3161" t="s">
        <v>1248</v>
      </c>
      <c r="N487" s="3161"/>
      <c r="O487" s="1290"/>
      <c r="P487" s="1290"/>
      <c r="Q487" s="1290"/>
      <c r="R487" s="1290"/>
      <c r="S487" s="1290"/>
      <c r="T487" s="1290"/>
      <c r="U487" s="1290"/>
      <c r="V487" s="1290"/>
      <c r="W487" s="1290"/>
      <c r="X487" s="1331"/>
      <c r="Y487" s="1295"/>
      <c r="Z487" s="1292"/>
      <c r="AA487" s="1292"/>
      <c r="AB487" s="1293"/>
      <c r="AC487" s="1544"/>
      <c r="AD487" s="1544"/>
      <c r="AE487" s="1544"/>
      <c r="AF487" s="1544"/>
      <c r="AI487" s="3056" t="str">
        <f>"2A:field221:" &amp; IF(I487="■",1,IF(L487="■",2,0))</f>
        <v>2A:field221:0</v>
      </c>
    </row>
    <row r="488" spans="1:36" s="3056" customFormat="1" ht="18.75" hidden="1" customHeight="1">
      <c r="A488" s="3195"/>
      <c r="B488" s="3194"/>
      <c r="C488" s="1303"/>
      <c r="D488" s="1304"/>
      <c r="E488" s="1305"/>
      <c r="F488" s="1304"/>
      <c r="G488" s="1275"/>
      <c r="H488" s="1540"/>
      <c r="I488" s="3162"/>
      <c r="J488" s="3161"/>
      <c r="K488" s="3161"/>
      <c r="L488" s="3160"/>
      <c r="M488" s="3161"/>
      <c r="N488" s="3161"/>
      <c r="O488" s="1296"/>
      <c r="P488" s="1296"/>
      <c r="Q488" s="1296"/>
      <c r="R488" s="1296"/>
      <c r="S488" s="1296"/>
      <c r="T488" s="1296"/>
      <c r="U488" s="1296"/>
      <c r="V488" s="1296"/>
      <c r="W488" s="1296"/>
      <c r="X488" s="1332"/>
      <c r="Y488" s="1295"/>
      <c r="Z488" s="1292"/>
      <c r="AA488" s="1292"/>
      <c r="AB488" s="1293"/>
      <c r="AC488" s="1544"/>
      <c r="AD488" s="1544"/>
      <c r="AE488" s="1544"/>
      <c r="AF488" s="1544"/>
    </row>
    <row r="489" spans="1:36" s="3056" customFormat="1" ht="18.75" hidden="1" customHeight="1">
      <c r="A489" s="735"/>
      <c r="B489" s="1407"/>
      <c r="C489" s="1303"/>
      <c r="D489" s="1304"/>
      <c r="E489" s="1275"/>
      <c r="F489" s="1289"/>
      <c r="G489" s="1305"/>
      <c r="H489" s="3155" t="s">
        <v>2288</v>
      </c>
      <c r="I489" s="3137" t="s">
        <v>121</v>
      </c>
      <c r="J489" s="3151" t="s">
        <v>1230</v>
      </c>
      <c r="K489" s="3151"/>
      <c r="L489" s="3136" t="s">
        <v>121</v>
      </c>
      <c r="M489" s="3151" t="s">
        <v>2287</v>
      </c>
      <c r="N489" s="3154"/>
      <c r="O489" s="3136" t="s">
        <v>121</v>
      </c>
      <c r="P489" s="3153" t="s">
        <v>2286</v>
      </c>
      <c r="Q489" s="3152"/>
      <c r="R489" s="3136" t="s">
        <v>121</v>
      </c>
      <c r="S489" s="3151" t="s">
        <v>2285</v>
      </c>
      <c r="T489" s="3152"/>
      <c r="U489" s="3136" t="s">
        <v>121</v>
      </c>
      <c r="V489" s="3151" t="s">
        <v>2284</v>
      </c>
      <c r="W489" s="3150"/>
      <c r="X489" s="3149"/>
      <c r="Y489" s="1292"/>
      <c r="Z489" s="1292"/>
      <c r="AA489" s="1292"/>
      <c r="AB489" s="1293"/>
      <c r="AC489" s="1544"/>
      <c r="AD489" s="1544"/>
      <c r="AE489" s="1544"/>
      <c r="AF489" s="1544"/>
      <c r="AI489" s="3056" t="str">
        <f>"2A:shoguukaizen_code:"&amp;IF(I489="■",1,IF(L489="■",7,IF(O489="■",8,IF(R489="■",9,IF(U489="■","A",0)))))</f>
        <v>2A:shoguukaizen_code:0</v>
      </c>
    </row>
    <row r="490" spans="1:36" s="3056" customFormat="1" ht="18.75" hidden="1" customHeight="1">
      <c r="A490" s="3197"/>
      <c r="B490" s="3196"/>
      <c r="C490" s="1333"/>
      <c r="D490" s="1335"/>
      <c r="E490" s="1272"/>
      <c r="F490" s="1279"/>
      <c r="G490" s="1272"/>
      <c r="H490" s="1545" t="s">
        <v>1226</v>
      </c>
      <c r="I490" s="3119" t="s">
        <v>121</v>
      </c>
      <c r="J490" s="1270" t="s">
        <v>1227</v>
      </c>
      <c r="K490" s="3139"/>
      <c r="L490" s="1337"/>
      <c r="M490" s="3138" t="s">
        <v>121</v>
      </c>
      <c r="N490" s="1270" t="s">
        <v>2306</v>
      </c>
      <c r="O490" s="1334"/>
      <c r="P490" s="1334"/>
      <c r="Q490" s="3138" t="s">
        <v>121</v>
      </c>
      <c r="R490" s="1270" t="s">
        <v>2305</v>
      </c>
      <c r="S490" s="1334"/>
      <c r="T490" s="1334"/>
      <c r="U490" s="3138" t="s">
        <v>121</v>
      </c>
      <c r="V490" s="1270" t="s">
        <v>2304</v>
      </c>
      <c r="W490" s="1334"/>
      <c r="X490" s="1336"/>
      <c r="Y490" s="3138" t="s">
        <v>121</v>
      </c>
      <c r="Z490" s="1270" t="s">
        <v>1229</v>
      </c>
      <c r="AA490" s="1270"/>
      <c r="AB490" s="1286"/>
      <c r="AC490" s="1543"/>
      <c r="AD490" s="1543"/>
      <c r="AE490" s="1543"/>
      <c r="AF490" s="1543"/>
      <c r="AG490" s="3056" t="str">
        <f>"ser_code = '" &amp; IF(A502="■","2A","") &amp; "'"</f>
        <v>ser_code = ''</v>
      </c>
      <c r="AH490" s="3056" t="str">
        <f>"2A:jininkbn_code:"&amp;IF(F502="■",1,IF(F503="■",2,0))</f>
        <v>2A:jininkbn_code:0</v>
      </c>
      <c r="AI490" s="3056" t="str">
        <f>"2A:yakan_kinmu_code:" &amp; IF(I490="■",1,IF(M490="■",2,IF(Q490="■",3,IF(U490="■",7,IF(I491="■",5,IF(M491="■",6,0))))))</f>
        <v>2A:yakan_kinmu_code:0</v>
      </c>
      <c r="AJ490" s="3056" t="str">
        <f>"2A:field203:" &amp; IF(Y490="■",1,IF(Y491="■",2,0))</f>
        <v>2A:field203:0</v>
      </c>
    </row>
    <row r="491" spans="1:36" s="3056" customFormat="1" ht="18.75" hidden="1" customHeight="1">
      <c r="A491" s="3195"/>
      <c r="B491" s="3194"/>
      <c r="C491" s="1303"/>
      <c r="D491" s="1304"/>
      <c r="E491" s="1275"/>
      <c r="F491" s="1289"/>
      <c r="G491" s="1275"/>
      <c r="H491" s="1542"/>
      <c r="I491" s="3063" t="s">
        <v>121</v>
      </c>
      <c r="J491" s="1296" t="s">
        <v>2303</v>
      </c>
      <c r="K491" s="1309"/>
      <c r="L491" s="1355"/>
      <c r="M491" s="3062" t="s">
        <v>121</v>
      </c>
      <c r="N491" s="1296" t="s">
        <v>1228</v>
      </c>
      <c r="O491" s="1403"/>
      <c r="P491" s="1403"/>
      <c r="Q491" s="1403"/>
      <c r="R491" s="1403"/>
      <c r="S491" s="1403"/>
      <c r="T491" s="1403"/>
      <c r="U491" s="1403"/>
      <c r="V491" s="1403"/>
      <c r="W491" s="1403"/>
      <c r="X491" s="1297"/>
      <c r="Y491" s="3122" t="s">
        <v>121</v>
      </c>
      <c r="Z491" s="1273" t="s">
        <v>1234</v>
      </c>
      <c r="AA491" s="1292"/>
      <c r="AB491" s="1293"/>
      <c r="AC491" s="1562"/>
      <c r="AD491" s="1562"/>
      <c r="AE491" s="1562"/>
      <c r="AF491" s="1562"/>
      <c r="AG491" s="3056" t="str">
        <f>"2A:sisetukbn_code:"&amp;IF(D502="■","4",0)</f>
        <v>2A:sisetukbn_code:0</v>
      </c>
    </row>
    <row r="492" spans="1:36" s="3056" customFormat="1" ht="18.75" hidden="1" customHeight="1">
      <c r="A492" s="3195"/>
      <c r="B492" s="3194"/>
      <c r="C492" s="1303"/>
      <c r="D492" s="1304"/>
      <c r="E492" s="1275"/>
      <c r="F492" s="1289"/>
      <c r="G492" s="1275"/>
      <c r="H492" s="1541" t="s">
        <v>90</v>
      </c>
      <c r="I492" s="3137" t="s">
        <v>121</v>
      </c>
      <c r="J492" s="1290" t="s">
        <v>1230</v>
      </c>
      <c r="K492" s="1290"/>
      <c r="L492" s="1329"/>
      <c r="M492" s="3136" t="s">
        <v>121</v>
      </c>
      <c r="N492" s="1290" t="s">
        <v>1231</v>
      </c>
      <c r="O492" s="1290"/>
      <c r="P492" s="1329"/>
      <c r="Q492" s="3136" t="s">
        <v>121</v>
      </c>
      <c r="R492" s="1402" t="s">
        <v>2302</v>
      </c>
      <c r="S492" s="1402"/>
      <c r="T492" s="1402"/>
      <c r="U492" s="1314"/>
      <c r="V492" s="1329"/>
      <c r="W492" s="1402"/>
      <c r="X492" s="1315"/>
      <c r="Y492" s="1295"/>
      <c r="Z492" s="1292"/>
      <c r="AA492" s="1292"/>
      <c r="AB492" s="1293"/>
      <c r="AC492" s="1544"/>
      <c r="AD492" s="1544"/>
      <c r="AE492" s="1544"/>
      <c r="AF492" s="1544"/>
      <c r="AI492" s="3056" t="str">
        <f>"2A:"&amp;IF(AND(I492="□",M492="□",Q492="□",I493="□",M493="□"),"ketu_doctor_code:0",IF(I492="■","ketu_doctor_code:1:field197:1:ketu_kangos_code:1:ketu_kshoku_code:1",IF(M492="■","ketu_doctor_code:2","ketu_doctor_code:1")
&amp;IF(Q492="■",":field197:2",":field197:1")
&amp;IF(I493="■",":ketu_kangos_code:2",":ketu_kangos_code:1")
&amp;IF(M493="■",":ketu_kshoku_code:2",":ketu_kshoku_code:1")))</f>
        <v>2A:ketu_doctor_code:0</v>
      </c>
    </row>
    <row r="493" spans="1:36" s="3056" customFormat="1" ht="18.75" hidden="1" customHeight="1">
      <c r="A493" s="3195"/>
      <c r="B493" s="3194"/>
      <c r="C493" s="1303"/>
      <c r="D493" s="1304"/>
      <c r="E493" s="1275"/>
      <c r="F493" s="1289"/>
      <c r="G493" s="1275"/>
      <c r="H493" s="1542"/>
      <c r="I493" s="3063" t="s">
        <v>121</v>
      </c>
      <c r="J493" s="1403" t="s">
        <v>2301</v>
      </c>
      <c r="K493" s="1403"/>
      <c r="L493" s="1403"/>
      <c r="M493" s="3062" t="s">
        <v>121</v>
      </c>
      <c r="N493" s="1403" t="s">
        <v>2300</v>
      </c>
      <c r="O493" s="1355"/>
      <c r="P493" s="1403"/>
      <c r="Q493" s="1403"/>
      <c r="R493" s="1355"/>
      <c r="S493" s="1403"/>
      <c r="T493" s="1403"/>
      <c r="U493" s="1330"/>
      <c r="V493" s="1355"/>
      <c r="W493" s="1403"/>
      <c r="X493" s="1356"/>
      <c r="Y493" s="1295"/>
      <c r="Z493" s="1292"/>
      <c r="AA493" s="1292"/>
      <c r="AB493" s="1293"/>
      <c r="AC493" s="1544"/>
      <c r="AD493" s="1544"/>
      <c r="AE493" s="1544"/>
      <c r="AF493" s="1544"/>
    </row>
    <row r="494" spans="1:36" s="3056" customFormat="1" ht="18.75" hidden="1" customHeight="1">
      <c r="A494" s="3195"/>
      <c r="B494" s="3194"/>
      <c r="C494" s="1303"/>
      <c r="D494" s="1304"/>
      <c r="E494" s="1275"/>
      <c r="F494" s="1289"/>
      <c r="G494" s="1275"/>
      <c r="H494" s="1409" t="s">
        <v>91</v>
      </c>
      <c r="I494" s="3066" t="s">
        <v>121</v>
      </c>
      <c r="J494" s="1298" t="s">
        <v>1239</v>
      </c>
      <c r="K494" s="1299"/>
      <c r="L494" s="1300"/>
      <c r="M494" s="3065" t="s">
        <v>121</v>
      </c>
      <c r="N494" s="1298" t="s">
        <v>1240</v>
      </c>
      <c r="O494" s="1307"/>
      <c r="P494" s="1307"/>
      <c r="Q494" s="1307"/>
      <c r="R494" s="1307"/>
      <c r="S494" s="1307"/>
      <c r="T494" s="1307"/>
      <c r="U494" s="1307"/>
      <c r="V494" s="1307"/>
      <c r="W494" s="1307"/>
      <c r="X494" s="1308"/>
      <c r="Y494" s="1295"/>
      <c r="Z494" s="1292"/>
      <c r="AA494" s="1292"/>
      <c r="AB494" s="1293"/>
      <c r="AC494" s="1544"/>
      <c r="AD494" s="1544"/>
      <c r="AE494" s="1544"/>
      <c r="AF494" s="1544"/>
      <c r="AI494" s="3056" t="str">
        <f>"2A:unitcare_code:" &amp; IF(I494="■",1,IF(M494="■",2,0))</f>
        <v>2A:unitcare_code:0</v>
      </c>
    </row>
    <row r="495" spans="1:36" s="3056" customFormat="1" ht="18.75" hidden="1" customHeight="1">
      <c r="A495" s="735"/>
      <c r="B495" s="1407"/>
      <c r="C495" s="1287"/>
      <c r="D495" s="1288"/>
      <c r="E495" s="1275"/>
      <c r="F495" s="1289"/>
      <c r="G495" s="1305"/>
      <c r="H495" s="3193" t="s">
        <v>1241</v>
      </c>
      <c r="I495" s="3096" t="s">
        <v>121</v>
      </c>
      <c r="J495" s="3091" t="s">
        <v>1242</v>
      </c>
      <c r="K495" s="3095"/>
      <c r="L495" s="3094"/>
      <c r="M495" s="3093" t="s">
        <v>121</v>
      </c>
      <c r="N495" s="3091" t="s">
        <v>1243</v>
      </c>
      <c r="O495" s="3095"/>
      <c r="P495" s="3192"/>
      <c r="Q495" s="3192"/>
      <c r="R495" s="3192"/>
      <c r="S495" s="3192"/>
      <c r="T495" s="3192"/>
      <c r="U495" s="3192"/>
      <c r="V495" s="3192"/>
      <c r="W495" s="3192"/>
      <c r="X495" s="3191"/>
      <c r="Y495" s="1295"/>
      <c r="Z495" s="1292"/>
      <c r="AA495" s="1292"/>
      <c r="AB495" s="1293"/>
      <c r="AC495" s="1544"/>
      <c r="AD495" s="1544"/>
      <c r="AE495" s="1544"/>
      <c r="AF495" s="1544"/>
      <c r="AI495" s="3056" t="str">
        <f>"2A:sintaikousoku_code:" &amp; IF(I495="■",1,IF(M495="■",2,0))</f>
        <v>2A:sintaikousoku_code:0</v>
      </c>
    </row>
    <row r="496" spans="1:36" s="3056" customFormat="1" ht="19.5" hidden="1" customHeight="1">
      <c r="A496" s="735"/>
      <c r="B496" s="1407"/>
      <c r="C496" s="1303"/>
      <c r="D496" s="1304"/>
      <c r="E496" s="1275"/>
      <c r="F496" s="1289"/>
      <c r="G496" s="1305"/>
      <c r="H496" s="1306" t="s">
        <v>1244</v>
      </c>
      <c r="I496" s="3066" t="s">
        <v>121</v>
      </c>
      <c r="J496" s="1298" t="s">
        <v>1242</v>
      </c>
      <c r="K496" s="1299"/>
      <c r="L496" s="1300"/>
      <c r="M496" s="3065" t="s">
        <v>121</v>
      </c>
      <c r="N496" s="1298" t="s">
        <v>1245</v>
      </c>
      <c r="O496" s="1301"/>
      <c r="P496" s="1298"/>
      <c r="Q496" s="1307"/>
      <c r="R496" s="1307"/>
      <c r="S496" s="1307"/>
      <c r="T496" s="1307"/>
      <c r="U496" s="1307"/>
      <c r="V496" s="1307"/>
      <c r="W496" s="1307"/>
      <c r="X496" s="1308"/>
      <c r="Y496" s="1292"/>
      <c r="Z496" s="1292"/>
      <c r="AA496" s="1292"/>
      <c r="AB496" s="1293"/>
      <c r="AC496" s="1544"/>
      <c r="AD496" s="1544"/>
      <c r="AE496" s="1544"/>
      <c r="AF496" s="1544"/>
      <c r="AI496" s="3056" t="str">
        <f>"2A:field223:" &amp; IF(I496="■",1,IF(M496="■",2,0))</f>
        <v>2A:field223:0</v>
      </c>
    </row>
    <row r="497" spans="1:35" s="3056" customFormat="1" ht="19.5" hidden="1" customHeight="1">
      <c r="A497" s="735"/>
      <c r="B497" s="1407"/>
      <c r="C497" s="1303"/>
      <c r="D497" s="1304"/>
      <c r="E497" s="1275"/>
      <c r="F497" s="1289"/>
      <c r="G497" s="1305"/>
      <c r="H497" s="1306" t="s">
        <v>1246</v>
      </c>
      <c r="I497" s="3066" t="s">
        <v>121</v>
      </c>
      <c r="J497" s="1298" t="s">
        <v>1242</v>
      </c>
      <c r="K497" s="1299"/>
      <c r="L497" s="1300"/>
      <c r="M497" s="3065" t="s">
        <v>121</v>
      </c>
      <c r="N497" s="1298" t="s">
        <v>1245</v>
      </c>
      <c r="O497" s="1301"/>
      <c r="P497" s="1298"/>
      <c r="Q497" s="1307"/>
      <c r="R497" s="1307"/>
      <c r="S497" s="1307"/>
      <c r="T497" s="1307"/>
      <c r="U497" s="1307"/>
      <c r="V497" s="1307"/>
      <c r="W497" s="1307"/>
      <c r="X497" s="1308"/>
      <c r="Y497" s="1292"/>
      <c r="Z497" s="1292"/>
      <c r="AA497" s="1292"/>
      <c r="AB497" s="1293"/>
      <c r="AC497" s="1544"/>
      <c r="AD497" s="1544"/>
      <c r="AE497" s="1544"/>
      <c r="AF497" s="1544"/>
      <c r="AI497" s="3056" t="str">
        <f>"2A:field232:" &amp; IF(I497="■",1,IF(M497="■",2,0))</f>
        <v>2A:field232:0</v>
      </c>
    </row>
    <row r="498" spans="1:35" s="3056" customFormat="1" ht="18.75" hidden="1" customHeight="1">
      <c r="A498" s="3195"/>
      <c r="B498" s="3194"/>
      <c r="C498" s="1303"/>
      <c r="D498" s="1304"/>
      <c r="E498" s="1275"/>
      <c r="F498" s="1289"/>
      <c r="G498" s="1275"/>
      <c r="H498" s="1409" t="s">
        <v>2295</v>
      </c>
      <c r="I498" s="3066" t="s">
        <v>121</v>
      </c>
      <c r="J498" s="1298" t="s">
        <v>1227</v>
      </c>
      <c r="K498" s="1299"/>
      <c r="L498" s="1300"/>
      <c r="M498" s="3065" t="s">
        <v>121</v>
      </c>
      <c r="N498" s="1298" t="s">
        <v>2291</v>
      </c>
      <c r="O498" s="1307"/>
      <c r="P498" s="1307"/>
      <c r="Q498" s="1307"/>
      <c r="R498" s="1307"/>
      <c r="S498" s="1307"/>
      <c r="T498" s="1307"/>
      <c r="U498" s="1307"/>
      <c r="V498" s="1307"/>
      <c r="W498" s="1307"/>
      <c r="X498" s="1308"/>
      <c r="Y498" s="1295"/>
      <c r="Z498" s="1292"/>
      <c r="AA498" s="1292"/>
      <c r="AB498" s="1293"/>
      <c r="AC498" s="1544"/>
      <c r="AD498" s="1544"/>
      <c r="AE498" s="1544"/>
      <c r="AF498" s="1544"/>
      <c r="AI498" s="3056" t="str">
        <f>"2A:field190:" &amp; IF(I498="■",1,IF(M498="■",2,0))</f>
        <v>2A:field190:0</v>
      </c>
    </row>
    <row r="499" spans="1:35" s="3056" customFormat="1" ht="18.75" hidden="1" customHeight="1">
      <c r="A499" s="3195"/>
      <c r="B499" s="3194"/>
      <c r="C499" s="1303"/>
      <c r="D499" s="1304"/>
      <c r="E499" s="1275"/>
      <c r="F499" s="1289"/>
      <c r="G499" s="1275"/>
      <c r="H499" s="1409" t="s">
        <v>2293</v>
      </c>
      <c r="I499" s="3066" t="s">
        <v>121</v>
      </c>
      <c r="J499" s="1298" t="s">
        <v>1227</v>
      </c>
      <c r="K499" s="1299"/>
      <c r="L499" s="1300"/>
      <c r="M499" s="3065" t="s">
        <v>121</v>
      </c>
      <c r="N499" s="1298" t="s">
        <v>2291</v>
      </c>
      <c r="O499" s="1307"/>
      <c r="P499" s="1307"/>
      <c r="Q499" s="1307"/>
      <c r="R499" s="1307"/>
      <c r="S499" s="1307"/>
      <c r="T499" s="1307"/>
      <c r="U499" s="1307"/>
      <c r="V499" s="1307"/>
      <c r="W499" s="1307"/>
      <c r="X499" s="1308"/>
      <c r="Y499" s="1295"/>
      <c r="Z499" s="1292"/>
      <c r="AA499" s="1292"/>
      <c r="AB499" s="1293"/>
      <c r="AC499" s="1544"/>
      <c r="AD499" s="1544"/>
      <c r="AE499" s="1544"/>
      <c r="AF499" s="1544"/>
      <c r="AI499" s="3056" t="str">
        <f>"2A:field191:" &amp; IF(I499="■",1,IF(M499="■",2,0))</f>
        <v>2A:field191:0</v>
      </c>
    </row>
    <row r="500" spans="1:35" s="3056" customFormat="1" ht="18.75" hidden="1" customHeight="1">
      <c r="A500" s="3195"/>
      <c r="B500" s="3194"/>
      <c r="C500" s="1303"/>
      <c r="D500" s="1304"/>
      <c r="E500" s="1275"/>
      <c r="F500" s="1289"/>
      <c r="G500" s="1275"/>
      <c r="H500" s="1409" t="s">
        <v>1305</v>
      </c>
      <c r="I500" s="3066" t="s">
        <v>121</v>
      </c>
      <c r="J500" s="1298" t="s">
        <v>1230</v>
      </c>
      <c r="K500" s="1299"/>
      <c r="L500" s="3065" t="s">
        <v>121</v>
      </c>
      <c r="M500" s="1298" t="s">
        <v>1248</v>
      </c>
      <c r="N500" s="1307"/>
      <c r="O500" s="1307"/>
      <c r="P500" s="1307"/>
      <c r="Q500" s="1307"/>
      <c r="R500" s="1307"/>
      <c r="S500" s="1307"/>
      <c r="T500" s="1307"/>
      <c r="U500" s="1307"/>
      <c r="V500" s="1307"/>
      <c r="W500" s="1307"/>
      <c r="X500" s="1308"/>
      <c r="Y500" s="1295"/>
      <c r="Z500" s="1292"/>
      <c r="AA500" s="1292"/>
      <c r="AB500" s="1293"/>
      <c r="AC500" s="1544"/>
      <c r="AD500" s="1544"/>
      <c r="AE500" s="1544"/>
      <c r="AF500" s="1544"/>
      <c r="AI500" s="3056" t="str">
        <f>"2A:jyakuninti_uke_code:" &amp; IF(I500="■",1,IF(L500="■",2,0))</f>
        <v>2A:jyakuninti_uke_code:0</v>
      </c>
    </row>
    <row r="501" spans="1:35" s="3056" customFormat="1" ht="18.75" hidden="1" customHeight="1">
      <c r="A501" s="3195"/>
      <c r="B501" s="3194"/>
      <c r="C501" s="1303"/>
      <c r="D501" s="1304"/>
      <c r="E501" s="1275"/>
      <c r="F501" s="1289"/>
      <c r="G501" s="1275"/>
      <c r="H501" s="1409" t="s">
        <v>1324</v>
      </c>
      <c r="I501" s="3066" t="s">
        <v>121</v>
      </c>
      <c r="J501" s="1298" t="s">
        <v>1239</v>
      </c>
      <c r="K501" s="1299"/>
      <c r="L501" s="1300"/>
      <c r="M501" s="3065" t="s">
        <v>121</v>
      </c>
      <c r="N501" s="1298" t="s">
        <v>1240</v>
      </c>
      <c r="O501" s="1307"/>
      <c r="P501" s="1307"/>
      <c r="Q501" s="1307"/>
      <c r="R501" s="1307"/>
      <c r="S501" s="1307"/>
      <c r="T501" s="1307"/>
      <c r="U501" s="1307"/>
      <c r="V501" s="1307"/>
      <c r="W501" s="1307"/>
      <c r="X501" s="1308"/>
      <c r="Y501" s="1295"/>
      <c r="Z501" s="1292"/>
      <c r="AA501" s="1292"/>
      <c r="AB501" s="1293"/>
      <c r="AC501" s="1544"/>
      <c r="AD501" s="1544"/>
      <c r="AE501" s="1544"/>
      <c r="AF501" s="1544"/>
      <c r="AI501" s="3056" t="str">
        <f>"2A:sougei_code:" &amp; IF(I501="■",1,IF(M501="■",2,0))</f>
        <v>2A:sougei_code:0</v>
      </c>
    </row>
    <row r="502" spans="1:35" s="3056" customFormat="1" ht="19.5" hidden="1" customHeight="1">
      <c r="A502" s="3069" t="s">
        <v>121</v>
      </c>
      <c r="B502" s="3194" t="s">
        <v>2392</v>
      </c>
      <c r="C502" s="1303" t="s">
        <v>1321</v>
      </c>
      <c r="D502" s="3122" t="s">
        <v>121</v>
      </c>
      <c r="E502" s="1275" t="s">
        <v>2394</v>
      </c>
      <c r="F502" s="3122" t="s">
        <v>121</v>
      </c>
      <c r="G502" s="1275" t="s">
        <v>2323</v>
      </c>
      <c r="H502" s="1306" t="s">
        <v>1325</v>
      </c>
      <c r="I502" s="3066" t="s">
        <v>121</v>
      </c>
      <c r="J502" s="1298" t="s">
        <v>1230</v>
      </c>
      <c r="K502" s="1298"/>
      <c r="L502" s="3065" t="s">
        <v>121</v>
      </c>
      <c r="M502" s="1298" t="s">
        <v>1248</v>
      </c>
      <c r="N502" s="1298"/>
      <c r="O502" s="1307"/>
      <c r="P502" s="1298"/>
      <c r="Q502" s="1307"/>
      <c r="R502" s="1307"/>
      <c r="S502" s="1307"/>
      <c r="T502" s="1307"/>
      <c r="U502" s="1307"/>
      <c r="V502" s="1307"/>
      <c r="W502" s="1307"/>
      <c r="X502" s="1308"/>
      <c r="Y502" s="1292"/>
      <c r="Z502" s="1292"/>
      <c r="AA502" s="1292"/>
      <c r="AB502" s="1293"/>
      <c r="AC502" s="1544"/>
      <c r="AD502" s="1544"/>
      <c r="AE502" s="1544"/>
      <c r="AF502" s="1544"/>
      <c r="AI502" s="3056" t="str">
        <f>"2A:field224:" &amp; IF(I502="■",1,IF(L502="■",2,0))</f>
        <v>2A:field224:0</v>
      </c>
    </row>
    <row r="503" spans="1:35" s="3056" customFormat="1" ht="18.75" hidden="1" customHeight="1">
      <c r="A503" s="3195"/>
      <c r="B503" s="3194"/>
      <c r="C503" s="1303"/>
      <c r="D503" s="1304"/>
      <c r="E503" s="1275"/>
      <c r="F503" s="3122" t="s">
        <v>121</v>
      </c>
      <c r="G503" s="1275" t="s">
        <v>2322</v>
      </c>
      <c r="H503" s="1409" t="s">
        <v>145</v>
      </c>
      <c r="I503" s="3066" t="s">
        <v>121</v>
      </c>
      <c r="J503" s="1298" t="s">
        <v>1230</v>
      </c>
      <c r="K503" s="1299"/>
      <c r="L503" s="3065" t="s">
        <v>121</v>
      </c>
      <c r="M503" s="1298" t="s">
        <v>1248</v>
      </c>
      <c r="N503" s="1307"/>
      <c r="O503" s="1307"/>
      <c r="P503" s="1307"/>
      <c r="Q503" s="1307"/>
      <c r="R503" s="1307"/>
      <c r="S503" s="1307"/>
      <c r="T503" s="1307"/>
      <c r="U503" s="1307"/>
      <c r="V503" s="1307"/>
      <c r="W503" s="1307"/>
      <c r="X503" s="1308"/>
      <c r="Y503" s="1295"/>
      <c r="Z503" s="1292"/>
      <c r="AA503" s="1292"/>
      <c r="AB503" s="1293"/>
      <c r="AC503" s="1544"/>
      <c r="AD503" s="1544"/>
      <c r="AE503" s="1544"/>
      <c r="AF503" s="1544"/>
      <c r="AI503" s="3056" t="str">
        <f>"2A:ryouyoushoku_code:" &amp; IF(I503="■",1,IF(L503="■",2,0))</f>
        <v>2A:ryouyoushoku_code:0</v>
      </c>
    </row>
    <row r="504" spans="1:35" s="3056" customFormat="1" ht="18.75" hidden="1" customHeight="1">
      <c r="A504" s="3195"/>
      <c r="B504" s="3194"/>
      <c r="C504" s="1303"/>
      <c r="D504" s="1304"/>
      <c r="E504" s="1275"/>
      <c r="F504" s="1304"/>
      <c r="G504" s="1275"/>
      <c r="H504" s="1409" t="s">
        <v>1260</v>
      </c>
      <c r="I504" s="3066" t="s">
        <v>121</v>
      </c>
      <c r="J504" s="1298" t="s">
        <v>1230</v>
      </c>
      <c r="K504" s="1298"/>
      <c r="L504" s="3065" t="s">
        <v>121</v>
      </c>
      <c r="M504" s="1298" t="s">
        <v>1256</v>
      </c>
      <c r="N504" s="1298"/>
      <c r="O504" s="3065" t="s">
        <v>121</v>
      </c>
      <c r="P504" s="1298" t="s">
        <v>1257</v>
      </c>
      <c r="Q504" s="1307"/>
      <c r="R504" s="1307"/>
      <c r="S504" s="1307"/>
      <c r="T504" s="1307"/>
      <c r="U504" s="1307"/>
      <c r="V504" s="1307"/>
      <c r="W504" s="1307"/>
      <c r="X504" s="1308"/>
      <c r="Y504" s="1295"/>
      <c r="Z504" s="1292"/>
      <c r="AA504" s="1292"/>
      <c r="AB504" s="1293"/>
      <c r="AC504" s="1544"/>
      <c r="AD504" s="1544"/>
      <c r="AE504" s="1544"/>
      <c r="AF504" s="1544"/>
      <c r="AI504" s="3056" t="str">
        <f>"2A:ninti_senmoncare_code:" &amp; IF(I504="■",1,IF(O504="■",3,IF(L504="■",2,0)))</f>
        <v>2A:ninti_senmoncare_code:0</v>
      </c>
    </row>
    <row r="505" spans="1:35" s="3056" customFormat="1" ht="18.75" hidden="1" customHeight="1">
      <c r="A505" s="3195"/>
      <c r="B505" s="3194"/>
      <c r="C505" s="1303"/>
      <c r="D505" s="1304"/>
      <c r="E505" s="1275"/>
      <c r="F505" s="1304"/>
      <c r="G505" s="1275"/>
      <c r="H505" s="1409" t="s">
        <v>2307</v>
      </c>
      <c r="I505" s="3066" t="s">
        <v>121</v>
      </c>
      <c r="J505" s="1298" t="s">
        <v>1230</v>
      </c>
      <c r="K505" s="1298"/>
      <c r="L505" s="3065" t="s">
        <v>121</v>
      </c>
      <c r="M505" s="1298" t="s">
        <v>1256</v>
      </c>
      <c r="N505" s="1298"/>
      <c r="O505" s="3065" t="s">
        <v>121</v>
      </c>
      <c r="P505" s="1298" t="s">
        <v>1257</v>
      </c>
      <c r="Q505" s="1307"/>
      <c r="R505" s="1307"/>
      <c r="S505" s="1307"/>
      <c r="T505" s="1307"/>
      <c r="U505" s="1307"/>
      <c r="V505" s="1307"/>
      <c r="W505" s="1307"/>
      <c r="X505" s="1308"/>
      <c r="Y505" s="1295"/>
      <c r="Z505" s="1292"/>
      <c r="AA505" s="1292"/>
      <c r="AB505" s="1293"/>
      <c r="AC505" s="1544"/>
      <c r="AD505" s="1544"/>
      <c r="AE505" s="1544"/>
      <c r="AF505" s="1544"/>
      <c r="AI505" s="3056" t="str">
        <f>"2A:field164:" &amp; IF(I505="■",1,IF(L505="■",2,IF(O505="■",3,0)))</f>
        <v>2A:field164:0</v>
      </c>
    </row>
    <row r="506" spans="1:35" s="3056" customFormat="1" ht="18.75" hidden="1" customHeight="1">
      <c r="A506" s="3195"/>
      <c r="B506" s="3194"/>
      <c r="C506" s="1303"/>
      <c r="D506" s="1304"/>
      <c r="E506" s="1275"/>
      <c r="F506" s="1289"/>
      <c r="G506" s="1275"/>
      <c r="H506" s="1541" t="s">
        <v>2393</v>
      </c>
      <c r="I506" s="3137" t="s">
        <v>121</v>
      </c>
      <c r="J506" s="1290" t="s">
        <v>1273</v>
      </c>
      <c r="K506" s="1290"/>
      <c r="L506" s="1314"/>
      <c r="M506" s="1314"/>
      <c r="N506" s="1314"/>
      <c r="O506" s="1314"/>
      <c r="P506" s="3136" t="s">
        <v>121</v>
      </c>
      <c r="Q506" s="1290" t="s">
        <v>1274</v>
      </c>
      <c r="R506" s="1314"/>
      <c r="S506" s="1314"/>
      <c r="T506" s="1314"/>
      <c r="U506" s="1314"/>
      <c r="V506" s="1314"/>
      <c r="W506" s="1314"/>
      <c r="X506" s="1315"/>
      <c r="Y506" s="1295"/>
      <c r="Z506" s="1292"/>
      <c r="AA506" s="1292"/>
      <c r="AB506" s="1293"/>
      <c r="AC506" s="1544"/>
      <c r="AD506" s="1544"/>
      <c r="AE506" s="1544"/>
      <c r="AF506" s="1544"/>
      <c r="AI506" s="3056" t="str">
        <f>"2A:" &amp; IF(AND(I506="□",P506="□",I507="□"),"tokusin_jyusho_code:0:tokusin_yakuzai_code:0:shuudan_comu_code:0",IF(I506="■","tokusin_jyusho_code:2","tokusin_jyusho_code:1")
&amp;IF(P506="■",":tokusin_yakuzai_code:2",":tokusin_yakuzai_code:1")
&amp;IF(I507="■",":shuudan_comu_code:2",":shuudan_comu_code:1"))</f>
        <v>2A:tokusin_jyusho_code:0:tokusin_yakuzai_code:0:shuudan_comu_code:0</v>
      </c>
    </row>
    <row r="507" spans="1:35" s="3056" customFormat="1" ht="18.75" hidden="1" customHeight="1">
      <c r="A507" s="3195"/>
      <c r="B507" s="3194"/>
      <c r="C507" s="1303"/>
      <c r="D507" s="1304"/>
      <c r="E507" s="1275"/>
      <c r="F507" s="1289"/>
      <c r="G507" s="1275"/>
      <c r="H507" s="1542"/>
      <c r="I507" s="3063" t="s">
        <v>121</v>
      </c>
      <c r="J507" s="1296" t="s">
        <v>2318</v>
      </c>
      <c r="K507" s="1330"/>
      <c r="L507" s="1330"/>
      <c r="M507" s="1330"/>
      <c r="N507" s="1330"/>
      <c r="O507" s="1330"/>
      <c r="P507" s="1330"/>
      <c r="Q507" s="1403"/>
      <c r="R507" s="1330"/>
      <c r="S507" s="1330"/>
      <c r="T507" s="1330"/>
      <c r="U507" s="1330"/>
      <c r="V507" s="1330"/>
      <c r="W507" s="1330"/>
      <c r="X507" s="1356"/>
      <c r="Y507" s="1295"/>
      <c r="Z507" s="1292"/>
      <c r="AA507" s="1292"/>
      <c r="AB507" s="1293"/>
      <c r="AC507" s="1544"/>
      <c r="AD507" s="1544"/>
      <c r="AE507" s="1544"/>
      <c r="AF507" s="1544"/>
    </row>
    <row r="508" spans="1:35" s="3056" customFormat="1" ht="18.75" hidden="1" customHeight="1">
      <c r="A508" s="3195"/>
      <c r="B508" s="3194"/>
      <c r="C508" s="1303"/>
      <c r="D508" s="1304"/>
      <c r="E508" s="1275"/>
      <c r="F508" s="1289"/>
      <c r="G508" s="1275"/>
      <c r="H508" s="1541" t="s">
        <v>1280</v>
      </c>
      <c r="I508" s="3137" t="s">
        <v>121</v>
      </c>
      <c r="J508" s="1290" t="s">
        <v>2317</v>
      </c>
      <c r="K508" s="1328"/>
      <c r="L508" s="1329"/>
      <c r="M508" s="3136" t="s">
        <v>121</v>
      </c>
      <c r="N508" s="1290" t="s">
        <v>2316</v>
      </c>
      <c r="O508" s="1314"/>
      <c r="P508" s="1314"/>
      <c r="Q508" s="3136" t="s">
        <v>121</v>
      </c>
      <c r="R508" s="1290" t="s">
        <v>2315</v>
      </c>
      <c r="S508" s="1314"/>
      <c r="T508" s="1314"/>
      <c r="U508" s="1314"/>
      <c r="V508" s="1314"/>
      <c r="W508" s="1314"/>
      <c r="X508" s="1315"/>
      <c r="Y508" s="1295"/>
      <c r="Z508" s="1292"/>
      <c r="AA508" s="1292"/>
      <c r="AB508" s="1293"/>
      <c r="AC508" s="1544"/>
      <c r="AD508" s="1544"/>
      <c r="AE508" s="1544"/>
      <c r="AF508" s="1544"/>
      <c r="AI508" s="3056" t="str">
        <f>"2A:"&amp;IF(AND(I508="□",M508="□",Q508="□",I509="□",Q509="□"),"koriha_rryoho1_code:0:koriha_sryoho_code:0:koriha_gengo_code:0:riha_seisin_code:0:koriha_other_code:0",IF(I508="■","koriha_rryoho1_code:2","koriha_rryoho1_code:1")
&amp;IF(M508="■",":koriha_sryoho_code:2",":koriha_sryoho_code:1")
&amp;IF(Q508="■",":koriha_gengo_code:2",":koriha_gengo_code:1")
&amp;IF(I509="■",":riha_seisin_code:2",":riha_seisin_code:1")
&amp;IF(Q509="■",":koriha_other_code:2",":koriha_other_code:1"))</f>
        <v>2A:koriha_rryoho1_code:0:koriha_sryoho_code:0:koriha_gengo_code:0:riha_seisin_code:0:koriha_other_code:0</v>
      </c>
    </row>
    <row r="509" spans="1:35" s="3056" customFormat="1" ht="18.75" hidden="1" customHeight="1">
      <c r="A509" s="3195"/>
      <c r="B509" s="3194"/>
      <c r="C509" s="1303"/>
      <c r="D509" s="1304"/>
      <c r="E509" s="1275"/>
      <c r="F509" s="1289"/>
      <c r="G509" s="1275"/>
      <c r="H509" s="1542"/>
      <c r="I509" s="3063" t="s">
        <v>121</v>
      </c>
      <c r="J509" s="1296" t="s">
        <v>2314</v>
      </c>
      <c r="K509" s="1330"/>
      <c r="L509" s="1330"/>
      <c r="M509" s="1330"/>
      <c r="N509" s="1330"/>
      <c r="O509" s="1330"/>
      <c r="P509" s="1330"/>
      <c r="Q509" s="3062" t="s">
        <v>121</v>
      </c>
      <c r="R509" s="1296" t="s">
        <v>2313</v>
      </c>
      <c r="S509" s="1403"/>
      <c r="T509" s="1330"/>
      <c r="U509" s="1330"/>
      <c r="V509" s="1330"/>
      <c r="W509" s="1330"/>
      <c r="X509" s="1356"/>
      <c r="Y509" s="1295"/>
      <c r="Z509" s="1292"/>
      <c r="AA509" s="1292"/>
      <c r="AB509" s="1293"/>
      <c r="AC509" s="1544"/>
      <c r="AD509" s="1544"/>
      <c r="AE509" s="1544"/>
      <c r="AF509" s="1544"/>
    </row>
    <row r="510" spans="1:35" s="3056" customFormat="1" ht="18.75" hidden="1" customHeight="1">
      <c r="A510" s="3195"/>
      <c r="B510" s="3194"/>
      <c r="C510" s="1303"/>
      <c r="D510" s="1304"/>
      <c r="E510" s="1275"/>
      <c r="F510" s="1289"/>
      <c r="G510" s="1275"/>
      <c r="H510" s="1313" t="s">
        <v>1265</v>
      </c>
      <c r="I510" s="3066" t="s">
        <v>121</v>
      </c>
      <c r="J510" s="1298" t="s">
        <v>1230</v>
      </c>
      <c r="K510" s="1298"/>
      <c r="L510" s="3065" t="s">
        <v>121</v>
      </c>
      <c r="M510" s="1298" t="s">
        <v>1256</v>
      </c>
      <c r="N510" s="1298"/>
      <c r="O510" s="3065" t="s">
        <v>121</v>
      </c>
      <c r="P510" s="1298" t="s">
        <v>1257</v>
      </c>
      <c r="Q510" s="1307"/>
      <c r="R510" s="1307"/>
      <c r="S510" s="1307"/>
      <c r="T510" s="1307"/>
      <c r="U510" s="1314"/>
      <c r="V510" s="1314"/>
      <c r="W510" s="1314"/>
      <c r="X510" s="1315"/>
      <c r="Y510" s="1295"/>
      <c r="Z510" s="1292"/>
      <c r="AA510" s="1292"/>
      <c r="AB510" s="1293"/>
      <c r="AC510" s="1544"/>
      <c r="AD510" s="1544"/>
      <c r="AE510" s="1544"/>
      <c r="AF510" s="1544"/>
      <c r="AI510" s="3056" t="str">
        <f>"2A:field225:" &amp; IF(I510="■",1,IF(L510="■",2,IF(O510="■",3,0)))</f>
        <v>2A:field225:0</v>
      </c>
    </row>
    <row r="511" spans="1:35" s="3056" customFormat="1" ht="18.75" hidden="1" customHeight="1">
      <c r="A511" s="3195"/>
      <c r="B511" s="3194"/>
      <c r="C511" s="1303"/>
      <c r="D511" s="1304"/>
      <c r="E511" s="1275"/>
      <c r="F511" s="1289"/>
      <c r="G511" s="1275"/>
      <c r="H511" s="1410" t="s">
        <v>1266</v>
      </c>
      <c r="I511" s="3066" t="s">
        <v>121</v>
      </c>
      <c r="J511" s="1298" t="s">
        <v>1230</v>
      </c>
      <c r="K511" s="1298"/>
      <c r="L511" s="3065" t="s">
        <v>121</v>
      </c>
      <c r="M511" s="1298" t="s">
        <v>1267</v>
      </c>
      <c r="N511" s="1298"/>
      <c r="O511" s="3065" t="s">
        <v>121</v>
      </c>
      <c r="P511" s="1298" t="s">
        <v>1268</v>
      </c>
      <c r="Q511" s="1326"/>
      <c r="R511" s="3065" t="s">
        <v>121</v>
      </c>
      <c r="S511" s="1298" t="s">
        <v>1269</v>
      </c>
      <c r="T511" s="1326"/>
      <c r="U511" s="1326"/>
      <c r="V511" s="1326"/>
      <c r="W511" s="1326"/>
      <c r="X511" s="1327"/>
      <c r="Y511" s="1295"/>
      <c r="Z511" s="1292"/>
      <c r="AA511" s="1292"/>
      <c r="AB511" s="1293"/>
      <c r="AC511" s="1544"/>
      <c r="AD511" s="1544"/>
      <c r="AE511" s="1544"/>
      <c r="AF511" s="1544"/>
      <c r="AI511" s="3056" t="str">
        <f>"2A:serteikyo_kyoka_code:" &amp; IF(I511="■",1,IF(L511="■",6,IF(O511="■",5,IF(R511="■",7,0))))</f>
        <v>2A:serteikyo_kyoka_code:0</v>
      </c>
    </row>
    <row r="512" spans="1:35" s="3056" customFormat="1" ht="18.75" hidden="1" customHeight="1">
      <c r="A512" s="3195"/>
      <c r="B512" s="3194"/>
      <c r="C512" s="1303"/>
      <c r="D512" s="1304"/>
      <c r="E512" s="1275"/>
      <c r="F512" s="1289"/>
      <c r="G512" s="1275"/>
      <c r="H512" s="1539" t="s">
        <v>2390</v>
      </c>
      <c r="I512" s="3162" t="s">
        <v>121</v>
      </c>
      <c r="J512" s="3161" t="s">
        <v>1230</v>
      </c>
      <c r="K512" s="3161"/>
      <c r="L512" s="3160" t="s">
        <v>121</v>
      </c>
      <c r="M512" s="3161" t="s">
        <v>1248</v>
      </c>
      <c r="N512" s="3161"/>
      <c r="O512" s="1290"/>
      <c r="P512" s="1290"/>
      <c r="Q512" s="1290"/>
      <c r="R512" s="1290"/>
      <c r="S512" s="1290"/>
      <c r="T512" s="1290"/>
      <c r="U512" s="1290"/>
      <c r="V512" s="1290"/>
      <c r="W512" s="1290"/>
      <c r="X512" s="1331"/>
      <c r="Y512" s="1295"/>
      <c r="Z512" s="1292"/>
      <c r="AA512" s="1292"/>
      <c r="AB512" s="1293"/>
      <c r="AC512" s="1544"/>
      <c r="AD512" s="1544"/>
      <c r="AE512" s="1544"/>
      <c r="AF512" s="1544"/>
      <c r="AI512" s="3056" t="str">
        <f>"2A:field221:" &amp; IF(I512="■",1,IF(L512="■",2,0))</f>
        <v>2A:field221:0</v>
      </c>
    </row>
    <row r="513" spans="1:36" s="3056" customFormat="1" ht="18.75" hidden="1" customHeight="1">
      <c r="A513" s="3195"/>
      <c r="B513" s="3194"/>
      <c r="C513" s="1303"/>
      <c r="D513" s="1304"/>
      <c r="E513" s="1275"/>
      <c r="F513" s="1289"/>
      <c r="G513" s="1275"/>
      <c r="H513" s="1540"/>
      <c r="I513" s="3162"/>
      <c r="J513" s="3161"/>
      <c r="K513" s="3161"/>
      <c r="L513" s="3160"/>
      <c r="M513" s="3161"/>
      <c r="N513" s="3161"/>
      <c r="O513" s="1296"/>
      <c r="P513" s="1296"/>
      <c r="Q513" s="1296"/>
      <c r="R513" s="1296"/>
      <c r="S513" s="1296"/>
      <c r="T513" s="1296"/>
      <c r="U513" s="1296"/>
      <c r="V513" s="1296"/>
      <c r="W513" s="1296"/>
      <c r="X513" s="1332"/>
      <c r="Y513" s="1295"/>
      <c r="Z513" s="1292"/>
      <c r="AA513" s="1292"/>
      <c r="AB513" s="1293"/>
      <c r="AC513" s="1544"/>
      <c r="AD513" s="1544"/>
      <c r="AE513" s="1544"/>
      <c r="AF513" s="1544"/>
    </row>
    <row r="514" spans="1:36" s="3056" customFormat="1" ht="18.75" hidden="1" customHeight="1">
      <c r="A514" s="736"/>
      <c r="B514" s="1316"/>
      <c r="C514" s="1346"/>
      <c r="D514" s="1348"/>
      <c r="E514" s="1317"/>
      <c r="F514" s="1318"/>
      <c r="G514" s="1361"/>
      <c r="H514" s="3134" t="s">
        <v>2288</v>
      </c>
      <c r="I514" s="3060" t="s">
        <v>121</v>
      </c>
      <c r="J514" s="3130" t="s">
        <v>1230</v>
      </c>
      <c r="K514" s="3130"/>
      <c r="L514" s="3059" t="s">
        <v>121</v>
      </c>
      <c r="M514" s="3130" t="s">
        <v>2287</v>
      </c>
      <c r="N514" s="3133"/>
      <c r="O514" s="3059" t="s">
        <v>121</v>
      </c>
      <c r="P514" s="3132" t="s">
        <v>2286</v>
      </c>
      <c r="Q514" s="3131"/>
      <c r="R514" s="3059" t="s">
        <v>121</v>
      </c>
      <c r="S514" s="3130" t="s">
        <v>2285</v>
      </c>
      <c r="T514" s="3131"/>
      <c r="U514" s="3059" t="s">
        <v>121</v>
      </c>
      <c r="V514" s="3130" t="s">
        <v>2284</v>
      </c>
      <c r="W514" s="3129"/>
      <c r="X514" s="3128"/>
      <c r="Y514" s="1323"/>
      <c r="Z514" s="1323"/>
      <c r="AA514" s="1323"/>
      <c r="AB514" s="1324"/>
      <c r="AC514" s="1558"/>
      <c r="AD514" s="1558"/>
      <c r="AE514" s="1558"/>
      <c r="AF514" s="1558"/>
      <c r="AI514" s="3056" t="str">
        <f>"2A:shoguukaizen_code:"&amp;IF(I514="■",1,IF(L514="■",7,IF(O514="■",8,IF(R514="■",9,IF(U514="■","A",0)))))</f>
        <v>2A:shoguukaizen_code:0</v>
      </c>
    </row>
    <row r="515" spans="1:36" s="3056" customFormat="1" ht="18.75" hidden="1" customHeight="1">
      <c r="A515" s="3197"/>
      <c r="B515" s="3196"/>
      <c r="C515" s="1333"/>
      <c r="D515" s="1335"/>
      <c r="E515" s="1272"/>
      <c r="F515" s="1279"/>
      <c r="G515" s="1272"/>
      <c r="H515" s="1545" t="s">
        <v>1226</v>
      </c>
      <c r="I515" s="3119" t="s">
        <v>121</v>
      </c>
      <c r="J515" s="1270" t="s">
        <v>1227</v>
      </c>
      <c r="K515" s="3139"/>
      <c r="L515" s="1337"/>
      <c r="M515" s="3138" t="s">
        <v>121</v>
      </c>
      <c r="N515" s="1270" t="s">
        <v>2306</v>
      </c>
      <c r="O515" s="1334"/>
      <c r="P515" s="1334"/>
      <c r="Q515" s="3138" t="s">
        <v>121</v>
      </c>
      <c r="R515" s="1270" t="s">
        <v>2305</v>
      </c>
      <c r="S515" s="1334"/>
      <c r="T515" s="1334"/>
      <c r="U515" s="3138" t="s">
        <v>121</v>
      </c>
      <c r="V515" s="1270" t="s">
        <v>2304</v>
      </c>
      <c r="W515" s="1334"/>
      <c r="X515" s="1336"/>
      <c r="Y515" s="3119" t="s">
        <v>121</v>
      </c>
      <c r="Z515" s="1270" t="s">
        <v>1229</v>
      </c>
      <c r="AA515" s="1270"/>
      <c r="AB515" s="1286"/>
      <c r="AC515" s="1543"/>
      <c r="AD515" s="1543"/>
      <c r="AE515" s="1543"/>
      <c r="AF515" s="1543"/>
      <c r="AG515" s="3056" t="str">
        <f>"ser_code = '" &amp; IF(A527="■","2A","") &amp; "'"</f>
        <v>ser_code = ''</v>
      </c>
      <c r="AI515" s="3056" t="str">
        <f>"2A:yakan_kinmu_code:" &amp; IF(I515="■",1,IF(M515="■",2,IF(Q515="■",3,IF(U515="■",7,IF(I516="■",5,IF(M516="■",6,0))))))</f>
        <v>2A:yakan_kinmu_code:0</v>
      </c>
      <c r="AJ515" s="3056" t="str">
        <f>"2A:field203:" &amp; IF(Y515="■",1,IF(Y516="■",2,0))</f>
        <v>2A:field203:0</v>
      </c>
    </row>
    <row r="516" spans="1:36" s="3056" customFormat="1" ht="18.75" hidden="1" customHeight="1">
      <c r="A516" s="3195"/>
      <c r="B516" s="3194"/>
      <c r="C516" s="1303"/>
      <c r="D516" s="1304"/>
      <c r="E516" s="1275"/>
      <c r="F516" s="1289"/>
      <c r="G516" s="1275"/>
      <c r="H516" s="1542"/>
      <c r="I516" s="3063" t="s">
        <v>121</v>
      </c>
      <c r="J516" s="1296" t="s">
        <v>2303</v>
      </c>
      <c r="K516" s="1309"/>
      <c r="L516" s="1355"/>
      <c r="M516" s="3062" t="s">
        <v>121</v>
      </c>
      <c r="N516" s="1296" t="s">
        <v>1228</v>
      </c>
      <c r="O516" s="1403"/>
      <c r="P516" s="1403"/>
      <c r="Q516" s="1403"/>
      <c r="R516" s="1403"/>
      <c r="S516" s="1403"/>
      <c r="T516" s="1403"/>
      <c r="U516" s="1403"/>
      <c r="V516" s="1403"/>
      <c r="W516" s="1403"/>
      <c r="X516" s="1297"/>
      <c r="Y516" s="3122" t="s">
        <v>121</v>
      </c>
      <c r="Z516" s="1273" t="s">
        <v>1234</v>
      </c>
      <c r="AA516" s="1292"/>
      <c r="AB516" s="1293"/>
      <c r="AC516" s="1562"/>
      <c r="AD516" s="1562"/>
      <c r="AE516" s="1562"/>
      <c r="AF516" s="1562"/>
      <c r="AG516" s="3056" t="str">
        <f>"2A:sisetukbn_code:"&amp;IF(D527="■","5",0)</f>
        <v>2A:sisetukbn_code:0</v>
      </c>
    </row>
    <row r="517" spans="1:36" s="3056" customFormat="1" ht="18.75" hidden="1" customHeight="1">
      <c r="A517" s="3195"/>
      <c r="B517" s="3194"/>
      <c r="C517" s="1303"/>
      <c r="D517" s="1304"/>
      <c r="E517" s="1275"/>
      <c r="F517" s="1289"/>
      <c r="G517" s="1275"/>
      <c r="H517" s="1541" t="s">
        <v>90</v>
      </c>
      <c r="I517" s="3137" t="s">
        <v>121</v>
      </c>
      <c r="J517" s="1290" t="s">
        <v>1230</v>
      </c>
      <c r="K517" s="1290"/>
      <c r="L517" s="1329"/>
      <c r="M517" s="3136" t="s">
        <v>121</v>
      </c>
      <c r="N517" s="1290" t="s">
        <v>1231</v>
      </c>
      <c r="O517" s="1290"/>
      <c r="P517" s="1329"/>
      <c r="Q517" s="3136" t="s">
        <v>121</v>
      </c>
      <c r="R517" s="1402" t="s">
        <v>2302</v>
      </c>
      <c r="S517" s="1402"/>
      <c r="T517" s="1402"/>
      <c r="U517" s="1314"/>
      <c r="V517" s="1329"/>
      <c r="W517" s="1402"/>
      <c r="X517" s="1315"/>
      <c r="Y517" s="1295"/>
      <c r="Z517" s="1292"/>
      <c r="AA517" s="1292"/>
      <c r="AB517" s="1293"/>
      <c r="AC517" s="1544"/>
      <c r="AD517" s="1544"/>
      <c r="AE517" s="1544"/>
      <c r="AF517" s="1544"/>
      <c r="AI517" s="3056" t="str">
        <f>"2A:"&amp;IF(AND(I517="□",M517="□",Q517="□",I518="□",M518="□"),"ketu_doctor_code:0",IF(I517="■","ketu_doctor_code:1:field197:1:ketu_kangos_code:1:ketu_kshoku_code:1",IF(M517="■","ketu_doctor_code:2","ketu_doctor_code:1")
&amp;IF(Q517="■",":field197:2",":field197:1")
&amp;IF(I518="■",":ketu_kangos_code:2",":ketu_kangos_code:1")
&amp;IF(M518="■",":ketu_kshoku_code:2",":ketu_kshoku_code:1")))</f>
        <v>2A:ketu_doctor_code:0</v>
      </c>
    </row>
    <row r="518" spans="1:36" s="3056" customFormat="1" ht="18.75" hidden="1" customHeight="1">
      <c r="A518" s="3195"/>
      <c r="B518" s="3194"/>
      <c r="C518" s="1303"/>
      <c r="D518" s="1304"/>
      <c r="E518" s="1275"/>
      <c r="F518" s="1289"/>
      <c r="G518" s="1275"/>
      <c r="H518" s="1542"/>
      <c r="I518" s="3063" t="s">
        <v>121</v>
      </c>
      <c r="J518" s="1403" t="s">
        <v>2301</v>
      </c>
      <c r="K518" s="1403"/>
      <c r="L518" s="1403"/>
      <c r="M518" s="3062" t="s">
        <v>121</v>
      </c>
      <c r="N518" s="1403" t="s">
        <v>2300</v>
      </c>
      <c r="O518" s="1355"/>
      <c r="P518" s="1403"/>
      <c r="Q518" s="1403"/>
      <c r="R518" s="1355"/>
      <c r="S518" s="1403"/>
      <c r="T518" s="1403"/>
      <c r="U518" s="1330"/>
      <c r="V518" s="1355"/>
      <c r="W518" s="1403"/>
      <c r="X518" s="1356"/>
      <c r="Y518" s="1295"/>
      <c r="Z518" s="1292"/>
      <c r="AA518" s="1292"/>
      <c r="AB518" s="1293"/>
      <c r="AC518" s="1544"/>
      <c r="AD518" s="1544"/>
      <c r="AE518" s="1544"/>
      <c r="AF518" s="1544"/>
    </row>
    <row r="519" spans="1:36" s="3056" customFormat="1" ht="18.75" hidden="1" customHeight="1">
      <c r="A519" s="3195"/>
      <c r="B519" s="3194"/>
      <c r="C519" s="1303"/>
      <c r="D519" s="1304"/>
      <c r="E519" s="1275"/>
      <c r="F519" s="1289"/>
      <c r="G519" s="1275"/>
      <c r="H519" s="1409" t="s">
        <v>91</v>
      </c>
      <c r="I519" s="3066" t="s">
        <v>121</v>
      </c>
      <c r="J519" s="1298" t="s">
        <v>1239</v>
      </c>
      <c r="K519" s="1299"/>
      <c r="L519" s="1300"/>
      <c r="M519" s="3065" t="s">
        <v>121</v>
      </c>
      <c r="N519" s="1298" t="s">
        <v>1240</v>
      </c>
      <c r="O519" s="1307"/>
      <c r="P519" s="1307"/>
      <c r="Q519" s="1307"/>
      <c r="R519" s="1307"/>
      <c r="S519" s="1307"/>
      <c r="T519" s="1307"/>
      <c r="U519" s="1307"/>
      <c r="V519" s="1307"/>
      <c r="W519" s="1307"/>
      <c r="X519" s="1308"/>
      <c r="Y519" s="1295"/>
      <c r="Z519" s="1292"/>
      <c r="AA519" s="1292"/>
      <c r="AB519" s="1293"/>
      <c r="AC519" s="1544"/>
      <c r="AD519" s="1544"/>
      <c r="AE519" s="1544"/>
      <c r="AF519" s="1544"/>
      <c r="AI519" s="3056" t="str">
        <f>"2A:unitcare_code:" &amp; IF(I519="■",1,IF(M519="■",2,0))</f>
        <v>2A:unitcare_code:0</v>
      </c>
    </row>
    <row r="520" spans="1:36" s="3056" customFormat="1" ht="18.75" hidden="1" customHeight="1">
      <c r="A520" s="735"/>
      <c r="B520" s="1407"/>
      <c r="C520" s="1287"/>
      <c r="D520" s="1288"/>
      <c r="E520" s="1275"/>
      <c r="F520" s="1289"/>
      <c r="G520" s="1305"/>
      <c r="H520" s="3193" t="s">
        <v>1241</v>
      </c>
      <c r="I520" s="3096" t="s">
        <v>121</v>
      </c>
      <c r="J520" s="3091" t="s">
        <v>1242</v>
      </c>
      <c r="K520" s="3095"/>
      <c r="L520" s="3094"/>
      <c r="M520" s="3093" t="s">
        <v>121</v>
      </c>
      <c r="N520" s="3091" t="s">
        <v>1243</v>
      </c>
      <c r="O520" s="3095"/>
      <c r="P520" s="3192"/>
      <c r="Q520" s="3192"/>
      <c r="R520" s="3192"/>
      <c r="S520" s="3192"/>
      <c r="T520" s="3192"/>
      <c r="U520" s="3192"/>
      <c r="V520" s="3192"/>
      <c r="W520" s="3192"/>
      <c r="X520" s="3191"/>
      <c r="Y520" s="1295"/>
      <c r="Z520" s="1292"/>
      <c r="AA520" s="1292"/>
      <c r="AB520" s="1293"/>
      <c r="AC520" s="1544"/>
      <c r="AD520" s="1544"/>
      <c r="AE520" s="1544"/>
      <c r="AF520" s="1544"/>
      <c r="AI520" s="3056" t="str">
        <f>"2A:sintaikousoku_code:" &amp; IF(I520="■",1,IF(M520="■",2,0))</f>
        <v>2A:sintaikousoku_code:0</v>
      </c>
    </row>
    <row r="521" spans="1:36" s="3056" customFormat="1" ht="19.5" hidden="1" customHeight="1">
      <c r="A521" s="735"/>
      <c r="B521" s="1407"/>
      <c r="C521" s="1303"/>
      <c r="D521" s="1304"/>
      <c r="E521" s="1275"/>
      <c r="F521" s="1289"/>
      <c r="G521" s="1305"/>
      <c r="H521" s="1306" t="s">
        <v>1244</v>
      </c>
      <c r="I521" s="3066" t="s">
        <v>121</v>
      </c>
      <c r="J521" s="1298" t="s">
        <v>1242</v>
      </c>
      <c r="K521" s="1299"/>
      <c r="L521" s="1300"/>
      <c r="M521" s="3065" t="s">
        <v>121</v>
      </c>
      <c r="N521" s="1298" t="s">
        <v>1245</v>
      </c>
      <c r="O521" s="1301"/>
      <c r="P521" s="1298"/>
      <c r="Q521" s="1307"/>
      <c r="R521" s="1307"/>
      <c r="S521" s="1307"/>
      <c r="T521" s="1307"/>
      <c r="U521" s="1307"/>
      <c r="V521" s="1307"/>
      <c r="W521" s="1307"/>
      <c r="X521" s="1308"/>
      <c r="Y521" s="1292"/>
      <c r="Z521" s="1292"/>
      <c r="AA521" s="1292"/>
      <c r="AB521" s="1293"/>
      <c r="AC521" s="1544"/>
      <c r="AD521" s="1544"/>
      <c r="AE521" s="1544"/>
      <c r="AF521" s="1544"/>
      <c r="AI521" s="3056" t="str">
        <f>"2A:field223:" &amp; IF(I521="■",1,IF(M521="■",2,0))</f>
        <v>2A:field223:0</v>
      </c>
    </row>
    <row r="522" spans="1:36" s="3056" customFormat="1" ht="19.5" hidden="1" customHeight="1">
      <c r="A522" s="735"/>
      <c r="B522" s="1407"/>
      <c r="C522" s="1303"/>
      <c r="D522" s="1304"/>
      <c r="E522" s="1275"/>
      <c r="F522" s="1289"/>
      <c r="G522" s="1305"/>
      <c r="H522" s="1306" t="s">
        <v>1246</v>
      </c>
      <c r="I522" s="3066" t="s">
        <v>121</v>
      </c>
      <c r="J522" s="1298" t="s">
        <v>1242</v>
      </c>
      <c r="K522" s="1299"/>
      <c r="L522" s="1300"/>
      <c r="M522" s="3065" t="s">
        <v>121</v>
      </c>
      <c r="N522" s="1298" t="s">
        <v>1245</v>
      </c>
      <c r="O522" s="1301"/>
      <c r="P522" s="1298"/>
      <c r="Q522" s="1307"/>
      <c r="R522" s="1307"/>
      <c r="S522" s="1307"/>
      <c r="T522" s="1307"/>
      <c r="U522" s="1307"/>
      <c r="V522" s="1307"/>
      <c r="W522" s="1307"/>
      <c r="X522" s="1308"/>
      <c r="Y522" s="1292"/>
      <c r="Z522" s="1292"/>
      <c r="AA522" s="1292"/>
      <c r="AB522" s="1293"/>
      <c r="AC522" s="1544"/>
      <c r="AD522" s="1544"/>
      <c r="AE522" s="1544"/>
      <c r="AF522" s="1544"/>
      <c r="AI522" s="3056" t="str">
        <f>"2A:field232:" &amp; IF(I522="■",1,IF(M522="■",2,0))</f>
        <v>2A:field232:0</v>
      </c>
    </row>
    <row r="523" spans="1:36" s="3056" customFormat="1" ht="18.75" hidden="1" customHeight="1">
      <c r="A523" s="3195"/>
      <c r="B523" s="3194"/>
      <c r="C523" s="1303"/>
      <c r="D523" s="1304"/>
      <c r="E523" s="1275"/>
      <c r="F523" s="1289"/>
      <c r="G523" s="1275"/>
      <c r="H523" s="1409" t="s">
        <v>2295</v>
      </c>
      <c r="I523" s="3066" t="s">
        <v>121</v>
      </c>
      <c r="J523" s="1298" t="s">
        <v>1227</v>
      </c>
      <c r="K523" s="1299"/>
      <c r="L523" s="1300"/>
      <c r="M523" s="3065" t="s">
        <v>121</v>
      </c>
      <c r="N523" s="1298" t="s">
        <v>2291</v>
      </c>
      <c r="O523" s="1307"/>
      <c r="P523" s="1307"/>
      <c r="Q523" s="1307"/>
      <c r="R523" s="1307"/>
      <c r="S523" s="1307"/>
      <c r="T523" s="1307"/>
      <c r="U523" s="1307"/>
      <c r="V523" s="1307"/>
      <c r="W523" s="1307"/>
      <c r="X523" s="1308"/>
      <c r="Y523" s="1295"/>
      <c r="Z523" s="1292"/>
      <c r="AA523" s="1292"/>
      <c r="AB523" s="1293"/>
      <c r="AC523" s="1544"/>
      <c r="AD523" s="1544"/>
      <c r="AE523" s="1544"/>
      <c r="AF523" s="1544"/>
      <c r="AI523" s="3056" t="str">
        <f>"2A:field190:" &amp; IF(I523="■",1,IF(M523="■",2,0))</f>
        <v>2A:field190:0</v>
      </c>
    </row>
    <row r="524" spans="1:36" s="3056" customFormat="1" ht="18.75" hidden="1" customHeight="1">
      <c r="A524" s="3195"/>
      <c r="B524" s="3194"/>
      <c r="C524" s="1303"/>
      <c r="D524" s="1304"/>
      <c r="E524" s="1275"/>
      <c r="F524" s="1289"/>
      <c r="G524" s="1275"/>
      <c r="H524" s="1409" t="s">
        <v>2293</v>
      </c>
      <c r="I524" s="3066" t="s">
        <v>121</v>
      </c>
      <c r="J524" s="1298" t="s">
        <v>1227</v>
      </c>
      <c r="K524" s="1299"/>
      <c r="L524" s="1300"/>
      <c r="M524" s="3065" t="s">
        <v>121</v>
      </c>
      <c r="N524" s="1298" t="s">
        <v>2291</v>
      </c>
      <c r="O524" s="1307"/>
      <c r="P524" s="1307"/>
      <c r="Q524" s="1307"/>
      <c r="R524" s="1307"/>
      <c r="S524" s="1307"/>
      <c r="T524" s="1307"/>
      <c r="U524" s="1307"/>
      <c r="V524" s="1307"/>
      <c r="W524" s="1307"/>
      <c r="X524" s="1308"/>
      <c r="Y524" s="1295"/>
      <c r="Z524" s="1292"/>
      <c r="AA524" s="1292"/>
      <c r="AB524" s="1293"/>
      <c r="AC524" s="1544"/>
      <c r="AD524" s="1544"/>
      <c r="AE524" s="1544"/>
      <c r="AF524" s="1544"/>
      <c r="AI524" s="3056" t="str">
        <f>"2A:field191:" &amp; IF(I524="■",1,IF(M524="■",2,0))</f>
        <v>2A:field191:0</v>
      </c>
    </row>
    <row r="525" spans="1:36" s="3056" customFormat="1" ht="18.75" hidden="1" customHeight="1">
      <c r="A525" s="3195"/>
      <c r="B525" s="3194"/>
      <c r="C525" s="1303"/>
      <c r="D525" s="1304"/>
      <c r="E525" s="1275"/>
      <c r="F525" s="1289"/>
      <c r="G525" s="1275"/>
      <c r="H525" s="1409" t="s">
        <v>1305</v>
      </c>
      <c r="I525" s="3066" t="s">
        <v>121</v>
      </c>
      <c r="J525" s="1298" t="s">
        <v>1230</v>
      </c>
      <c r="K525" s="1299"/>
      <c r="L525" s="3065" t="s">
        <v>121</v>
      </c>
      <c r="M525" s="1298" t="s">
        <v>1248</v>
      </c>
      <c r="N525" s="1307"/>
      <c r="O525" s="1307"/>
      <c r="P525" s="1307"/>
      <c r="Q525" s="1307"/>
      <c r="R525" s="1307"/>
      <c r="S525" s="1307"/>
      <c r="T525" s="1307"/>
      <c r="U525" s="1307"/>
      <c r="V525" s="1307"/>
      <c r="W525" s="1307"/>
      <c r="X525" s="1308"/>
      <c r="Y525" s="1295"/>
      <c r="Z525" s="1292"/>
      <c r="AA525" s="1292"/>
      <c r="AB525" s="1293"/>
      <c r="AC525" s="1544"/>
      <c r="AD525" s="1544"/>
      <c r="AE525" s="1544"/>
      <c r="AF525" s="1544"/>
      <c r="AI525" s="3056" t="str">
        <f>"2A:jyakuninti_uke_code:" &amp; IF(I525="■",1,IF(L525="■",2,0))</f>
        <v>2A:jyakuninti_uke_code:0</v>
      </c>
    </row>
    <row r="526" spans="1:36" s="3056" customFormat="1" ht="18.75" hidden="1" customHeight="1">
      <c r="A526" s="3195"/>
      <c r="B526" s="3194"/>
      <c r="C526" s="1303"/>
      <c r="D526" s="1304"/>
      <c r="E526" s="1275"/>
      <c r="F526" s="1289"/>
      <c r="G526" s="1275"/>
      <c r="H526" s="1409" t="s">
        <v>1324</v>
      </c>
      <c r="I526" s="3066" t="s">
        <v>121</v>
      </c>
      <c r="J526" s="1298" t="s">
        <v>1239</v>
      </c>
      <c r="K526" s="1299"/>
      <c r="L526" s="1300"/>
      <c r="M526" s="3065" t="s">
        <v>121</v>
      </c>
      <c r="N526" s="1298" t="s">
        <v>1240</v>
      </c>
      <c r="O526" s="1307"/>
      <c r="P526" s="1307"/>
      <c r="Q526" s="1307"/>
      <c r="R526" s="1307"/>
      <c r="S526" s="1307"/>
      <c r="T526" s="1307"/>
      <c r="U526" s="1307"/>
      <c r="V526" s="1307"/>
      <c r="W526" s="1307"/>
      <c r="X526" s="1308"/>
      <c r="Y526" s="1295"/>
      <c r="Z526" s="1292"/>
      <c r="AA526" s="1292"/>
      <c r="AB526" s="1293"/>
      <c r="AC526" s="1544"/>
      <c r="AD526" s="1544"/>
      <c r="AE526" s="1544"/>
      <c r="AF526" s="1544"/>
      <c r="AI526" s="3056" t="str">
        <f>"2A:sougei_code:" &amp; IF(I526="■",1,IF(M526="■",2,0))</f>
        <v>2A:sougei_code:0</v>
      </c>
    </row>
    <row r="527" spans="1:36" s="3056" customFormat="1" ht="19.5" hidden="1" customHeight="1">
      <c r="A527" s="3069" t="s">
        <v>121</v>
      </c>
      <c r="B527" s="3194" t="s">
        <v>2392</v>
      </c>
      <c r="C527" s="1303" t="s">
        <v>1321</v>
      </c>
      <c r="D527" s="3122" t="s">
        <v>121</v>
      </c>
      <c r="E527" s="1275" t="s">
        <v>2319</v>
      </c>
      <c r="F527" s="1289"/>
      <c r="G527" s="1305"/>
      <c r="H527" s="1306" t="s">
        <v>1325</v>
      </c>
      <c r="I527" s="3066" t="s">
        <v>121</v>
      </c>
      <c r="J527" s="1298" t="s">
        <v>1230</v>
      </c>
      <c r="K527" s="1298"/>
      <c r="L527" s="3065" t="s">
        <v>121</v>
      </c>
      <c r="M527" s="1298" t="s">
        <v>1248</v>
      </c>
      <c r="N527" s="1298"/>
      <c r="O527" s="1307"/>
      <c r="P527" s="1298"/>
      <c r="Q527" s="1307"/>
      <c r="R527" s="1307"/>
      <c r="S527" s="1307"/>
      <c r="T527" s="1307"/>
      <c r="U527" s="1307"/>
      <c r="V527" s="1307"/>
      <c r="W527" s="1307"/>
      <c r="X527" s="1308"/>
      <c r="Y527" s="1292"/>
      <c r="Z527" s="1292"/>
      <c r="AA527" s="1292"/>
      <c r="AB527" s="1293"/>
      <c r="AC527" s="1544"/>
      <c r="AD527" s="1544"/>
      <c r="AE527" s="1544"/>
      <c r="AF527" s="1544"/>
      <c r="AI527" s="3056" t="str">
        <f>"2A:field224:" &amp; IF(I527="■",1,IF(L527="■",2,0))</f>
        <v>2A:field224:0</v>
      </c>
    </row>
    <row r="528" spans="1:36" s="3056" customFormat="1" ht="18.75" hidden="1" customHeight="1">
      <c r="A528" s="3195"/>
      <c r="B528" s="3194"/>
      <c r="C528" s="1303"/>
      <c r="D528" s="1304"/>
      <c r="E528" s="1275"/>
      <c r="F528" s="1289"/>
      <c r="G528" s="1275"/>
      <c r="H528" s="1409" t="s">
        <v>145</v>
      </c>
      <c r="I528" s="3066" t="s">
        <v>121</v>
      </c>
      <c r="J528" s="1298" t="s">
        <v>1230</v>
      </c>
      <c r="K528" s="1299"/>
      <c r="L528" s="3065" t="s">
        <v>121</v>
      </c>
      <c r="M528" s="1298" t="s">
        <v>1248</v>
      </c>
      <c r="N528" s="1307"/>
      <c r="O528" s="1307"/>
      <c r="P528" s="1307"/>
      <c r="Q528" s="1307"/>
      <c r="R528" s="1307"/>
      <c r="S528" s="1307"/>
      <c r="T528" s="1307"/>
      <c r="U528" s="1307"/>
      <c r="V528" s="1307"/>
      <c r="W528" s="1307"/>
      <c r="X528" s="1308"/>
      <c r="Y528" s="1295"/>
      <c r="Z528" s="1292"/>
      <c r="AA528" s="1292"/>
      <c r="AB528" s="1293"/>
      <c r="AC528" s="1544"/>
      <c r="AD528" s="1544"/>
      <c r="AE528" s="1544"/>
      <c r="AF528" s="1544"/>
      <c r="AI528" s="3056" t="str">
        <f>"2A:ryouyoushoku_code:" &amp; IF(I528="■",1,IF(L528="■",2,0))</f>
        <v>2A:ryouyoushoku_code:0</v>
      </c>
    </row>
    <row r="529" spans="1:36" s="3056" customFormat="1" ht="18.75" hidden="1" customHeight="1">
      <c r="A529" s="3195"/>
      <c r="B529" s="3194"/>
      <c r="C529" s="1303"/>
      <c r="D529" s="1304"/>
      <c r="E529" s="1275"/>
      <c r="F529" s="1289"/>
      <c r="G529" s="1275"/>
      <c r="H529" s="1409" t="s">
        <v>1260</v>
      </c>
      <c r="I529" s="3066" t="s">
        <v>121</v>
      </c>
      <c r="J529" s="1298" t="s">
        <v>1230</v>
      </c>
      <c r="K529" s="1298"/>
      <c r="L529" s="3065" t="s">
        <v>121</v>
      </c>
      <c r="M529" s="1298" t="s">
        <v>1256</v>
      </c>
      <c r="N529" s="1298"/>
      <c r="O529" s="3065" t="s">
        <v>121</v>
      </c>
      <c r="P529" s="1298" t="s">
        <v>1257</v>
      </c>
      <c r="Q529" s="1307"/>
      <c r="R529" s="1307"/>
      <c r="S529" s="1307"/>
      <c r="T529" s="1307"/>
      <c r="U529" s="1307"/>
      <c r="V529" s="1307"/>
      <c r="W529" s="1307"/>
      <c r="X529" s="1308"/>
      <c r="Y529" s="1295"/>
      <c r="Z529" s="1292"/>
      <c r="AA529" s="1292"/>
      <c r="AB529" s="1293"/>
      <c r="AC529" s="1544"/>
      <c r="AD529" s="1544"/>
      <c r="AE529" s="1544"/>
      <c r="AF529" s="1544"/>
      <c r="AI529" s="3056" t="str">
        <f>"2A:ninti_senmoncare_code:" &amp; IF(I529="■",1,IF(O529="■",3,IF(L529="■",2,0)))</f>
        <v>2A:ninti_senmoncare_code:0</v>
      </c>
    </row>
    <row r="530" spans="1:36" s="3056" customFormat="1" ht="18.75" hidden="1" customHeight="1">
      <c r="A530" s="3195"/>
      <c r="B530" s="3194"/>
      <c r="C530" s="1303"/>
      <c r="D530" s="1304"/>
      <c r="E530" s="1275"/>
      <c r="F530" s="1289"/>
      <c r="G530" s="1275"/>
      <c r="H530" s="1409" t="s">
        <v>2307</v>
      </c>
      <c r="I530" s="3066" t="s">
        <v>121</v>
      </c>
      <c r="J530" s="1298" t="s">
        <v>1230</v>
      </c>
      <c r="K530" s="1298"/>
      <c r="L530" s="3065" t="s">
        <v>121</v>
      </c>
      <c r="M530" s="1298" t="s">
        <v>1256</v>
      </c>
      <c r="N530" s="1298"/>
      <c r="O530" s="3065" t="s">
        <v>121</v>
      </c>
      <c r="P530" s="1298" t="s">
        <v>1257</v>
      </c>
      <c r="Q530" s="1307"/>
      <c r="R530" s="1307"/>
      <c r="S530" s="1307"/>
      <c r="T530" s="1307"/>
      <c r="U530" s="1307"/>
      <c r="V530" s="1307"/>
      <c r="W530" s="1307"/>
      <c r="X530" s="1308"/>
      <c r="Y530" s="1295"/>
      <c r="Z530" s="1292"/>
      <c r="AA530" s="1292"/>
      <c r="AB530" s="1293"/>
      <c r="AC530" s="1544"/>
      <c r="AD530" s="1544"/>
      <c r="AE530" s="1544"/>
      <c r="AF530" s="1544"/>
      <c r="AI530" s="3056" t="str">
        <f>"2A:field164:" &amp; IF(I530="■",1,IF(L530="■",2,IF(O530="■",3,0)))</f>
        <v>2A:field164:0</v>
      </c>
    </row>
    <row r="531" spans="1:36" s="3056" customFormat="1" ht="18.75" hidden="1" customHeight="1">
      <c r="A531" s="3195"/>
      <c r="B531" s="3194"/>
      <c r="C531" s="1303"/>
      <c r="D531" s="1304"/>
      <c r="E531" s="1275"/>
      <c r="F531" s="1289"/>
      <c r="G531" s="1275"/>
      <c r="H531" s="1541" t="s">
        <v>2393</v>
      </c>
      <c r="I531" s="3137" t="s">
        <v>121</v>
      </c>
      <c r="J531" s="1290" t="s">
        <v>1273</v>
      </c>
      <c r="K531" s="1290"/>
      <c r="L531" s="1314"/>
      <c r="M531" s="1314"/>
      <c r="N531" s="1314"/>
      <c r="O531" s="1314"/>
      <c r="P531" s="3136" t="s">
        <v>121</v>
      </c>
      <c r="Q531" s="1290" t="s">
        <v>1274</v>
      </c>
      <c r="R531" s="1314"/>
      <c r="S531" s="1314"/>
      <c r="T531" s="1314"/>
      <c r="U531" s="1314"/>
      <c r="V531" s="1314"/>
      <c r="W531" s="1314"/>
      <c r="X531" s="1315"/>
      <c r="Y531" s="1295"/>
      <c r="Z531" s="1292"/>
      <c r="AA531" s="1292"/>
      <c r="AB531" s="1293"/>
      <c r="AC531" s="1544"/>
      <c r="AD531" s="1544"/>
      <c r="AE531" s="1544"/>
      <c r="AF531" s="1544"/>
      <c r="AI531" s="3056" t="str">
        <f>"2A:" &amp; IF(AND(I531="□",P531="□",I532="□"),"tokusin_jyusho_code:0:tokusin_yakuzai_code:0:shuudan_comu_code:0",IF(I531="■","tokusin_jyusho_code:2","tokusin_jyusho_code:1")
&amp;IF(P531="■",":tokusin_yakuzai_code:2",":tokusin_yakuzai_code:1")
&amp;IF(I532="■",":shuudan_comu_code:2",":shuudan_comu_code:1"))</f>
        <v>2A:tokusin_jyusho_code:0:tokusin_yakuzai_code:0:shuudan_comu_code:0</v>
      </c>
    </row>
    <row r="532" spans="1:36" s="3056" customFormat="1" ht="18.75" hidden="1" customHeight="1">
      <c r="A532" s="3195"/>
      <c r="B532" s="3194"/>
      <c r="C532" s="1303"/>
      <c r="D532" s="1304"/>
      <c r="E532" s="1275"/>
      <c r="F532" s="1289"/>
      <c r="G532" s="1275"/>
      <c r="H532" s="1542"/>
      <c r="I532" s="3063" t="s">
        <v>121</v>
      </c>
      <c r="J532" s="1296" t="s">
        <v>2318</v>
      </c>
      <c r="K532" s="1330"/>
      <c r="L532" s="1330"/>
      <c r="M532" s="1330"/>
      <c r="N532" s="1330"/>
      <c r="O532" s="1330"/>
      <c r="P532" s="1330"/>
      <c r="Q532" s="1403"/>
      <c r="R532" s="1330"/>
      <c r="S532" s="1330"/>
      <c r="T532" s="1330"/>
      <c r="U532" s="1330"/>
      <c r="V532" s="1330"/>
      <c r="W532" s="1330"/>
      <c r="X532" s="1356"/>
      <c r="Y532" s="1295"/>
      <c r="Z532" s="1292"/>
      <c r="AA532" s="1292"/>
      <c r="AB532" s="1293"/>
      <c r="AC532" s="1544"/>
      <c r="AD532" s="1544"/>
      <c r="AE532" s="1544"/>
      <c r="AF532" s="1544"/>
    </row>
    <row r="533" spans="1:36" s="3056" customFormat="1" ht="18.75" hidden="1" customHeight="1">
      <c r="A533" s="3195"/>
      <c r="B533" s="3194"/>
      <c r="C533" s="1303"/>
      <c r="D533" s="1304"/>
      <c r="E533" s="1275"/>
      <c r="F533" s="1289"/>
      <c r="G533" s="1275"/>
      <c r="H533" s="1541" t="s">
        <v>1280</v>
      </c>
      <c r="I533" s="3137" t="s">
        <v>121</v>
      </c>
      <c r="J533" s="1290" t="s">
        <v>2317</v>
      </c>
      <c r="K533" s="1328"/>
      <c r="L533" s="1329"/>
      <c r="M533" s="3136" t="s">
        <v>121</v>
      </c>
      <c r="N533" s="1290" t="s">
        <v>2316</v>
      </c>
      <c r="O533" s="1314"/>
      <c r="P533" s="1314"/>
      <c r="Q533" s="3136" t="s">
        <v>121</v>
      </c>
      <c r="R533" s="1290" t="s">
        <v>2315</v>
      </c>
      <c r="S533" s="1314"/>
      <c r="T533" s="1314"/>
      <c r="U533" s="1314"/>
      <c r="V533" s="1314"/>
      <c r="W533" s="1314"/>
      <c r="X533" s="1315"/>
      <c r="Y533" s="1295"/>
      <c r="Z533" s="1292"/>
      <c r="AA533" s="1292"/>
      <c r="AB533" s="1293"/>
      <c r="AC533" s="1544"/>
      <c r="AD533" s="1544"/>
      <c r="AE533" s="1544"/>
      <c r="AF533" s="1544"/>
      <c r="AI533" s="3056" t="str">
        <f>"2A:"&amp;IF(AND(I533="□",M533="□",Q533="□",I534="□",Q534="□"),"koriha_rryoho1_code:0:koriha_sryoho_code:0:koriha_gengo_code:0:riha_seisin_code:0:koriha_other_code:0",IF(I533="■","koriha_rryoho1_code:2","koriha_rryoho1_code:1")
&amp;IF(M533="■",":koriha_sryoho_code:2",":koriha_sryoho_code:1")
&amp;IF(Q533="■",":koriha_gengo_code:2",":koriha_gengo_code:1")
&amp;IF(I534="■",":riha_seisin_code:2",":riha_seisin_code:1")
&amp;IF(Q534="■",":koriha_other_code:2",":koriha_other_code:1"))</f>
        <v>2A:koriha_rryoho1_code:0:koriha_sryoho_code:0:koriha_gengo_code:0:riha_seisin_code:0:koriha_other_code:0</v>
      </c>
    </row>
    <row r="534" spans="1:36" s="3056" customFormat="1" ht="18.75" hidden="1" customHeight="1">
      <c r="A534" s="3195"/>
      <c r="B534" s="3194"/>
      <c r="C534" s="1303"/>
      <c r="D534" s="1304"/>
      <c r="E534" s="1275"/>
      <c r="F534" s="1289"/>
      <c r="G534" s="1275"/>
      <c r="H534" s="1542"/>
      <c r="I534" s="3063" t="s">
        <v>121</v>
      </c>
      <c r="J534" s="1296" t="s">
        <v>2314</v>
      </c>
      <c r="K534" s="1330"/>
      <c r="L534" s="1330"/>
      <c r="M534" s="1330"/>
      <c r="N534" s="1330"/>
      <c r="O534" s="1330"/>
      <c r="P534" s="1330"/>
      <c r="Q534" s="3062" t="s">
        <v>121</v>
      </c>
      <c r="R534" s="1296" t="s">
        <v>2313</v>
      </c>
      <c r="S534" s="1403"/>
      <c r="T534" s="1330"/>
      <c r="U534" s="1330"/>
      <c r="V534" s="1330"/>
      <c r="W534" s="1330"/>
      <c r="X534" s="1356"/>
      <c r="Y534" s="1295"/>
      <c r="Z534" s="1292"/>
      <c r="AA534" s="1292"/>
      <c r="AB534" s="1293"/>
      <c r="AC534" s="1544"/>
      <c r="AD534" s="1544"/>
      <c r="AE534" s="1544"/>
      <c r="AF534" s="1544"/>
    </row>
    <row r="535" spans="1:36" s="3056" customFormat="1" ht="18.75" hidden="1" customHeight="1">
      <c r="A535" s="3195"/>
      <c r="B535" s="3194"/>
      <c r="C535" s="1303"/>
      <c r="D535" s="1304"/>
      <c r="E535" s="1275"/>
      <c r="F535" s="1289"/>
      <c r="G535" s="1275"/>
      <c r="H535" s="1313" t="s">
        <v>1265</v>
      </c>
      <c r="I535" s="3066" t="s">
        <v>121</v>
      </c>
      <c r="J535" s="1298" t="s">
        <v>1230</v>
      </c>
      <c r="K535" s="1298"/>
      <c r="L535" s="3065" t="s">
        <v>121</v>
      </c>
      <c r="M535" s="1298" t="s">
        <v>1256</v>
      </c>
      <c r="N535" s="1298"/>
      <c r="O535" s="3065" t="s">
        <v>121</v>
      </c>
      <c r="P535" s="1298" t="s">
        <v>1257</v>
      </c>
      <c r="Q535" s="1307"/>
      <c r="R535" s="1307"/>
      <c r="S535" s="1307"/>
      <c r="T535" s="1307"/>
      <c r="U535" s="1314"/>
      <c r="V535" s="1314"/>
      <c r="W535" s="1314"/>
      <c r="X535" s="1315"/>
      <c r="Y535" s="1295"/>
      <c r="Z535" s="1292"/>
      <c r="AA535" s="1292"/>
      <c r="AB535" s="1293"/>
      <c r="AC535" s="1544"/>
      <c r="AD535" s="1544"/>
      <c r="AE535" s="1544"/>
      <c r="AF535" s="1544"/>
      <c r="AI535" s="3056" t="str">
        <f>"2A:field225:" &amp; IF(I535="■",1,IF(L535="■",2,IF(O535="■",3,0)))</f>
        <v>2A:field225:0</v>
      </c>
    </row>
    <row r="536" spans="1:36" s="3056" customFormat="1" ht="18.75" hidden="1" customHeight="1">
      <c r="A536" s="3195"/>
      <c r="B536" s="3194"/>
      <c r="C536" s="1303"/>
      <c r="D536" s="1304"/>
      <c r="E536" s="1275"/>
      <c r="F536" s="1289"/>
      <c r="G536" s="1275"/>
      <c r="H536" s="1410" t="s">
        <v>1266</v>
      </c>
      <c r="I536" s="3066" t="s">
        <v>121</v>
      </c>
      <c r="J536" s="1298" t="s">
        <v>1230</v>
      </c>
      <c r="K536" s="1298"/>
      <c r="L536" s="3065" t="s">
        <v>121</v>
      </c>
      <c r="M536" s="1298" t="s">
        <v>1267</v>
      </c>
      <c r="N536" s="1298"/>
      <c r="O536" s="3065" t="s">
        <v>121</v>
      </c>
      <c r="P536" s="1298" t="s">
        <v>1268</v>
      </c>
      <c r="Q536" s="1326"/>
      <c r="R536" s="3065" t="s">
        <v>121</v>
      </c>
      <c r="S536" s="1298" t="s">
        <v>1269</v>
      </c>
      <c r="T536" s="1326"/>
      <c r="U536" s="1326"/>
      <c r="V536" s="1326"/>
      <c r="W536" s="1326"/>
      <c r="X536" s="1327"/>
      <c r="Y536" s="1295"/>
      <c r="Z536" s="1292"/>
      <c r="AA536" s="1292"/>
      <c r="AB536" s="1293"/>
      <c r="AC536" s="1544"/>
      <c r="AD536" s="1544"/>
      <c r="AE536" s="1544"/>
      <c r="AF536" s="1544"/>
      <c r="AI536" s="3056" t="str">
        <f>"2A:serteikyo_kyoka_code:" &amp; IF(I536="■",1,IF(L536="■",6,IF(O536="■",5,IF(R536="■",7,0))))</f>
        <v>2A:serteikyo_kyoka_code:0</v>
      </c>
    </row>
    <row r="537" spans="1:36" s="3056" customFormat="1" ht="18.75" hidden="1" customHeight="1">
      <c r="A537" s="3195"/>
      <c r="B537" s="3194"/>
      <c r="C537" s="1303"/>
      <c r="D537" s="1304"/>
      <c r="E537" s="1275"/>
      <c r="F537" s="1289"/>
      <c r="G537" s="1275"/>
      <c r="H537" s="1539" t="s">
        <v>2390</v>
      </c>
      <c r="I537" s="3162" t="s">
        <v>121</v>
      </c>
      <c r="J537" s="3161" t="s">
        <v>1230</v>
      </c>
      <c r="K537" s="3161"/>
      <c r="L537" s="3160" t="s">
        <v>121</v>
      </c>
      <c r="M537" s="3161" t="s">
        <v>1248</v>
      </c>
      <c r="N537" s="3161"/>
      <c r="O537" s="1290"/>
      <c r="P537" s="1290"/>
      <c r="Q537" s="1290"/>
      <c r="R537" s="1290"/>
      <c r="S537" s="1290"/>
      <c r="T537" s="1290"/>
      <c r="U537" s="1290"/>
      <c r="V537" s="1290"/>
      <c r="W537" s="1290"/>
      <c r="X537" s="1331"/>
      <c r="Y537" s="1295"/>
      <c r="Z537" s="1292"/>
      <c r="AA537" s="1292"/>
      <c r="AB537" s="1293"/>
      <c r="AC537" s="1544"/>
      <c r="AD537" s="1544"/>
      <c r="AE537" s="1544"/>
      <c r="AF537" s="1544"/>
      <c r="AI537" s="3056" t="str">
        <f>"2A:field221:" &amp; IF(I537="■",1,IF(L537="■",2,0))</f>
        <v>2A:field221:0</v>
      </c>
    </row>
    <row r="538" spans="1:36" s="3056" customFormat="1" ht="18.75" hidden="1" customHeight="1">
      <c r="A538" s="3195"/>
      <c r="B538" s="3194"/>
      <c r="C538" s="1303"/>
      <c r="D538" s="1304"/>
      <c r="E538" s="1275"/>
      <c r="F538" s="1289"/>
      <c r="G538" s="1275"/>
      <c r="H538" s="1540"/>
      <c r="I538" s="3162"/>
      <c r="J538" s="3161"/>
      <c r="K538" s="3161"/>
      <c r="L538" s="3160"/>
      <c r="M538" s="3161"/>
      <c r="N538" s="3161"/>
      <c r="O538" s="1296"/>
      <c r="P538" s="1296"/>
      <c r="Q538" s="1296"/>
      <c r="R538" s="1296"/>
      <c r="S538" s="1296"/>
      <c r="T538" s="1296"/>
      <c r="U538" s="1296"/>
      <c r="V538" s="1296"/>
      <c r="W538" s="1296"/>
      <c r="X538" s="1332"/>
      <c r="Y538" s="1295"/>
      <c r="Z538" s="1292"/>
      <c r="AA538" s="1292"/>
      <c r="AB538" s="1293"/>
      <c r="AC538" s="1544"/>
      <c r="AD538" s="1544"/>
      <c r="AE538" s="1544"/>
      <c r="AF538" s="1544"/>
    </row>
    <row r="539" spans="1:36" s="3056" customFormat="1" ht="18.75" hidden="1" customHeight="1">
      <c r="A539" s="735"/>
      <c r="B539" s="1407"/>
      <c r="C539" s="1303"/>
      <c r="D539" s="1304"/>
      <c r="E539" s="1275"/>
      <c r="F539" s="1289"/>
      <c r="G539" s="1305"/>
      <c r="H539" s="3155" t="s">
        <v>2288</v>
      </c>
      <c r="I539" s="3137" t="s">
        <v>121</v>
      </c>
      <c r="J539" s="3151" t="s">
        <v>1230</v>
      </c>
      <c r="K539" s="3151"/>
      <c r="L539" s="3136" t="s">
        <v>121</v>
      </c>
      <c r="M539" s="3151" t="s">
        <v>2287</v>
      </c>
      <c r="N539" s="3154"/>
      <c r="O539" s="3136" t="s">
        <v>121</v>
      </c>
      <c r="P539" s="3153" t="s">
        <v>2286</v>
      </c>
      <c r="Q539" s="3152"/>
      <c r="R539" s="3136" t="s">
        <v>121</v>
      </c>
      <c r="S539" s="3151" t="s">
        <v>2285</v>
      </c>
      <c r="T539" s="3152"/>
      <c r="U539" s="3136" t="s">
        <v>121</v>
      </c>
      <c r="V539" s="3151" t="s">
        <v>2284</v>
      </c>
      <c r="W539" s="3150"/>
      <c r="X539" s="3149"/>
      <c r="Y539" s="1292"/>
      <c r="Z539" s="1292"/>
      <c r="AA539" s="1292"/>
      <c r="AB539" s="1293"/>
      <c r="AC539" s="1544"/>
      <c r="AD539" s="1544"/>
      <c r="AE539" s="1544"/>
      <c r="AF539" s="1544"/>
      <c r="AI539" s="3056" t="str">
        <f>"2A:shoguukaizen_code:"&amp;IF(I539="■",1,IF(L539="■",7,IF(O539="■",8,IF(R539="■",9,IF(U539="■","A",0)))))</f>
        <v>2A:shoguukaizen_code:0</v>
      </c>
    </row>
    <row r="540" spans="1:36" s="3056" customFormat="1" ht="18.75" hidden="1" customHeight="1">
      <c r="A540" s="3197"/>
      <c r="B540" s="3196"/>
      <c r="C540" s="1333"/>
      <c r="D540" s="1335"/>
      <c r="E540" s="1272"/>
      <c r="F540" s="1279"/>
      <c r="G540" s="1272"/>
      <c r="H540" s="1545" t="s">
        <v>1226</v>
      </c>
      <c r="I540" s="3119" t="s">
        <v>121</v>
      </c>
      <c r="J540" s="1270" t="s">
        <v>1227</v>
      </c>
      <c r="K540" s="3139"/>
      <c r="L540" s="1337"/>
      <c r="M540" s="3138" t="s">
        <v>121</v>
      </c>
      <c r="N540" s="1270" t="s">
        <v>2306</v>
      </c>
      <c r="O540" s="1334"/>
      <c r="P540" s="1334"/>
      <c r="Q540" s="3138" t="s">
        <v>121</v>
      </c>
      <c r="R540" s="1270" t="s">
        <v>2305</v>
      </c>
      <c r="S540" s="1334"/>
      <c r="T540" s="1334"/>
      <c r="U540" s="3138" t="s">
        <v>121</v>
      </c>
      <c r="V540" s="1270" t="s">
        <v>2304</v>
      </c>
      <c r="W540" s="1334"/>
      <c r="X540" s="1336"/>
      <c r="Y540" s="3138" t="s">
        <v>121</v>
      </c>
      <c r="Z540" s="1270" t="s">
        <v>1229</v>
      </c>
      <c r="AA540" s="1270"/>
      <c r="AB540" s="1286"/>
      <c r="AC540" s="1543"/>
      <c r="AD540" s="1543"/>
      <c r="AE540" s="1543"/>
      <c r="AF540" s="1543"/>
      <c r="AG540" s="3056" t="str">
        <f>"ser_code = '" &amp; IF(A550="■","2A","") &amp; "'"</f>
        <v>ser_code = ''</v>
      </c>
      <c r="AH540" s="3056" t="str">
        <f>"2A:jininkbn_code:"&amp;IF(F550="■",1,IF(F551="■",2,0))</f>
        <v>2A:jininkbn_code:0</v>
      </c>
      <c r="AI540" s="3056" t="str">
        <f>"2A:yakan_kinmu_code:" &amp; IF(I540="■",1,IF(M540="■",2,IF(Q540="■",3,IF(U540="■",7,IF(I541="■",5,IF(M541="■",6,0))))))</f>
        <v>2A:yakan_kinmu_code:0</v>
      </c>
      <c r="AJ540" s="3056" t="str">
        <f>"2A:field203:" &amp; IF(Y540="■",1,IF(Y541="■",2,0))</f>
        <v>2A:field203:0</v>
      </c>
    </row>
    <row r="541" spans="1:36" s="3056" customFormat="1" ht="18.75" hidden="1" customHeight="1">
      <c r="A541" s="3195"/>
      <c r="B541" s="3194"/>
      <c r="C541" s="1303"/>
      <c r="D541" s="1304"/>
      <c r="E541" s="1275"/>
      <c r="F541" s="1289"/>
      <c r="G541" s="1275"/>
      <c r="H541" s="1542"/>
      <c r="I541" s="3063" t="s">
        <v>121</v>
      </c>
      <c r="J541" s="1296" t="s">
        <v>2303</v>
      </c>
      <c r="K541" s="1309"/>
      <c r="L541" s="1355"/>
      <c r="M541" s="3062" t="s">
        <v>121</v>
      </c>
      <c r="N541" s="1296" t="s">
        <v>1228</v>
      </c>
      <c r="O541" s="1403"/>
      <c r="P541" s="1403"/>
      <c r="Q541" s="1403"/>
      <c r="R541" s="1403"/>
      <c r="S541" s="1403"/>
      <c r="T541" s="1403"/>
      <c r="U541" s="1403"/>
      <c r="V541" s="1403"/>
      <c r="W541" s="1403"/>
      <c r="X541" s="1297"/>
      <c r="Y541" s="3122" t="s">
        <v>121</v>
      </c>
      <c r="Z541" s="1273" t="s">
        <v>1234</v>
      </c>
      <c r="AA541" s="1292"/>
      <c r="AB541" s="1293"/>
      <c r="AC541" s="1562"/>
      <c r="AD541" s="1562"/>
      <c r="AE541" s="1562"/>
      <c r="AF541" s="1562"/>
      <c r="AG541" s="3056" t="str">
        <f>"2A:sisetukbn_code:"&amp;IF(D550="■","6",0)</f>
        <v>2A:sisetukbn_code:0</v>
      </c>
    </row>
    <row r="542" spans="1:36" s="3056" customFormat="1" ht="18.75" hidden="1" customHeight="1">
      <c r="A542" s="3195"/>
      <c r="B542" s="3194"/>
      <c r="C542" s="1303"/>
      <c r="D542" s="1304"/>
      <c r="E542" s="1275"/>
      <c r="F542" s="1289"/>
      <c r="G542" s="1275"/>
      <c r="H542" s="1541" t="s">
        <v>90</v>
      </c>
      <c r="I542" s="3137" t="s">
        <v>121</v>
      </c>
      <c r="J542" s="1290" t="s">
        <v>1230</v>
      </c>
      <c r="K542" s="1290"/>
      <c r="L542" s="1329"/>
      <c r="M542" s="3136" t="s">
        <v>121</v>
      </c>
      <c r="N542" s="1290" t="s">
        <v>1231</v>
      </c>
      <c r="O542" s="1290"/>
      <c r="P542" s="1329"/>
      <c r="Q542" s="3136" t="s">
        <v>121</v>
      </c>
      <c r="R542" s="1402" t="s">
        <v>2302</v>
      </c>
      <c r="S542" s="1402"/>
      <c r="T542" s="1402"/>
      <c r="U542" s="1314"/>
      <c r="V542" s="1329"/>
      <c r="W542" s="1402"/>
      <c r="X542" s="1315"/>
      <c r="Y542" s="1295"/>
      <c r="Z542" s="1292"/>
      <c r="AA542" s="1292"/>
      <c r="AB542" s="1293"/>
      <c r="AC542" s="1544"/>
      <c r="AD542" s="1544"/>
      <c r="AE542" s="1544"/>
      <c r="AF542" s="1544"/>
      <c r="AI542" s="3056" t="str">
        <f>"2A:"&amp;IF(AND(I542="□",M542="□",Q542="□",I543="□",M543="□"),"ketu_doctor_code:0",IF(I542="■","ketu_doctor_code:1:field197:1:ketu_kangos_code:1:ketu_kshoku_code:1",IF(M542="■","ketu_doctor_code:2","ketu_doctor_code:1")
&amp;IF(Q542="■",":field197:2",":field197:1")
&amp;IF(I543="■",":ketu_kangos_code:2",":ketu_kangos_code:1")
&amp;IF(M543="■",":ketu_kshoku_code:2",":ketu_kshoku_code:1")))</f>
        <v>2A:ketu_doctor_code:0</v>
      </c>
    </row>
    <row r="543" spans="1:36" s="3056" customFormat="1" ht="18.75" hidden="1" customHeight="1">
      <c r="A543" s="3195"/>
      <c r="B543" s="3194"/>
      <c r="C543" s="1303"/>
      <c r="D543" s="1304"/>
      <c r="E543" s="1275"/>
      <c r="F543" s="1289"/>
      <c r="G543" s="1275"/>
      <c r="H543" s="1542"/>
      <c r="I543" s="3063" t="s">
        <v>121</v>
      </c>
      <c r="J543" s="1403" t="s">
        <v>2301</v>
      </c>
      <c r="K543" s="1403"/>
      <c r="L543" s="1403"/>
      <c r="M543" s="3062" t="s">
        <v>121</v>
      </c>
      <c r="N543" s="1403" t="s">
        <v>2300</v>
      </c>
      <c r="O543" s="1355"/>
      <c r="P543" s="1403"/>
      <c r="Q543" s="1403"/>
      <c r="R543" s="1355"/>
      <c r="S543" s="1403"/>
      <c r="T543" s="1403"/>
      <c r="U543" s="1330"/>
      <c r="V543" s="1355"/>
      <c r="W543" s="1403"/>
      <c r="X543" s="1356"/>
      <c r="Y543" s="1295"/>
      <c r="Z543" s="1292"/>
      <c r="AA543" s="1292"/>
      <c r="AB543" s="1293"/>
      <c r="AC543" s="1544"/>
      <c r="AD543" s="1544"/>
      <c r="AE543" s="1544"/>
      <c r="AF543" s="1544"/>
    </row>
    <row r="544" spans="1:36" s="3056" customFormat="1" ht="18.75" hidden="1" customHeight="1">
      <c r="A544" s="3195"/>
      <c r="B544" s="3194"/>
      <c r="C544" s="1303"/>
      <c r="D544" s="1304"/>
      <c r="E544" s="1275"/>
      <c r="F544" s="1289"/>
      <c r="G544" s="1275"/>
      <c r="H544" s="1409" t="s">
        <v>91</v>
      </c>
      <c r="I544" s="3066" t="s">
        <v>121</v>
      </c>
      <c r="J544" s="1298" t="s">
        <v>1239</v>
      </c>
      <c r="K544" s="1299"/>
      <c r="L544" s="1300"/>
      <c r="M544" s="3065" t="s">
        <v>121</v>
      </c>
      <c r="N544" s="1298" t="s">
        <v>1240</v>
      </c>
      <c r="O544" s="1307"/>
      <c r="P544" s="1307"/>
      <c r="Q544" s="1307"/>
      <c r="R544" s="1307"/>
      <c r="S544" s="1307"/>
      <c r="T544" s="1307"/>
      <c r="U544" s="1307"/>
      <c r="V544" s="1307"/>
      <c r="W544" s="1307"/>
      <c r="X544" s="1308"/>
      <c r="Y544" s="1295"/>
      <c r="Z544" s="1292"/>
      <c r="AA544" s="1292"/>
      <c r="AB544" s="1293"/>
      <c r="AC544" s="1544"/>
      <c r="AD544" s="1544"/>
      <c r="AE544" s="1544"/>
      <c r="AF544" s="1544"/>
      <c r="AI544" s="3056" t="str">
        <f>"2A:unitcare_code:" &amp; IF(I544="■",1,IF(M544="■",2,0))</f>
        <v>2A:unitcare_code:0</v>
      </c>
    </row>
    <row r="545" spans="1:35" s="3056" customFormat="1" ht="18.75" hidden="1" customHeight="1">
      <c r="A545" s="735"/>
      <c r="B545" s="1407"/>
      <c r="C545" s="1287"/>
      <c r="D545" s="1288"/>
      <c r="E545" s="1275"/>
      <c r="F545" s="1289"/>
      <c r="G545" s="1305"/>
      <c r="H545" s="3193" t="s">
        <v>1241</v>
      </c>
      <c r="I545" s="3096" t="s">
        <v>121</v>
      </c>
      <c r="J545" s="3091" t="s">
        <v>1242</v>
      </c>
      <c r="K545" s="3095"/>
      <c r="L545" s="3094"/>
      <c r="M545" s="3093" t="s">
        <v>121</v>
      </c>
      <c r="N545" s="3091" t="s">
        <v>1243</v>
      </c>
      <c r="O545" s="3095"/>
      <c r="P545" s="3192"/>
      <c r="Q545" s="3192"/>
      <c r="R545" s="3192"/>
      <c r="S545" s="3192"/>
      <c r="T545" s="3192"/>
      <c r="U545" s="3192"/>
      <c r="V545" s="3192"/>
      <c r="W545" s="3192"/>
      <c r="X545" s="3191"/>
      <c r="Y545" s="1295"/>
      <c r="Z545" s="1292"/>
      <c r="AA545" s="1292"/>
      <c r="AB545" s="1293"/>
      <c r="AC545" s="1544"/>
      <c r="AD545" s="1544"/>
      <c r="AE545" s="1544"/>
      <c r="AF545" s="1544"/>
      <c r="AI545" s="3056" t="str">
        <f>"2A:sintaikousoku_code:" &amp; IF(I545="■",1,IF(M545="■",2,0))</f>
        <v>2A:sintaikousoku_code:0</v>
      </c>
    </row>
    <row r="546" spans="1:35" s="3056" customFormat="1" ht="19.5" hidden="1" customHeight="1">
      <c r="A546" s="735"/>
      <c r="B546" s="1407"/>
      <c r="C546" s="1303"/>
      <c r="D546" s="1304"/>
      <c r="E546" s="1275"/>
      <c r="F546" s="1289"/>
      <c r="G546" s="1305"/>
      <c r="H546" s="1306" t="s">
        <v>1244</v>
      </c>
      <c r="I546" s="3066" t="s">
        <v>121</v>
      </c>
      <c r="J546" s="1298" t="s">
        <v>1242</v>
      </c>
      <c r="K546" s="1299"/>
      <c r="L546" s="1300"/>
      <c r="M546" s="3065" t="s">
        <v>121</v>
      </c>
      <c r="N546" s="1298" t="s">
        <v>1245</v>
      </c>
      <c r="O546" s="1301"/>
      <c r="P546" s="1298"/>
      <c r="Q546" s="1307"/>
      <c r="R546" s="1307"/>
      <c r="S546" s="1307"/>
      <c r="T546" s="1307"/>
      <c r="U546" s="1307"/>
      <c r="V546" s="1307"/>
      <c r="W546" s="1307"/>
      <c r="X546" s="1308"/>
      <c r="Y546" s="1292"/>
      <c r="Z546" s="1292"/>
      <c r="AA546" s="1292"/>
      <c r="AB546" s="1293"/>
      <c r="AC546" s="1544"/>
      <c r="AD546" s="1544"/>
      <c r="AE546" s="1544"/>
      <c r="AF546" s="1544"/>
      <c r="AI546" s="3056" t="str">
        <f>"2A:field223:" &amp; IF(I546="■",1,IF(M546="■",2,0))</f>
        <v>2A:field223:0</v>
      </c>
    </row>
    <row r="547" spans="1:35" s="3056" customFormat="1" ht="19.5" hidden="1" customHeight="1">
      <c r="A547" s="735"/>
      <c r="B547" s="1407"/>
      <c r="C547" s="1303"/>
      <c r="D547" s="1304"/>
      <c r="E547" s="1275"/>
      <c r="F547" s="1289"/>
      <c r="G547" s="1305"/>
      <c r="H547" s="1306" t="s">
        <v>1246</v>
      </c>
      <c r="I547" s="3066" t="s">
        <v>121</v>
      </c>
      <c r="J547" s="1298" t="s">
        <v>1242</v>
      </c>
      <c r="K547" s="1299"/>
      <c r="L547" s="1300"/>
      <c r="M547" s="3065" t="s">
        <v>121</v>
      </c>
      <c r="N547" s="1298" t="s">
        <v>1245</v>
      </c>
      <c r="O547" s="1301"/>
      <c r="P547" s="1298"/>
      <c r="Q547" s="1307"/>
      <c r="R547" s="1307"/>
      <c r="S547" s="1307"/>
      <c r="T547" s="1307"/>
      <c r="U547" s="1307"/>
      <c r="V547" s="1307"/>
      <c r="W547" s="1307"/>
      <c r="X547" s="1308"/>
      <c r="Y547" s="1292"/>
      <c r="Z547" s="1292"/>
      <c r="AA547" s="1292"/>
      <c r="AB547" s="1293"/>
      <c r="AC547" s="1544"/>
      <c r="AD547" s="1544"/>
      <c r="AE547" s="1544"/>
      <c r="AF547" s="1544"/>
      <c r="AI547" s="3056" t="str">
        <f>"2A:field232:" &amp; IF(I547="■",1,IF(M547="■",2,0))</f>
        <v>2A:field232:0</v>
      </c>
    </row>
    <row r="548" spans="1:35" s="3056" customFormat="1" ht="18.75" hidden="1" customHeight="1">
      <c r="A548" s="3195"/>
      <c r="B548" s="3194"/>
      <c r="C548" s="1303"/>
      <c r="D548" s="1304"/>
      <c r="E548" s="1275"/>
      <c r="F548" s="1289"/>
      <c r="G548" s="1275"/>
      <c r="H548" s="1409" t="s">
        <v>2295</v>
      </c>
      <c r="I548" s="3066" t="s">
        <v>121</v>
      </c>
      <c r="J548" s="1298" t="s">
        <v>1227</v>
      </c>
      <c r="K548" s="1299"/>
      <c r="L548" s="1300"/>
      <c r="M548" s="3065" t="s">
        <v>121</v>
      </c>
      <c r="N548" s="1298" t="s">
        <v>2291</v>
      </c>
      <c r="O548" s="1307"/>
      <c r="P548" s="1307"/>
      <c r="Q548" s="1307"/>
      <c r="R548" s="1307"/>
      <c r="S548" s="1307"/>
      <c r="T548" s="1307"/>
      <c r="U548" s="1307"/>
      <c r="V548" s="1307"/>
      <c r="W548" s="1307"/>
      <c r="X548" s="1308"/>
      <c r="Y548" s="1295"/>
      <c r="Z548" s="1292"/>
      <c r="AA548" s="1292"/>
      <c r="AB548" s="1293"/>
      <c r="AC548" s="1544"/>
      <c r="AD548" s="1544"/>
      <c r="AE548" s="1544"/>
      <c r="AF548" s="1544"/>
      <c r="AI548" s="3056" t="str">
        <f>"2A:field190:" &amp; IF(I548="■",1,IF(M548="■",2,0))</f>
        <v>2A:field190:0</v>
      </c>
    </row>
    <row r="549" spans="1:35" s="3056" customFormat="1" ht="18.75" hidden="1" customHeight="1">
      <c r="A549" s="3195"/>
      <c r="B549" s="3194"/>
      <c r="C549" s="1303"/>
      <c r="D549" s="1304"/>
      <c r="E549" s="1275"/>
      <c r="F549" s="1289"/>
      <c r="G549" s="1275"/>
      <c r="H549" s="1409" t="s">
        <v>2293</v>
      </c>
      <c r="I549" s="3066" t="s">
        <v>121</v>
      </c>
      <c r="J549" s="1298" t="s">
        <v>1227</v>
      </c>
      <c r="K549" s="1299"/>
      <c r="L549" s="1300"/>
      <c r="M549" s="3065" t="s">
        <v>121</v>
      </c>
      <c r="N549" s="1298" t="s">
        <v>2291</v>
      </c>
      <c r="O549" s="1307"/>
      <c r="P549" s="1307"/>
      <c r="Q549" s="1307"/>
      <c r="R549" s="1307"/>
      <c r="S549" s="1307"/>
      <c r="T549" s="1307"/>
      <c r="U549" s="1307"/>
      <c r="V549" s="1307"/>
      <c r="W549" s="1307"/>
      <c r="X549" s="1308"/>
      <c r="Y549" s="1295"/>
      <c r="Z549" s="1292"/>
      <c r="AA549" s="1292"/>
      <c r="AB549" s="1293"/>
      <c r="AC549" s="1544"/>
      <c r="AD549" s="1544"/>
      <c r="AE549" s="1544"/>
      <c r="AF549" s="1544"/>
      <c r="AI549" s="3056" t="str">
        <f>"2A:field191:" &amp; IF(I549="■",1,IF(M549="■",2,0))</f>
        <v>2A:field191:0</v>
      </c>
    </row>
    <row r="550" spans="1:35" s="3056" customFormat="1" ht="18.75" hidden="1" customHeight="1">
      <c r="A550" s="3069" t="s">
        <v>121</v>
      </c>
      <c r="B550" s="3194" t="s">
        <v>2392</v>
      </c>
      <c r="C550" s="1303" t="s">
        <v>1321</v>
      </c>
      <c r="D550" s="3122" t="s">
        <v>121</v>
      </c>
      <c r="E550" s="1275" t="s">
        <v>2391</v>
      </c>
      <c r="F550" s="3122" t="s">
        <v>121</v>
      </c>
      <c r="G550" s="1275" t="s">
        <v>2296</v>
      </c>
      <c r="H550" s="1409" t="s">
        <v>1305</v>
      </c>
      <c r="I550" s="3066" t="s">
        <v>121</v>
      </c>
      <c r="J550" s="1298" t="s">
        <v>1230</v>
      </c>
      <c r="K550" s="1299"/>
      <c r="L550" s="3065" t="s">
        <v>121</v>
      </c>
      <c r="M550" s="1298" t="s">
        <v>1248</v>
      </c>
      <c r="N550" s="1307"/>
      <c r="O550" s="1307"/>
      <c r="P550" s="1307"/>
      <c r="Q550" s="1307"/>
      <c r="R550" s="1307"/>
      <c r="S550" s="1307"/>
      <c r="T550" s="1307"/>
      <c r="U550" s="1307"/>
      <c r="V550" s="1307"/>
      <c r="W550" s="1307"/>
      <c r="X550" s="1308"/>
      <c r="Y550" s="1295"/>
      <c r="Z550" s="1292"/>
      <c r="AA550" s="1292"/>
      <c r="AB550" s="1293"/>
      <c r="AC550" s="1544"/>
      <c r="AD550" s="1544"/>
      <c r="AE550" s="1544"/>
      <c r="AF550" s="1544"/>
      <c r="AI550" s="3056" t="str">
        <f>"2A:jyakuninti_uke_code:" &amp; IF(I550="■",1,IF(L550="■",2,0))</f>
        <v>2A:jyakuninti_uke_code:0</v>
      </c>
    </row>
    <row r="551" spans="1:35" s="3056" customFormat="1" ht="18.75" hidden="1" customHeight="1">
      <c r="A551" s="3195"/>
      <c r="B551" s="3194"/>
      <c r="C551" s="1303"/>
      <c r="D551" s="1304"/>
      <c r="E551" s="1275"/>
      <c r="F551" s="3122" t="s">
        <v>121</v>
      </c>
      <c r="G551" s="1275" t="s">
        <v>2294</v>
      </c>
      <c r="H551" s="1409" t="s">
        <v>1324</v>
      </c>
      <c r="I551" s="3066" t="s">
        <v>121</v>
      </c>
      <c r="J551" s="1298" t="s">
        <v>1239</v>
      </c>
      <c r="K551" s="1299"/>
      <c r="L551" s="1300"/>
      <c r="M551" s="3065" t="s">
        <v>121</v>
      </c>
      <c r="N551" s="1298" t="s">
        <v>1240</v>
      </c>
      <c r="O551" s="1307"/>
      <c r="P551" s="1307"/>
      <c r="Q551" s="1307"/>
      <c r="R551" s="1307"/>
      <c r="S551" s="1307"/>
      <c r="T551" s="1307"/>
      <c r="U551" s="1307"/>
      <c r="V551" s="1307"/>
      <c r="W551" s="1307"/>
      <c r="X551" s="1308"/>
      <c r="Y551" s="1295"/>
      <c r="Z551" s="1292"/>
      <c r="AA551" s="1292"/>
      <c r="AB551" s="1293"/>
      <c r="AC551" s="1544"/>
      <c r="AD551" s="1544"/>
      <c r="AE551" s="1544"/>
      <c r="AF551" s="1544"/>
      <c r="AI551" s="3056" t="str">
        <f>"2A:sougei_code:" &amp; IF(I551="■",1,IF(M551="■",2,0))</f>
        <v>2A:sougei_code:0</v>
      </c>
    </row>
    <row r="552" spans="1:35" s="3056" customFormat="1" ht="19.5" hidden="1" customHeight="1">
      <c r="A552" s="3195"/>
      <c r="B552" s="3194"/>
      <c r="C552" s="1303"/>
      <c r="D552" s="1304"/>
      <c r="E552" s="1275"/>
      <c r="F552" s="1304"/>
      <c r="G552" s="1275"/>
      <c r="H552" s="1306" t="s">
        <v>1325</v>
      </c>
      <c r="I552" s="3066" t="s">
        <v>121</v>
      </c>
      <c r="J552" s="1298" t="s">
        <v>1230</v>
      </c>
      <c r="K552" s="1298"/>
      <c r="L552" s="3065" t="s">
        <v>121</v>
      </c>
      <c r="M552" s="1298" t="s">
        <v>1248</v>
      </c>
      <c r="N552" s="1298"/>
      <c r="O552" s="1307"/>
      <c r="P552" s="1298"/>
      <c r="Q552" s="1307"/>
      <c r="R552" s="1307"/>
      <c r="S552" s="1307"/>
      <c r="T552" s="1307"/>
      <c r="U552" s="1307"/>
      <c r="V552" s="1307"/>
      <c r="W552" s="1307"/>
      <c r="X552" s="1308"/>
      <c r="Y552" s="1292"/>
      <c r="Z552" s="1292"/>
      <c r="AA552" s="1292"/>
      <c r="AB552" s="1293"/>
      <c r="AC552" s="1544"/>
      <c r="AD552" s="1544"/>
      <c r="AE552" s="1544"/>
      <c r="AF552" s="1544"/>
      <c r="AI552" s="3056" t="str">
        <f>"2A:field224:" &amp; IF(I552="■",1,IF(L552="■",2,0))</f>
        <v>2A:field224:0</v>
      </c>
    </row>
    <row r="553" spans="1:35" s="3056" customFormat="1" ht="18.75" hidden="1" customHeight="1">
      <c r="A553" s="3195"/>
      <c r="B553" s="3194"/>
      <c r="C553" s="1303"/>
      <c r="D553" s="1304"/>
      <c r="E553" s="1275"/>
      <c r="F553" s="1304"/>
      <c r="G553" s="1275"/>
      <c r="H553" s="1409" t="s">
        <v>145</v>
      </c>
      <c r="I553" s="3066" t="s">
        <v>121</v>
      </c>
      <c r="J553" s="1298" t="s">
        <v>1230</v>
      </c>
      <c r="K553" s="1299"/>
      <c r="L553" s="3065" t="s">
        <v>121</v>
      </c>
      <c r="M553" s="1298" t="s">
        <v>1248</v>
      </c>
      <c r="N553" s="1307"/>
      <c r="O553" s="1307"/>
      <c r="P553" s="1307"/>
      <c r="Q553" s="1307"/>
      <c r="R553" s="1307"/>
      <c r="S553" s="1307"/>
      <c r="T553" s="1307"/>
      <c r="U553" s="1307"/>
      <c r="V553" s="1307"/>
      <c r="W553" s="1307"/>
      <c r="X553" s="1308"/>
      <c r="Y553" s="1295"/>
      <c r="Z553" s="1292"/>
      <c r="AA553" s="1292"/>
      <c r="AB553" s="1293"/>
      <c r="AC553" s="1544"/>
      <c r="AD553" s="1544"/>
      <c r="AE553" s="1544"/>
      <c r="AF553" s="1544"/>
      <c r="AI553" s="3056" t="str">
        <f>"2A:ryouyoushoku_code:" &amp; IF(I553="■",1,IF(L553="■",2,0))</f>
        <v>2A:ryouyoushoku_code:0</v>
      </c>
    </row>
    <row r="554" spans="1:35" s="3056" customFormat="1" ht="18.75" hidden="1" customHeight="1">
      <c r="A554" s="3195"/>
      <c r="B554" s="3194"/>
      <c r="C554" s="1303"/>
      <c r="D554" s="1304"/>
      <c r="E554" s="1275"/>
      <c r="F554" s="1304"/>
      <c r="G554" s="1275"/>
      <c r="H554" s="1409" t="s">
        <v>1260</v>
      </c>
      <c r="I554" s="3066" t="s">
        <v>121</v>
      </c>
      <c r="J554" s="1298" t="s">
        <v>1230</v>
      </c>
      <c r="K554" s="1298"/>
      <c r="L554" s="3065" t="s">
        <v>121</v>
      </c>
      <c r="M554" s="1298" t="s">
        <v>1256</v>
      </c>
      <c r="N554" s="1298"/>
      <c r="O554" s="3065" t="s">
        <v>121</v>
      </c>
      <c r="P554" s="1298" t="s">
        <v>1257</v>
      </c>
      <c r="Q554" s="1307"/>
      <c r="R554" s="1307"/>
      <c r="S554" s="1307"/>
      <c r="T554" s="1307"/>
      <c r="U554" s="1307"/>
      <c r="V554" s="1307"/>
      <c r="W554" s="1307"/>
      <c r="X554" s="1308"/>
      <c r="Y554" s="1295"/>
      <c r="Z554" s="1292"/>
      <c r="AA554" s="1292"/>
      <c r="AB554" s="1293"/>
      <c r="AC554" s="1544"/>
      <c r="AD554" s="1544"/>
      <c r="AE554" s="1544"/>
      <c r="AF554" s="1544"/>
      <c r="AI554" s="3056" t="str">
        <f>"2A:ninti_senmoncare_code:" &amp; IF(I554="■",1,IF(O554="■",3,IF(L554="■",2,0)))</f>
        <v>2A:ninti_senmoncare_code:0</v>
      </c>
    </row>
    <row r="555" spans="1:35" s="3056" customFormat="1" ht="18.75" hidden="1" customHeight="1">
      <c r="A555" s="3195"/>
      <c r="B555" s="3194"/>
      <c r="C555" s="1303"/>
      <c r="D555" s="1304"/>
      <c r="E555" s="1275"/>
      <c r="F555" s="1289"/>
      <c r="G555" s="1275"/>
      <c r="H555" s="1409" t="s">
        <v>2289</v>
      </c>
      <c r="I555" s="3066" t="s">
        <v>121</v>
      </c>
      <c r="J555" s="1298" t="s">
        <v>1230</v>
      </c>
      <c r="K555" s="1298"/>
      <c r="L555" s="3065" t="s">
        <v>121</v>
      </c>
      <c r="M555" s="1298" t="s">
        <v>1256</v>
      </c>
      <c r="N555" s="1298"/>
      <c r="O555" s="3065" t="s">
        <v>121</v>
      </c>
      <c r="P555" s="1298" t="s">
        <v>1257</v>
      </c>
      <c r="Q555" s="1307"/>
      <c r="R555" s="1307"/>
      <c r="S555" s="1307"/>
      <c r="T555" s="1307"/>
      <c r="U555" s="1307"/>
      <c r="V555" s="1307"/>
      <c r="W555" s="1307"/>
      <c r="X555" s="1308"/>
      <c r="Y555" s="1295"/>
      <c r="Z555" s="1292"/>
      <c r="AA555" s="1292"/>
      <c r="AB555" s="1293"/>
      <c r="AC555" s="1544"/>
      <c r="AD555" s="1544"/>
      <c r="AE555" s="1544"/>
      <c r="AF555" s="1544"/>
      <c r="AI555" s="3056" t="str">
        <f>"2A:field164:" &amp; IF(I555="■",1,IF(L555="■",2,IF(O555="■",3,0)))</f>
        <v>2A:field164:0</v>
      </c>
    </row>
    <row r="556" spans="1:35" s="3056" customFormat="1" ht="18.75" hidden="1" customHeight="1">
      <c r="A556" s="3195"/>
      <c r="B556" s="3194"/>
      <c r="C556" s="1303"/>
      <c r="D556" s="1304"/>
      <c r="E556" s="1275"/>
      <c r="F556" s="1289"/>
      <c r="G556" s="1275"/>
      <c r="H556" s="1313" t="s">
        <v>1265</v>
      </c>
      <c r="I556" s="3066" t="s">
        <v>121</v>
      </c>
      <c r="J556" s="1298" t="s">
        <v>1230</v>
      </c>
      <c r="K556" s="1298"/>
      <c r="L556" s="3065" t="s">
        <v>121</v>
      </c>
      <c r="M556" s="1298" t="s">
        <v>1256</v>
      </c>
      <c r="N556" s="1298"/>
      <c r="O556" s="3065" t="s">
        <v>121</v>
      </c>
      <c r="P556" s="1298" t="s">
        <v>1257</v>
      </c>
      <c r="Q556" s="1307"/>
      <c r="R556" s="1307"/>
      <c r="S556" s="1307"/>
      <c r="T556" s="1307"/>
      <c r="U556" s="1314"/>
      <c r="V556" s="1314"/>
      <c r="W556" s="1314"/>
      <c r="X556" s="1315"/>
      <c r="Y556" s="1295"/>
      <c r="Z556" s="1292"/>
      <c r="AA556" s="1292"/>
      <c r="AB556" s="1293"/>
      <c r="AC556" s="1544"/>
      <c r="AD556" s="1544"/>
      <c r="AE556" s="1544"/>
      <c r="AF556" s="1544"/>
      <c r="AI556" s="3056" t="str">
        <f>"2A:field225:" &amp; IF(I556="■",1,IF(L556="■",2,IF(O556="■",3,0)))</f>
        <v>2A:field225:0</v>
      </c>
    </row>
    <row r="557" spans="1:35" s="3056" customFormat="1" ht="18.75" hidden="1" customHeight="1">
      <c r="A557" s="3195"/>
      <c r="B557" s="3194"/>
      <c r="C557" s="1303"/>
      <c r="D557" s="1304"/>
      <c r="E557" s="1275"/>
      <c r="F557" s="1289"/>
      <c r="G557" s="1275"/>
      <c r="H557" s="1410" t="s">
        <v>1266</v>
      </c>
      <c r="I557" s="3066" t="s">
        <v>121</v>
      </c>
      <c r="J557" s="1298" t="s">
        <v>1230</v>
      </c>
      <c r="K557" s="1298"/>
      <c r="L557" s="3065" t="s">
        <v>121</v>
      </c>
      <c r="M557" s="1298" t="s">
        <v>1267</v>
      </c>
      <c r="N557" s="1298"/>
      <c r="O557" s="3065" t="s">
        <v>121</v>
      </c>
      <c r="P557" s="1298" t="s">
        <v>1268</v>
      </c>
      <c r="Q557" s="1326"/>
      <c r="R557" s="3065" t="s">
        <v>121</v>
      </c>
      <c r="S557" s="1298" t="s">
        <v>1269</v>
      </c>
      <c r="T557" s="1326"/>
      <c r="U557" s="1326"/>
      <c r="V557" s="1326"/>
      <c r="W557" s="1326"/>
      <c r="X557" s="1327"/>
      <c r="Y557" s="1295"/>
      <c r="Z557" s="1292"/>
      <c r="AA557" s="1292"/>
      <c r="AB557" s="1293"/>
      <c r="AC557" s="1544"/>
      <c r="AD557" s="1544"/>
      <c r="AE557" s="1544"/>
      <c r="AF557" s="1544"/>
      <c r="AI557" s="3056" t="str">
        <f>"2A:serteikyo_kyoka_code:" &amp; IF(I557="■",1,IF(L557="■",6,IF(O557="■",5,IF(R557="■",7,0))))</f>
        <v>2A:serteikyo_kyoka_code:0</v>
      </c>
    </row>
    <row r="558" spans="1:35" s="3056" customFormat="1" ht="18.75" hidden="1" customHeight="1">
      <c r="A558" s="3195"/>
      <c r="B558" s="3194"/>
      <c r="C558" s="1303"/>
      <c r="D558" s="1304"/>
      <c r="E558" s="1275"/>
      <c r="F558" s="1289"/>
      <c r="G558" s="1275"/>
      <c r="H558" s="1539" t="s">
        <v>2390</v>
      </c>
      <c r="I558" s="3162" t="s">
        <v>121</v>
      </c>
      <c r="J558" s="3161" t="s">
        <v>1230</v>
      </c>
      <c r="K558" s="3161"/>
      <c r="L558" s="3160" t="s">
        <v>121</v>
      </c>
      <c r="M558" s="3161" t="s">
        <v>1248</v>
      </c>
      <c r="N558" s="3161"/>
      <c r="O558" s="1290"/>
      <c r="P558" s="1290"/>
      <c r="Q558" s="1290"/>
      <c r="R558" s="1290"/>
      <c r="S558" s="1290"/>
      <c r="T558" s="1290"/>
      <c r="U558" s="1290"/>
      <c r="V558" s="1290"/>
      <c r="W558" s="1290"/>
      <c r="X558" s="1331"/>
      <c r="Y558" s="1295"/>
      <c r="Z558" s="1292"/>
      <c r="AA558" s="1292"/>
      <c r="AB558" s="1293"/>
      <c r="AC558" s="1544"/>
      <c r="AD558" s="1544"/>
      <c r="AE558" s="1544"/>
      <c r="AF558" s="1544"/>
      <c r="AI558" s="3056" t="str">
        <f>"2A:field221:" &amp; IF(I558="■",1,IF(L558="■",2,0))</f>
        <v>2A:field221:0</v>
      </c>
    </row>
    <row r="559" spans="1:35" s="3056" customFormat="1" ht="18.75" hidden="1" customHeight="1">
      <c r="A559" s="3195"/>
      <c r="B559" s="3194"/>
      <c r="C559" s="1303"/>
      <c r="D559" s="1304"/>
      <c r="E559" s="1275"/>
      <c r="F559" s="1289"/>
      <c r="G559" s="1275"/>
      <c r="H559" s="1540"/>
      <c r="I559" s="3162"/>
      <c r="J559" s="3161"/>
      <c r="K559" s="3161"/>
      <c r="L559" s="3160"/>
      <c r="M559" s="3161"/>
      <c r="N559" s="3161"/>
      <c r="O559" s="1296"/>
      <c r="P559" s="1296"/>
      <c r="Q559" s="1296"/>
      <c r="R559" s="1296"/>
      <c r="S559" s="1296"/>
      <c r="T559" s="1296"/>
      <c r="U559" s="1296"/>
      <c r="V559" s="1296"/>
      <c r="W559" s="1296"/>
      <c r="X559" s="1332"/>
      <c r="Y559" s="1295"/>
      <c r="Z559" s="1292"/>
      <c r="AA559" s="1292"/>
      <c r="AB559" s="1293"/>
      <c r="AC559" s="1544"/>
      <c r="AD559" s="1544"/>
      <c r="AE559" s="1544"/>
      <c r="AF559" s="1544"/>
    </row>
    <row r="560" spans="1:35" s="3056" customFormat="1" ht="18.75" hidden="1" customHeight="1">
      <c r="A560" s="736"/>
      <c r="B560" s="1316"/>
      <c r="C560" s="1346"/>
      <c r="D560" s="1348"/>
      <c r="E560" s="1317"/>
      <c r="F560" s="1318"/>
      <c r="G560" s="1361"/>
      <c r="H560" s="3134" t="s">
        <v>2288</v>
      </c>
      <c r="I560" s="3060" t="s">
        <v>121</v>
      </c>
      <c r="J560" s="3130" t="s">
        <v>1230</v>
      </c>
      <c r="K560" s="3130"/>
      <c r="L560" s="3059" t="s">
        <v>121</v>
      </c>
      <c r="M560" s="3130" t="s">
        <v>2287</v>
      </c>
      <c r="N560" s="3133"/>
      <c r="O560" s="3059" t="s">
        <v>121</v>
      </c>
      <c r="P560" s="3132" t="s">
        <v>2286</v>
      </c>
      <c r="Q560" s="3131"/>
      <c r="R560" s="3059" t="s">
        <v>121</v>
      </c>
      <c r="S560" s="3130" t="s">
        <v>2285</v>
      </c>
      <c r="T560" s="3131"/>
      <c r="U560" s="3059" t="s">
        <v>121</v>
      </c>
      <c r="V560" s="3130" t="s">
        <v>2284</v>
      </c>
      <c r="W560" s="3129"/>
      <c r="X560" s="3128"/>
      <c r="Y560" s="1323"/>
      <c r="Z560" s="1323"/>
      <c r="AA560" s="1323"/>
      <c r="AB560" s="1324"/>
      <c r="AC560" s="1558"/>
      <c r="AD560" s="1558"/>
      <c r="AE560" s="1558"/>
      <c r="AF560" s="1558"/>
      <c r="AI560" s="3056" t="str">
        <f>"2A:shoguukaizen_code:"&amp;IF(I560="■",1,IF(L560="■",7,IF(O560="■",8,IF(R560="■",9,IF(U560="■","A",0)))))</f>
        <v>2A:shoguukaizen_code:0</v>
      </c>
    </row>
    <row r="561" spans="1:37" s="3056" customFormat="1" ht="18.75" hidden="1" customHeight="1">
      <c r="A561" s="1276"/>
      <c r="B561" s="1405"/>
      <c r="C561" s="1333"/>
      <c r="D561" s="1335"/>
      <c r="E561" s="1272"/>
      <c r="F561" s="1279"/>
      <c r="G561" s="1272"/>
      <c r="H561" s="1372" t="s">
        <v>90</v>
      </c>
      <c r="I561" s="3074" t="s">
        <v>121</v>
      </c>
      <c r="J561" s="1280" t="s">
        <v>1230</v>
      </c>
      <c r="K561" s="1280"/>
      <c r="L561" s="1282"/>
      <c r="M561" s="3073" t="s">
        <v>121</v>
      </c>
      <c r="N561" s="1280" t="s">
        <v>2262</v>
      </c>
      <c r="O561" s="1280"/>
      <c r="P561" s="1282"/>
      <c r="Q561" s="3073" t="s">
        <v>121</v>
      </c>
      <c r="R561" s="1365" t="s">
        <v>2261</v>
      </c>
      <c r="S561" s="1365"/>
      <c r="T561" s="1281"/>
      <c r="U561" s="1281"/>
      <c r="V561" s="1281"/>
      <c r="W561" s="1281"/>
      <c r="X561" s="1285"/>
      <c r="Y561" s="3119" t="s">
        <v>121</v>
      </c>
      <c r="Z561" s="1270" t="s">
        <v>1229</v>
      </c>
      <c r="AA561" s="1270"/>
      <c r="AB561" s="1286"/>
      <c r="AC561" s="3119" t="s">
        <v>121</v>
      </c>
      <c r="AD561" s="1270" t="s">
        <v>1229</v>
      </c>
      <c r="AE561" s="1270"/>
      <c r="AF561" s="1286"/>
      <c r="AG561" s="3056" t="str">
        <f>"ser_code = '" &amp; IF(A569="■",33,"") &amp; "'"</f>
        <v>ser_code = ''</v>
      </c>
      <c r="AH561" s="3056" t="str">
        <f>"33:jininkbn_code:"&amp;IF(F568="■",1,IF(F569="■",2,0))</f>
        <v>33:jininkbn_code:0</v>
      </c>
      <c r="AI561" s="3056" t="str">
        <f>"33:"&amp;IF(AND(I561="□",M561="□",Q561="□"),"ketu_kangos_code:0",IF(I561="■","ketu_kangos_code:1:ketu_kshoku_code:1",IF(M561="■","ketu_kangos_code:2","ketu_kangos_code:1")&amp;IF(Q561="■",":ketu_kshoku_code:2",":ketu_kshoku_code:1")))</f>
        <v>33:ketu_kangos_code:0</v>
      </c>
      <c r="AJ561" s="3056" t="str">
        <f>"33:field203:" &amp; IF(Y561="■",1,IF(Y562="■",2,0))</f>
        <v>33:field203:0</v>
      </c>
      <c r="AK561" s="3056" t="str">
        <f>"33:waribiki_code:" &amp; IF(AC561="■",1,IF(AC562="■",2,0))</f>
        <v>33:waribiki_code:0</v>
      </c>
    </row>
    <row r="562" spans="1:37" s="3056" customFormat="1" ht="18.75" hidden="1" customHeight="1">
      <c r="A562" s="735"/>
      <c r="B562" s="1407"/>
      <c r="C562" s="1303"/>
      <c r="D562" s="1304"/>
      <c r="E562" s="1275"/>
      <c r="F562" s="1289"/>
      <c r="G562" s="1275"/>
      <c r="H562" s="3112" t="s">
        <v>2225</v>
      </c>
      <c r="I562" s="3066" t="s">
        <v>121</v>
      </c>
      <c r="J562" s="1298" t="s">
        <v>1242</v>
      </c>
      <c r="K562" s="1299"/>
      <c r="L562" s="1300"/>
      <c r="M562" s="3065" t="s">
        <v>121</v>
      </c>
      <c r="N562" s="1298" t="s">
        <v>1243</v>
      </c>
      <c r="O562" s="1307"/>
      <c r="P562" s="1307"/>
      <c r="Q562" s="1298"/>
      <c r="R562" s="1298"/>
      <c r="S562" s="1298"/>
      <c r="T562" s="1298"/>
      <c r="U562" s="1298"/>
      <c r="V562" s="1298"/>
      <c r="W562" s="1298"/>
      <c r="X562" s="1310"/>
      <c r="Y562" s="3069" t="s">
        <v>121</v>
      </c>
      <c r="Z562" s="1273" t="s">
        <v>1234</v>
      </c>
      <c r="AA562" s="1292"/>
      <c r="AB562" s="1293"/>
      <c r="AC562" s="3069" t="s">
        <v>121</v>
      </c>
      <c r="AD562" s="1273" t="s">
        <v>1234</v>
      </c>
      <c r="AE562" s="1292"/>
      <c r="AF562" s="1293"/>
      <c r="AG562" s="3056" t="str">
        <f>"33:sisetukbn_code:" &amp; IF(D567="■",1,IF(D568="■",2,IF(D569="■",3,IF(D570="■",5,IF(D571="■",6,IF(D572="■",7,0))))))</f>
        <v>33:sisetukbn_code:0</v>
      </c>
      <c r="AI562" s="3056" t="str">
        <f>"33:sintaikousoku_code:" &amp; IF(I562="■",1,IF(M562="■",2,0))</f>
        <v>33:sintaikousoku_code:0</v>
      </c>
    </row>
    <row r="563" spans="1:37" s="3056" customFormat="1" ht="19.5" hidden="1" customHeight="1">
      <c r="A563" s="735"/>
      <c r="B563" s="1407"/>
      <c r="C563" s="1303"/>
      <c r="D563" s="1304"/>
      <c r="E563" s="1275"/>
      <c r="F563" s="1289"/>
      <c r="G563" s="1305"/>
      <c r="H563" s="1306" t="s">
        <v>1244</v>
      </c>
      <c r="I563" s="3066" t="s">
        <v>121</v>
      </c>
      <c r="J563" s="1298" t="s">
        <v>1242</v>
      </c>
      <c r="K563" s="1299"/>
      <c r="L563" s="1300"/>
      <c r="M563" s="3065" t="s">
        <v>121</v>
      </c>
      <c r="N563" s="1298" t="s">
        <v>1245</v>
      </c>
      <c r="O563" s="1301"/>
      <c r="P563" s="1298"/>
      <c r="Q563" s="1307"/>
      <c r="R563" s="1307"/>
      <c r="S563" s="1307"/>
      <c r="T563" s="1307"/>
      <c r="U563" s="1307"/>
      <c r="V563" s="1307"/>
      <c r="W563" s="1307"/>
      <c r="X563" s="1308"/>
      <c r="Y563" s="1292"/>
      <c r="Z563" s="1292"/>
      <c r="AA563" s="1292"/>
      <c r="AB563" s="1293"/>
      <c r="AC563" s="1295"/>
      <c r="AD563" s="1292"/>
      <c r="AE563" s="1292"/>
      <c r="AF563" s="1293"/>
      <c r="AI563" s="3056" t="str">
        <f>"33:field223:" &amp; IF(I563="■",1,IF(M563="■",2,0))</f>
        <v>33:field223:0</v>
      </c>
    </row>
    <row r="564" spans="1:37" s="3056" customFormat="1" ht="19.5" hidden="1" customHeight="1">
      <c r="A564" s="735"/>
      <c r="B564" s="1407"/>
      <c r="C564" s="1303"/>
      <c r="D564" s="1304"/>
      <c r="E564" s="1275"/>
      <c r="F564" s="1289"/>
      <c r="G564" s="1305"/>
      <c r="H564" s="1306" t="s">
        <v>1246</v>
      </c>
      <c r="I564" s="3066" t="s">
        <v>121</v>
      </c>
      <c r="J564" s="1298" t="s">
        <v>1242</v>
      </c>
      <c r="K564" s="1299"/>
      <c r="L564" s="1300"/>
      <c r="M564" s="3065" t="s">
        <v>121</v>
      </c>
      <c r="N564" s="1298" t="s">
        <v>1245</v>
      </c>
      <c r="O564" s="1301"/>
      <c r="P564" s="1298"/>
      <c r="Q564" s="1307"/>
      <c r="R564" s="1307"/>
      <c r="S564" s="1307"/>
      <c r="T564" s="1307"/>
      <c r="U564" s="1307"/>
      <c r="V564" s="1307"/>
      <c r="W564" s="1307"/>
      <c r="X564" s="1308"/>
      <c r="Y564" s="1292"/>
      <c r="Z564" s="1292"/>
      <c r="AA564" s="1292"/>
      <c r="AB564" s="1293"/>
      <c r="AC564" s="1295"/>
      <c r="AD564" s="1292"/>
      <c r="AE564" s="1292"/>
      <c r="AF564" s="1293"/>
      <c r="AI564" s="3056" t="str">
        <f>"33:field232:" &amp; IF(I564="■",1,IF(M564="■",2,0))</f>
        <v>33:field232:0</v>
      </c>
    </row>
    <row r="565" spans="1:37" s="3056" customFormat="1" ht="18.75" hidden="1" customHeight="1">
      <c r="A565" s="735"/>
      <c r="B565" s="1407"/>
      <c r="C565" s="1303"/>
      <c r="D565" s="1304"/>
      <c r="E565" s="1275"/>
      <c r="F565" s="1289"/>
      <c r="G565" s="1275"/>
      <c r="H565" s="3112" t="s">
        <v>2389</v>
      </c>
      <c r="I565" s="3066" t="s">
        <v>121</v>
      </c>
      <c r="J565" s="1298" t="s">
        <v>1230</v>
      </c>
      <c r="K565" s="1298"/>
      <c r="L565" s="3065" t="s">
        <v>121</v>
      </c>
      <c r="M565" s="1298" t="s">
        <v>1256</v>
      </c>
      <c r="N565" s="1298"/>
      <c r="O565" s="3065" t="s">
        <v>121</v>
      </c>
      <c r="P565" s="1298" t="s">
        <v>1257</v>
      </c>
      <c r="Q565" s="1298"/>
      <c r="R565" s="1298"/>
      <c r="S565" s="1298"/>
      <c r="T565" s="1298"/>
      <c r="U565" s="1298"/>
      <c r="V565" s="1298"/>
      <c r="W565" s="1298"/>
      <c r="X565" s="1310"/>
      <c r="Y565" s="1295"/>
      <c r="Z565" s="1292"/>
      <c r="AA565" s="1292"/>
      <c r="AB565" s="1293"/>
      <c r="AC565" s="1295"/>
      <c r="AD565" s="1292"/>
      <c r="AE565" s="1292"/>
      <c r="AF565" s="1293"/>
      <c r="AI565" s="3056" t="str">
        <f>"33:field165:" &amp; IF(I565="■",1,IF(L565="■",2,IF(O565="■",3,0)))</f>
        <v>33:field165:0</v>
      </c>
    </row>
    <row r="566" spans="1:37" s="3056" customFormat="1" ht="37.5" hidden="1" customHeight="1">
      <c r="A566" s="735"/>
      <c r="B566" s="1407"/>
      <c r="C566" s="1303"/>
      <c r="D566" s="1304"/>
      <c r="E566" s="1275"/>
      <c r="F566" s="1289"/>
      <c r="G566" s="1275"/>
      <c r="H566" s="1312" t="s">
        <v>2388</v>
      </c>
      <c r="I566" s="3066" t="s">
        <v>121</v>
      </c>
      <c r="J566" s="1298" t="s">
        <v>1230</v>
      </c>
      <c r="K566" s="1299"/>
      <c r="L566" s="3065" t="s">
        <v>121</v>
      </c>
      <c r="M566" s="1298" t="s">
        <v>1248</v>
      </c>
      <c r="N566" s="1298"/>
      <c r="O566" s="1298"/>
      <c r="P566" s="1298"/>
      <c r="Q566" s="1298"/>
      <c r="R566" s="1298"/>
      <c r="S566" s="1298"/>
      <c r="T566" s="1298"/>
      <c r="U566" s="1298"/>
      <c r="V566" s="1298"/>
      <c r="W566" s="1298"/>
      <c r="X566" s="1310"/>
      <c r="Y566" s="1295"/>
      <c r="Z566" s="1292"/>
      <c r="AA566" s="1292"/>
      <c r="AB566" s="1293"/>
      <c r="AC566" s="1295"/>
      <c r="AD566" s="1292"/>
      <c r="AE566" s="1292"/>
      <c r="AF566" s="1293"/>
      <c r="AI566" s="3056" t="str">
        <f>"33:field214:" &amp; IF(I566="■",1,IF(L566="■",2,0))</f>
        <v>33:field214:0</v>
      </c>
    </row>
    <row r="567" spans="1:37" s="3056" customFormat="1" ht="18.75" hidden="1" customHeight="1">
      <c r="A567" s="735"/>
      <c r="B567" s="1407"/>
      <c r="C567" s="1303"/>
      <c r="D567" s="3069" t="s">
        <v>121</v>
      </c>
      <c r="E567" s="1275" t="s">
        <v>2380</v>
      </c>
      <c r="F567" s="1289"/>
      <c r="G567" s="1275"/>
      <c r="H567" s="1410" t="s">
        <v>2352</v>
      </c>
      <c r="I567" s="3066" t="s">
        <v>121</v>
      </c>
      <c r="J567" s="1298" t="s">
        <v>1230</v>
      </c>
      <c r="K567" s="1298"/>
      <c r="L567" s="3065" t="s">
        <v>121</v>
      </c>
      <c r="M567" s="1298" t="s">
        <v>1263</v>
      </c>
      <c r="N567" s="1298"/>
      <c r="O567" s="3065" t="s">
        <v>121</v>
      </c>
      <c r="P567" s="1298" t="s">
        <v>1287</v>
      </c>
      <c r="Q567" s="1298"/>
      <c r="R567" s="1298"/>
      <c r="S567" s="1298"/>
      <c r="T567" s="1298"/>
      <c r="U567" s="1298"/>
      <c r="V567" s="1298"/>
      <c r="W567" s="1298"/>
      <c r="X567" s="1310"/>
      <c r="Y567" s="1295"/>
      <c r="Z567" s="1292"/>
      <c r="AA567" s="1292"/>
      <c r="AB567" s="1293"/>
      <c r="AC567" s="1295"/>
      <c r="AD567" s="1292"/>
      <c r="AE567" s="1292"/>
      <c r="AF567" s="1293"/>
      <c r="AI567" s="3056" t="str">
        <f>"33:field185:" &amp; IF(I567="■",1,IF(L567="■",3,IF(O567="■",2,0)))</f>
        <v>33:field185:0</v>
      </c>
    </row>
    <row r="568" spans="1:37" s="3056" customFormat="1" ht="18.75" hidden="1" customHeight="1">
      <c r="A568" s="735"/>
      <c r="B568" s="1407"/>
      <c r="C568" s="1303"/>
      <c r="D568" s="3069" t="s">
        <v>121</v>
      </c>
      <c r="E568" s="1275" t="s">
        <v>2377</v>
      </c>
      <c r="F568" s="3069" t="s">
        <v>121</v>
      </c>
      <c r="G568" s="1275" t="s">
        <v>2387</v>
      </c>
      <c r="H568" s="1410" t="s">
        <v>2349</v>
      </c>
      <c r="I568" s="3066" t="s">
        <v>121</v>
      </c>
      <c r="J568" s="1298" t="s">
        <v>1230</v>
      </c>
      <c r="K568" s="1299"/>
      <c r="L568" s="3065" t="s">
        <v>121</v>
      </c>
      <c r="M568" s="1298" t="s">
        <v>1248</v>
      </c>
      <c r="N568" s="1298"/>
      <c r="O568" s="1298"/>
      <c r="P568" s="1298"/>
      <c r="Q568" s="1298"/>
      <c r="R568" s="1298"/>
      <c r="S568" s="1298"/>
      <c r="T568" s="1298"/>
      <c r="U568" s="1298"/>
      <c r="V568" s="1298"/>
      <c r="W568" s="1298"/>
      <c r="X568" s="1310"/>
      <c r="Y568" s="1295"/>
      <c r="Z568" s="1292"/>
      <c r="AA568" s="1292"/>
      <c r="AB568" s="1293"/>
      <c r="AC568" s="1295"/>
      <c r="AD568" s="1292"/>
      <c r="AE568" s="1292"/>
      <c r="AF568" s="1293"/>
      <c r="AI568" s="3056" t="str">
        <f>"33:kobetu_kunren_code:" &amp; IF(I568="■",1,IF(L568="■",2,0))</f>
        <v>33:kobetu_kunren_code:0</v>
      </c>
    </row>
    <row r="569" spans="1:37" s="3056" customFormat="1" ht="18.75" hidden="1" customHeight="1">
      <c r="A569" s="3069" t="s">
        <v>121</v>
      </c>
      <c r="B569" s="1407">
        <v>33</v>
      </c>
      <c r="C569" s="1303" t="s">
        <v>2386</v>
      </c>
      <c r="D569" s="3069" t="s">
        <v>121</v>
      </c>
      <c r="E569" s="1275" t="s">
        <v>2385</v>
      </c>
      <c r="F569" s="3069" t="s">
        <v>121</v>
      </c>
      <c r="G569" s="1275" t="s">
        <v>2384</v>
      </c>
      <c r="H569" s="1410" t="s">
        <v>2344</v>
      </c>
      <c r="I569" s="3066" t="s">
        <v>121</v>
      </c>
      <c r="J569" s="1298" t="s">
        <v>1230</v>
      </c>
      <c r="K569" s="1299"/>
      <c r="L569" s="3065" t="s">
        <v>121</v>
      </c>
      <c r="M569" s="1298" t="s">
        <v>1248</v>
      </c>
      <c r="N569" s="1298"/>
      <c r="O569" s="1298"/>
      <c r="P569" s="1298"/>
      <c r="Q569" s="1298"/>
      <c r="R569" s="1298"/>
      <c r="S569" s="1298"/>
      <c r="T569" s="1298"/>
      <c r="U569" s="1298"/>
      <c r="V569" s="1298"/>
      <c r="W569" s="1298"/>
      <c r="X569" s="1310"/>
      <c r="Y569" s="1295"/>
      <c r="Z569" s="1292"/>
      <c r="AA569" s="1292"/>
      <c r="AB569" s="1293"/>
      <c r="AC569" s="1295"/>
      <c r="AD569" s="1292"/>
      <c r="AE569" s="1292"/>
      <c r="AF569" s="1293"/>
      <c r="AI569" s="3056" t="str">
        <f>"33:field186:" &amp; IF(I569="■",1,IF(L569="■",2,0))</f>
        <v>33:field186:0</v>
      </c>
    </row>
    <row r="570" spans="1:37" s="3056" customFormat="1" ht="18.75" hidden="1" customHeight="1">
      <c r="A570" s="735"/>
      <c r="B570" s="1407"/>
      <c r="C570" s="1303"/>
      <c r="D570" s="3069" t="s">
        <v>121</v>
      </c>
      <c r="E570" s="1275" t="s">
        <v>2374</v>
      </c>
      <c r="F570" s="1289"/>
      <c r="G570" s="1275" t="s">
        <v>2383</v>
      </c>
      <c r="H570" s="3112" t="s">
        <v>2379</v>
      </c>
      <c r="I570" s="3066" t="s">
        <v>121</v>
      </c>
      <c r="J570" s="1298" t="s">
        <v>1230</v>
      </c>
      <c r="K570" s="1298"/>
      <c r="L570" s="3065" t="s">
        <v>121</v>
      </c>
      <c r="M570" s="1298" t="s">
        <v>2348</v>
      </c>
      <c r="N570" s="1298"/>
      <c r="O570" s="3065" t="s">
        <v>121</v>
      </c>
      <c r="P570" s="1298" t="s">
        <v>2378</v>
      </c>
      <c r="Q570" s="1298"/>
      <c r="R570" s="1298"/>
      <c r="S570" s="1298"/>
      <c r="T570" s="1298"/>
      <c r="U570" s="1298"/>
      <c r="V570" s="1299"/>
      <c r="W570" s="1299"/>
      <c r="X570" s="1302"/>
      <c r="Y570" s="1295"/>
      <c r="Z570" s="1292"/>
      <c r="AA570" s="1292"/>
      <c r="AB570" s="1293"/>
      <c r="AC570" s="1295"/>
      <c r="AD570" s="1292"/>
      <c r="AE570" s="1292"/>
      <c r="AF570" s="1293"/>
      <c r="AI570" s="3056" t="str">
        <f>"33:yakankango_code:" &amp; IF(I570="■",1,IF(L570="■",3,IF(O570="■",2,0)))</f>
        <v>33:yakankango_code:0</v>
      </c>
    </row>
    <row r="571" spans="1:37" s="3056" customFormat="1" ht="18.75" hidden="1" customHeight="1">
      <c r="A571" s="735"/>
      <c r="B571" s="1407"/>
      <c r="C571" s="1303"/>
      <c r="D571" s="3069" t="s">
        <v>121</v>
      </c>
      <c r="E571" s="1275" t="s">
        <v>2373</v>
      </c>
      <c r="F571" s="1289"/>
      <c r="G571" s="1275"/>
      <c r="H571" s="3112" t="s">
        <v>2376</v>
      </c>
      <c r="I571" s="3066" t="s">
        <v>121</v>
      </c>
      <c r="J571" s="1298" t="s">
        <v>1230</v>
      </c>
      <c r="K571" s="1299"/>
      <c r="L571" s="3065" t="s">
        <v>121</v>
      </c>
      <c r="M571" s="1298" t="s">
        <v>1248</v>
      </c>
      <c r="N571" s="1299"/>
      <c r="O571" s="1299"/>
      <c r="P571" s="1299"/>
      <c r="Q571" s="1299"/>
      <c r="R571" s="1299"/>
      <c r="S571" s="1299"/>
      <c r="T571" s="1299"/>
      <c r="U571" s="1299"/>
      <c r="V571" s="1299"/>
      <c r="W571" s="1299"/>
      <c r="X571" s="1302"/>
      <c r="Y571" s="1295"/>
      <c r="Z571" s="1292"/>
      <c r="AA571" s="1292"/>
      <c r="AB571" s="1293"/>
      <c r="AC571" s="1295"/>
      <c r="AD571" s="1292"/>
      <c r="AE571" s="1292"/>
      <c r="AF571" s="1293"/>
      <c r="AI571" s="3056" t="str">
        <f>"33:jyakuninti_uke_code:" &amp; IF(I571="■",1,IF(L571="■",2,0))</f>
        <v>33:jyakuninti_uke_code:0</v>
      </c>
    </row>
    <row r="572" spans="1:37" s="3056" customFormat="1" ht="18.75" hidden="1" customHeight="1">
      <c r="A572" s="735"/>
      <c r="B572" s="1407"/>
      <c r="C572" s="1303"/>
      <c r="D572" s="3069" t="s">
        <v>121</v>
      </c>
      <c r="E572" s="1275" t="s">
        <v>2382</v>
      </c>
      <c r="F572" s="1289"/>
      <c r="G572" s="1275"/>
      <c r="H572" s="1410" t="s">
        <v>764</v>
      </c>
      <c r="I572" s="3066" t="s">
        <v>121</v>
      </c>
      <c r="J572" s="1298" t="s">
        <v>1230</v>
      </c>
      <c r="K572" s="1299"/>
      <c r="L572" s="3065" t="s">
        <v>121</v>
      </c>
      <c r="M572" s="1298" t="s">
        <v>1248</v>
      </c>
      <c r="N572" s="1298"/>
      <c r="O572" s="1298"/>
      <c r="P572" s="1298"/>
      <c r="Q572" s="1298"/>
      <c r="R572" s="1298"/>
      <c r="S572" s="1298"/>
      <c r="T572" s="1298"/>
      <c r="U572" s="1298"/>
      <c r="V572" s="1298"/>
      <c r="W572" s="1298"/>
      <c r="X572" s="1310"/>
      <c r="Y572" s="1295"/>
      <c r="Z572" s="1292"/>
      <c r="AA572" s="1292"/>
      <c r="AB572" s="1293"/>
      <c r="AC572" s="1295"/>
      <c r="AD572" s="1292"/>
      <c r="AE572" s="1292"/>
      <c r="AF572" s="1293"/>
      <c r="AI572" s="3056" t="str">
        <f>"33:field212:" &amp; IF(I572="■",1,IF(L572="■",2,0))</f>
        <v>33:field212:0</v>
      </c>
    </row>
    <row r="573" spans="1:37" s="3056" customFormat="1" ht="18.75" hidden="1" customHeight="1">
      <c r="A573" s="735"/>
      <c r="B573" s="1407"/>
      <c r="C573" s="1303"/>
      <c r="D573" s="1304"/>
      <c r="E573" s="1275"/>
      <c r="F573" s="1289"/>
      <c r="G573" s="1275"/>
      <c r="H573" s="1409" t="s">
        <v>2381</v>
      </c>
      <c r="I573" s="3066" t="s">
        <v>121</v>
      </c>
      <c r="J573" s="1298" t="s">
        <v>1230</v>
      </c>
      <c r="K573" s="1299"/>
      <c r="L573" s="3065" t="s">
        <v>121</v>
      </c>
      <c r="M573" s="1298" t="s">
        <v>1248</v>
      </c>
      <c r="N573" s="1299"/>
      <c r="O573" s="1299"/>
      <c r="P573" s="1299"/>
      <c r="Q573" s="1299"/>
      <c r="R573" s="1299"/>
      <c r="S573" s="1299"/>
      <c r="T573" s="1299"/>
      <c r="U573" s="1299"/>
      <c r="V573" s="1299"/>
      <c r="W573" s="1299"/>
      <c r="X573" s="1302"/>
      <c r="Y573" s="1295"/>
      <c r="Z573" s="1292"/>
      <c r="AA573" s="1292"/>
      <c r="AB573" s="1293"/>
      <c r="AC573" s="1295"/>
      <c r="AD573" s="1292"/>
      <c r="AE573" s="1292"/>
      <c r="AF573" s="1293"/>
      <c r="AI573" s="3056" t="str">
        <f>"33:terminal_code:" &amp; IF(I573="■",1,IF(L573="■",2,0))</f>
        <v>33:terminal_code:0</v>
      </c>
    </row>
    <row r="574" spans="1:37" s="3056" customFormat="1" ht="18.75" hidden="1" customHeight="1">
      <c r="A574" s="735"/>
      <c r="B574" s="1407"/>
      <c r="C574" s="1303"/>
      <c r="D574" s="1304"/>
      <c r="E574" s="1275"/>
      <c r="F574" s="1289"/>
      <c r="G574" s="1275"/>
      <c r="H574" s="3112" t="s">
        <v>1260</v>
      </c>
      <c r="I574" s="3066" t="s">
        <v>121</v>
      </c>
      <c r="J574" s="1298" t="s">
        <v>1230</v>
      </c>
      <c r="K574" s="1298"/>
      <c r="L574" s="3065" t="s">
        <v>121</v>
      </c>
      <c r="M574" s="1298" t="s">
        <v>1256</v>
      </c>
      <c r="N574" s="1298"/>
      <c r="O574" s="3065" t="s">
        <v>121</v>
      </c>
      <c r="P574" s="1298" t="s">
        <v>1257</v>
      </c>
      <c r="Q574" s="1299"/>
      <c r="R574" s="1299"/>
      <c r="S574" s="1299"/>
      <c r="T574" s="1299"/>
      <c r="U574" s="1299"/>
      <c r="V574" s="1299"/>
      <c r="W574" s="1299"/>
      <c r="X574" s="1302"/>
      <c r="Y574" s="1295"/>
      <c r="Z574" s="1292"/>
      <c r="AA574" s="1292"/>
      <c r="AB574" s="1293"/>
      <c r="AC574" s="1295"/>
      <c r="AD574" s="1292"/>
      <c r="AE574" s="1292"/>
      <c r="AF574" s="1293"/>
      <c r="AI574" s="3056" t="str">
        <f>"33:ninti_senmoncare_code:" &amp; IF(I574="■",1,IF(O574="■",3,IF(L574="■",2,0)))</f>
        <v>33:ninti_senmoncare_code:0</v>
      </c>
    </row>
    <row r="575" spans="1:37" s="3056" customFormat="1" ht="18.75" hidden="1" customHeight="1">
      <c r="A575" s="735"/>
      <c r="B575" s="1407"/>
      <c r="C575" s="1303"/>
      <c r="D575" s="1304"/>
      <c r="E575" s="1275"/>
      <c r="F575" s="1289"/>
      <c r="G575" s="1275"/>
      <c r="H575" s="1409" t="s">
        <v>1288</v>
      </c>
      <c r="I575" s="3066" t="s">
        <v>121</v>
      </c>
      <c r="J575" s="1298" t="s">
        <v>1230</v>
      </c>
      <c r="K575" s="1298"/>
      <c r="L575" s="3065" t="s">
        <v>121</v>
      </c>
      <c r="M575" s="1296" t="s">
        <v>1248</v>
      </c>
      <c r="N575" s="1298"/>
      <c r="O575" s="1298"/>
      <c r="P575" s="1298"/>
      <c r="Q575" s="1299"/>
      <c r="R575" s="1299"/>
      <c r="S575" s="1299"/>
      <c r="T575" s="1299"/>
      <c r="U575" s="1299"/>
      <c r="V575" s="1299"/>
      <c r="W575" s="1299"/>
      <c r="X575" s="1302"/>
      <c r="Y575" s="1295"/>
      <c r="Z575" s="1292"/>
      <c r="AA575" s="1292"/>
      <c r="AB575" s="1293"/>
      <c r="AC575" s="1295"/>
      <c r="AD575" s="1292"/>
      <c r="AE575" s="1292"/>
      <c r="AF575" s="1293"/>
      <c r="AI575" s="3056" t="str">
        <f>"33:field226:" &amp; IF(I575="■",1,IF(L575="■",2,0))</f>
        <v>33:field226:0</v>
      </c>
    </row>
    <row r="576" spans="1:37" s="3056" customFormat="1" ht="18.75" hidden="1" customHeight="1">
      <c r="A576" s="735"/>
      <c r="B576" s="1407"/>
      <c r="C576" s="1287"/>
      <c r="D576" s="1304"/>
      <c r="E576" s="1275"/>
      <c r="F576" s="1289"/>
      <c r="G576" s="1275"/>
      <c r="H576" s="1409" t="s">
        <v>1289</v>
      </c>
      <c r="I576" s="3066" t="s">
        <v>121</v>
      </c>
      <c r="J576" s="1298" t="s">
        <v>1230</v>
      </c>
      <c r="K576" s="1298"/>
      <c r="L576" s="3065" t="s">
        <v>121</v>
      </c>
      <c r="M576" s="1296" t="s">
        <v>1248</v>
      </c>
      <c r="N576" s="1298"/>
      <c r="O576" s="1298"/>
      <c r="P576" s="1298"/>
      <c r="Q576" s="1299"/>
      <c r="R576" s="1299"/>
      <c r="S576" s="1299"/>
      <c r="T576" s="1299"/>
      <c r="U576" s="1299"/>
      <c r="V576" s="1299"/>
      <c r="W576" s="1299"/>
      <c r="X576" s="1302"/>
      <c r="Y576" s="1295"/>
      <c r="Z576" s="1292"/>
      <c r="AA576" s="1292"/>
      <c r="AB576" s="1293"/>
      <c r="AC576" s="1295"/>
      <c r="AD576" s="1292"/>
      <c r="AE576" s="1292"/>
      <c r="AF576" s="1293"/>
      <c r="AI576" s="3056" t="str">
        <f>"33:field227:" &amp; IF(I576="■",1,IF(L576="■",2,0))</f>
        <v>33:field227:0</v>
      </c>
    </row>
    <row r="577" spans="1:37" s="3056" customFormat="1" ht="18.75" hidden="1" customHeight="1">
      <c r="A577" s="735"/>
      <c r="B577" s="1407"/>
      <c r="C577" s="1303"/>
      <c r="D577" s="1304"/>
      <c r="E577" s="1275"/>
      <c r="F577" s="1289"/>
      <c r="G577" s="1275"/>
      <c r="H577" s="1313" t="s">
        <v>1265</v>
      </c>
      <c r="I577" s="3066" t="s">
        <v>121</v>
      </c>
      <c r="J577" s="1298" t="s">
        <v>1230</v>
      </c>
      <c r="K577" s="1298"/>
      <c r="L577" s="3065" t="s">
        <v>121</v>
      </c>
      <c r="M577" s="1298" t="s">
        <v>1256</v>
      </c>
      <c r="N577" s="1298"/>
      <c r="O577" s="3065" t="s">
        <v>121</v>
      </c>
      <c r="P577" s="1298" t="s">
        <v>1257</v>
      </c>
      <c r="Q577" s="1307"/>
      <c r="R577" s="1307"/>
      <c r="S577" s="1307"/>
      <c r="T577" s="1307"/>
      <c r="U577" s="1314"/>
      <c r="V577" s="1314"/>
      <c r="W577" s="1314"/>
      <c r="X577" s="1315"/>
      <c r="Y577" s="1295"/>
      <c r="Z577" s="1292"/>
      <c r="AA577" s="1292"/>
      <c r="AB577" s="1293"/>
      <c r="AC577" s="1295"/>
      <c r="AD577" s="1292"/>
      <c r="AE577" s="1292"/>
      <c r="AF577" s="1293"/>
      <c r="AI577" s="3056" t="str">
        <f>"33:field225:" &amp; IF(I577="■",1,IF(L577="■",2,IF(O577="■",3,0)))</f>
        <v>33:field225:0</v>
      </c>
    </row>
    <row r="578" spans="1:37" s="3056" customFormat="1" ht="18.75" hidden="1" customHeight="1">
      <c r="A578" s="735"/>
      <c r="B578" s="1407"/>
      <c r="C578" s="1303"/>
      <c r="D578" s="1304"/>
      <c r="E578" s="1275"/>
      <c r="F578" s="1289"/>
      <c r="G578" s="1275"/>
      <c r="H578" s="1312" t="s">
        <v>2372</v>
      </c>
      <c r="I578" s="3066" t="s">
        <v>121</v>
      </c>
      <c r="J578" s="1298" t="s">
        <v>1230</v>
      </c>
      <c r="K578" s="1298"/>
      <c r="L578" s="3065" t="s">
        <v>121</v>
      </c>
      <c r="M578" s="1298" t="s">
        <v>1267</v>
      </c>
      <c r="N578" s="1298"/>
      <c r="O578" s="3065" t="s">
        <v>121</v>
      </c>
      <c r="P578" s="1298" t="s">
        <v>1287</v>
      </c>
      <c r="Q578" s="1326"/>
      <c r="R578" s="3065" t="s">
        <v>121</v>
      </c>
      <c r="S578" s="1298" t="s">
        <v>1269</v>
      </c>
      <c r="T578" s="1298"/>
      <c r="U578" s="1298"/>
      <c r="V578" s="1298"/>
      <c r="W578" s="1298"/>
      <c r="X578" s="1310"/>
      <c r="Y578" s="1295"/>
      <c r="Z578" s="1292"/>
      <c r="AA578" s="1292"/>
      <c r="AB578" s="1293"/>
      <c r="AC578" s="1295"/>
      <c r="AD578" s="1292"/>
      <c r="AE578" s="1292"/>
      <c r="AF578" s="1293"/>
      <c r="AI578" s="3056" t="str">
        <f>"33:serteikyo_kyoka_code:" &amp; IF(I578="■",1,IF(L578="■",6,IF(O578="■",2,IF(R578="■",7,0))))</f>
        <v>33:serteikyo_kyoka_code:0</v>
      </c>
    </row>
    <row r="579" spans="1:37" s="3056" customFormat="1" ht="18.75" hidden="1" customHeight="1">
      <c r="A579" s="735"/>
      <c r="B579" s="1407"/>
      <c r="C579" s="1303"/>
      <c r="D579" s="1304"/>
      <c r="E579" s="1275"/>
      <c r="F579" s="1289"/>
      <c r="G579" s="1305"/>
      <c r="H579" s="3155" t="s">
        <v>2288</v>
      </c>
      <c r="I579" s="3137" t="s">
        <v>121</v>
      </c>
      <c r="J579" s="3151" t="s">
        <v>1230</v>
      </c>
      <c r="K579" s="3151"/>
      <c r="L579" s="3136" t="s">
        <v>121</v>
      </c>
      <c r="M579" s="3151" t="s">
        <v>2287</v>
      </c>
      <c r="N579" s="3154"/>
      <c r="O579" s="3136" t="s">
        <v>121</v>
      </c>
      <c r="P579" s="3153" t="s">
        <v>2286</v>
      </c>
      <c r="Q579" s="3152"/>
      <c r="R579" s="3136" t="s">
        <v>121</v>
      </c>
      <c r="S579" s="3151" t="s">
        <v>2285</v>
      </c>
      <c r="T579" s="3152"/>
      <c r="U579" s="3136" t="s">
        <v>121</v>
      </c>
      <c r="V579" s="3151" t="s">
        <v>2284</v>
      </c>
      <c r="W579" s="3150"/>
      <c r="X579" s="3149"/>
      <c r="Y579" s="1292"/>
      <c r="Z579" s="1292"/>
      <c r="AA579" s="1292"/>
      <c r="AB579" s="1293"/>
      <c r="AC579" s="1295"/>
      <c r="AD579" s="1292"/>
      <c r="AE579" s="1292"/>
      <c r="AF579" s="1293"/>
      <c r="AI579" s="3056" t="str">
        <f>"33:shoguukaizen_code:"&amp;IF(I579="■",1,IF(L579="■",7,IF(O579="■",8,IF(R579="■",9,IF(U579="■","A",0)))))</f>
        <v>33:shoguukaizen_code:0</v>
      </c>
    </row>
    <row r="580" spans="1:37" s="3056" customFormat="1" ht="18.75" hidden="1" customHeight="1">
      <c r="A580" s="1276"/>
      <c r="B580" s="1405"/>
      <c r="C580" s="1350"/>
      <c r="D580" s="1279"/>
      <c r="E580" s="1272"/>
      <c r="F580" s="1279"/>
      <c r="G580" s="1351"/>
      <c r="H580" s="1372" t="s">
        <v>90</v>
      </c>
      <c r="I580" s="3074" t="s">
        <v>121</v>
      </c>
      <c r="J580" s="1280" t="s">
        <v>1230</v>
      </c>
      <c r="K580" s="1280"/>
      <c r="L580" s="1282"/>
      <c r="M580" s="3073" t="s">
        <v>121</v>
      </c>
      <c r="N580" s="1280" t="s">
        <v>2262</v>
      </c>
      <c r="O580" s="1280"/>
      <c r="P580" s="1282"/>
      <c r="Q580" s="3073" t="s">
        <v>121</v>
      </c>
      <c r="R580" s="1365" t="s">
        <v>2261</v>
      </c>
      <c r="S580" s="1365"/>
      <c r="T580" s="1281"/>
      <c r="U580" s="1281"/>
      <c r="V580" s="1281"/>
      <c r="W580" s="1281"/>
      <c r="X580" s="1285"/>
      <c r="Y580" s="3119" t="s">
        <v>121</v>
      </c>
      <c r="Z580" s="1270" t="s">
        <v>1229</v>
      </c>
      <c r="AA580" s="1270"/>
      <c r="AB580" s="1286"/>
      <c r="AC580" s="3119" t="s">
        <v>121</v>
      </c>
      <c r="AD580" s="1270" t="s">
        <v>1229</v>
      </c>
      <c r="AE580" s="1270"/>
      <c r="AF580" s="1286"/>
      <c r="AG580" s="3056" t="str">
        <f>"ser_code = '" &amp; IF(A585="■",27,"") &amp; "'"</f>
        <v>ser_code = ''</v>
      </c>
      <c r="AI580" s="3056" t="str">
        <f>"27:"&amp;IF(AND(I580="□",M580="□",Q580="□"),"ketu_kangos_code:0",IF(I580="■","ketu_kangos_code:1:ketu_kshoku_code:1",IF(M580="■","ketu_kangos_code:2","ketu_kangos_code:1")&amp;IF(Q580="■",":ketu_kshoku_code:2",":ketu_kshoku_code:1")))</f>
        <v>27:ketu_kangos_code:0</v>
      </c>
      <c r="AJ580" s="3056" t="str">
        <f>"27:field203:" &amp; IF(Y580="■",1,IF(Y581="■",2,0))</f>
        <v>27:field203:0</v>
      </c>
      <c r="AK580" s="3056" t="str">
        <f>"27:waribiki_code:" &amp; IF(AC580="■",1,IF(AC581="■",2,0))</f>
        <v>27:waribiki_code:0</v>
      </c>
    </row>
    <row r="581" spans="1:37" s="3056" customFormat="1" ht="18.75" hidden="1" customHeight="1">
      <c r="A581" s="735"/>
      <c r="B581" s="1407"/>
      <c r="C581" s="1287"/>
      <c r="D581" s="1288"/>
      <c r="E581" s="1275"/>
      <c r="F581" s="1289"/>
      <c r="G581" s="1305"/>
      <c r="H581" s="3193" t="s">
        <v>1241</v>
      </c>
      <c r="I581" s="3096" t="s">
        <v>121</v>
      </c>
      <c r="J581" s="3091" t="s">
        <v>1242</v>
      </c>
      <c r="K581" s="3095"/>
      <c r="L581" s="3094"/>
      <c r="M581" s="3093" t="s">
        <v>121</v>
      </c>
      <c r="N581" s="3091" t="s">
        <v>1243</v>
      </c>
      <c r="O581" s="3095"/>
      <c r="P581" s="3192"/>
      <c r="Q581" s="3192"/>
      <c r="R581" s="3192"/>
      <c r="S581" s="3192"/>
      <c r="T581" s="3192"/>
      <c r="U581" s="3192"/>
      <c r="V581" s="3192"/>
      <c r="W581" s="3192"/>
      <c r="X581" s="3191"/>
      <c r="Y581" s="3069" t="s">
        <v>121</v>
      </c>
      <c r="Z581" s="1273" t="s">
        <v>1234</v>
      </c>
      <c r="AA581" s="1292"/>
      <c r="AB581" s="1293"/>
      <c r="AC581" s="3069" t="s">
        <v>121</v>
      </c>
      <c r="AD581" s="1273" t="s">
        <v>1234</v>
      </c>
      <c r="AE581" s="1292"/>
      <c r="AF581" s="1293"/>
      <c r="AG581" s="3056" t="str">
        <f>"27:sisetukbn_code:" &amp; IF(D584="■",1,IF(D585="■",2,IF(D586="■",5,IF(D587="■",6,0))))</f>
        <v>27:sisetukbn_code:0</v>
      </c>
      <c r="AI581" s="3056" t="str">
        <f>"2A:sintaikousoku_code:" &amp; IF(I581="■",1,IF(M581="■",2,0))</f>
        <v>2A:sintaikousoku_code:0</v>
      </c>
    </row>
    <row r="582" spans="1:37" s="3056" customFormat="1" ht="19.5" hidden="1" customHeight="1">
      <c r="A582" s="735"/>
      <c r="B582" s="1407"/>
      <c r="C582" s="1353"/>
      <c r="D582" s="1411"/>
      <c r="E582" s="1275"/>
      <c r="F582" s="1289"/>
      <c r="G582" s="1305"/>
      <c r="H582" s="1306" t="s">
        <v>1244</v>
      </c>
      <c r="I582" s="3066" t="s">
        <v>121</v>
      </c>
      <c r="J582" s="1298" t="s">
        <v>1242</v>
      </c>
      <c r="K582" s="1299"/>
      <c r="L582" s="1300"/>
      <c r="M582" s="3065" t="s">
        <v>121</v>
      </c>
      <c r="N582" s="1298" t="s">
        <v>1245</v>
      </c>
      <c r="O582" s="1301"/>
      <c r="P582" s="1298"/>
      <c r="Q582" s="1307"/>
      <c r="R582" s="1307"/>
      <c r="S582" s="1307"/>
      <c r="T582" s="1307"/>
      <c r="U582" s="1307"/>
      <c r="V582" s="1307"/>
      <c r="W582" s="1307"/>
      <c r="X582" s="1308"/>
      <c r="Y582" s="1411"/>
      <c r="Z582" s="1273"/>
      <c r="AA582" s="1292"/>
      <c r="AB582" s="1293"/>
      <c r="AC582" s="1411"/>
      <c r="AD582" s="1273"/>
      <c r="AE582" s="1292"/>
      <c r="AF582" s="1293"/>
      <c r="AI582" s="3056" t="str">
        <f>"27:field223:" &amp; IF(I582="■",1,IF(M582="■",2,0))</f>
        <v>27:field223:0</v>
      </c>
    </row>
    <row r="583" spans="1:37" s="3056" customFormat="1" ht="19.5" hidden="1" customHeight="1">
      <c r="A583" s="735"/>
      <c r="B583" s="1407"/>
      <c r="C583" s="1353"/>
      <c r="D583" s="1411"/>
      <c r="E583" s="1275"/>
      <c r="F583" s="1289"/>
      <c r="G583" s="1305"/>
      <c r="H583" s="1306" t="s">
        <v>1246</v>
      </c>
      <c r="I583" s="3066" t="s">
        <v>121</v>
      </c>
      <c r="J583" s="1298" t="s">
        <v>1242</v>
      </c>
      <c r="K583" s="1299"/>
      <c r="L583" s="1300"/>
      <c r="M583" s="3065" t="s">
        <v>121</v>
      </c>
      <c r="N583" s="1298" t="s">
        <v>1245</v>
      </c>
      <c r="O583" s="1301"/>
      <c r="P583" s="1298"/>
      <c r="Q583" s="1307"/>
      <c r="R583" s="1307"/>
      <c r="S583" s="1307"/>
      <c r="T583" s="1307"/>
      <c r="U583" s="1307"/>
      <c r="V583" s="1307"/>
      <c r="W583" s="1307"/>
      <c r="X583" s="1308"/>
      <c r="Y583" s="1411"/>
      <c r="Z583" s="1273"/>
      <c r="AA583" s="1292"/>
      <c r="AB583" s="1293"/>
      <c r="AC583" s="1411"/>
      <c r="AD583" s="1273"/>
      <c r="AE583" s="1292"/>
      <c r="AF583" s="1293"/>
      <c r="AI583" s="3056" t="str">
        <f>"27:field232:" &amp; IF(I583="■",1,IF(M583="■",2,0))</f>
        <v>27:field232:0</v>
      </c>
    </row>
    <row r="584" spans="1:37" s="3056" customFormat="1" ht="18.75" hidden="1" customHeight="1">
      <c r="A584" s="735"/>
      <c r="B584" s="1407"/>
      <c r="C584" s="1353"/>
      <c r="D584" s="3069" t="s">
        <v>121</v>
      </c>
      <c r="E584" s="1275" t="s">
        <v>2380</v>
      </c>
      <c r="F584" s="1289"/>
      <c r="G584" s="1305"/>
      <c r="H584" s="3112" t="s">
        <v>2379</v>
      </c>
      <c r="I584" s="3066" t="s">
        <v>121</v>
      </c>
      <c r="J584" s="1298" t="s">
        <v>1230</v>
      </c>
      <c r="K584" s="1298"/>
      <c r="L584" s="3065" t="s">
        <v>121</v>
      </c>
      <c r="M584" s="1298" t="s">
        <v>2348</v>
      </c>
      <c r="N584" s="1298"/>
      <c r="O584" s="3065" t="s">
        <v>121</v>
      </c>
      <c r="P584" s="1298" t="s">
        <v>2378</v>
      </c>
      <c r="Q584" s="1298"/>
      <c r="R584" s="1298"/>
      <c r="S584" s="1298"/>
      <c r="T584" s="1298"/>
      <c r="U584" s="1298"/>
      <c r="V584" s="1299"/>
      <c r="W584" s="1299"/>
      <c r="X584" s="1302"/>
      <c r="Y584" s="1295"/>
      <c r="Z584" s="1292"/>
      <c r="AA584" s="1292"/>
      <c r="AB584" s="1293"/>
      <c r="AC584" s="1295"/>
      <c r="AD584" s="1292"/>
      <c r="AE584" s="1292"/>
      <c r="AF584" s="1293"/>
      <c r="AI584" s="3056" t="str">
        <f>"27:yakankango_code:" &amp; IF(I584="■",1,IF(L584="■",3,IF(O584="■",2,0)))</f>
        <v>27:yakankango_code:0</v>
      </c>
    </row>
    <row r="585" spans="1:37" s="3056" customFormat="1" ht="18.75" hidden="1" customHeight="1">
      <c r="A585" s="3069" t="s">
        <v>121</v>
      </c>
      <c r="B585" s="1407">
        <v>27</v>
      </c>
      <c r="C585" s="1353" t="s">
        <v>501</v>
      </c>
      <c r="D585" s="3069" t="s">
        <v>121</v>
      </c>
      <c r="E585" s="1275" t="s">
        <v>2377</v>
      </c>
      <c r="F585" s="1289"/>
      <c r="G585" s="1305"/>
      <c r="H585" s="3112" t="s">
        <v>2376</v>
      </c>
      <c r="I585" s="3066" t="s">
        <v>121</v>
      </c>
      <c r="J585" s="1298" t="s">
        <v>1230</v>
      </c>
      <c r="K585" s="1299"/>
      <c r="L585" s="3065" t="s">
        <v>121</v>
      </c>
      <c r="M585" s="1298" t="s">
        <v>1248</v>
      </c>
      <c r="N585" s="1298"/>
      <c r="O585" s="1299"/>
      <c r="P585" s="1299"/>
      <c r="Q585" s="1299"/>
      <c r="R585" s="1299"/>
      <c r="S585" s="1299"/>
      <c r="T585" s="1299"/>
      <c r="U585" s="1299"/>
      <c r="V585" s="1299"/>
      <c r="W585" s="1299"/>
      <c r="X585" s="1302"/>
      <c r="Y585" s="1295"/>
      <c r="Z585" s="1292"/>
      <c r="AA585" s="1292"/>
      <c r="AB585" s="1293"/>
      <c r="AC585" s="1295"/>
      <c r="AD585" s="1292"/>
      <c r="AE585" s="1292"/>
      <c r="AF585" s="1293"/>
      <c r="AI585" s="3056" t="str">
        <f>"27:jyakuninti_uke_code:" &amp; IF(I585="■",1,IF(L585="■",2,0))</f>
        <v>27:jyakuninti_uke_code:0</v>
      </c>
    </row>
    <row r="586" spans="1:37" s="3056" customFormat="1" ht="18.75" hidden="1" customHeight="1">
      <c r="A586" s="735"/>
      <c r="B586" s="1407"/>
      <c r="C586" s="1353" t="s">
        <v>2375</v>
      </c>
      <c r="D586" s="3069" t="s">
        <v>121</v>
      </c>
      <c r="E586" s="1275" t="s">
        <v>2374</v>
      </c>
      <c r="F586" s="1289"/>
      <c r="G586" s="1275"/>
      <c r="H586" s="1409" t="s">
        <v>1288</v>
      </c>
      <c r="I586" s="3066" t="s">
        <v>121</v>
      </c>
      <c r="J586" s="1298" t="s">
        <v>1230</v>
      </c>
      <c r="K586" s="1298"/>
      <c r="L586" s="3065" t="s">
        <v>121</v>
      </c>
      <c r="M586" s="1296" t="s">
        <v>1248</v>
      </c>
      <c r="N586" s="1298"/>
      <c r="O586" s="1298"/>
      <c r="P586" s="1298"/>
      <c r="Q586" s="1299"/>
      <c r="R586" s="1299"/>
      <c r="S586" s="1299"/>
      <c r="T586" s="1299"/>
      <c r="U586" s="1299"/>
      <c r="V586" s="1299"/>
      <c r="W586" s="1299"/>
      <c r="X586" s="1302"/>
      <c r="Y586" s="1295"/>
      <c r="Z586" s="1292"/>
      <c r="AA586" s="1292"/>
      <c r="AB586" s="1293"/>
      <c r="AC586" s="1295"/>
      <c r="AD586" s="1292"/>
      <c r="AE586" s="1292"/>
      <c r="AF586" s="1293"/>
      <c r="AI586" s="3056" t="str">
        <f>"27:field226:" &amp; IF(I586="■",1,IF(L586="■",2,0))</f>
        <v>27:field226:0</v>
      </c>
    </row>
    <row r="587" spans="1:37" s="3056" customFormat="1" ht="18.75" hidden="1" customHeight="1">
      <c r="A587" s="735"/>
      <c r="B587" s="1407"/>
      <c r="C587" s="1353"/>
      <c r="D587" s="3069" t="s">
        <v>121</v>
      </c>
      <c r="E587" s="1275" t="s">
        <v>2373</v>
      </c>
      <c r="F587" s="1289"/>
      <c r="G587" s="1275"/>
      <c r="H587" s="1409" t="s">
        <v>1289</v>
      </c>
      <c r="I587" s="3066" t="s">
        <v>121</v>
      </c>
      <c r="J587" s="1298" t="s">
        <v>1230</v>
      </c>
      <c r="K587" s="1298"/>
      <c r="L587" s="3065" t="s">
        <v>121</v>
      </c>
      <c r="M587" s="1296" t="s">
        <v>1248</v>
      </c>
      <c r="N587" s="1298"/>
      <c r="O587" s="1298"/>
      <c r="P587" s="1298"/>
      <c r="Q587" s="1299"/>
      <c r="R587" s="1299"/>
      <c r="S587" s="1299"/>
      <c r="T587" s="1299"/>
      <c r="U587" s="1299"/>
      <c r="V587" s="1299"/>
      <c r="W587" s="1299"/>
      <c r="X587" s="1302"/>
      <c r="Y587" s="1295"/>
      <c r="Z587" s="1292"/>
      <c r="AA587" s="1292"/>
      <c r="AB587" s="1293"/>
      <c r="AC587" s="1295"/>
      <c r="AD587" s="1292"/>
      <c r="AE587" s="1292"/>
      <c r="AF587" s="1293"/>
      <c r="AI587" s="3056" t="str">
        <f>"27:field227:" &amp; IF(I587="■",1,IF(L587="■",2,0))</f>
        <v>27:field227:0</v>
      </c>
    </row>
    <row r="588" spans="1:37" s="3056" customFormat="1" ht="18.75" hidden="1" customHeight="1">
      <c r="A588" s="735"/>
      <c r="B588" s="1407"/>
      <c r="C588" s="1353"/>
      <c r="D588" s="1288"/>
      <c r="E588" s="1275"/>
      <c r="F588" s="1289"/>
      <c r="G588" s="1305"/>
      <c r="H588" s="1313" t="s">
        <v>1265</v>
      </c>
      <c r="I588" s="3066" t="s">
        <v>121</v>
      </c>
      <c r="J588" s="1298" t="s">
        <v>1230</v>
      </c>
      <c r="K588" s="1298"/>
      <c r="L588" s="3065" t="s">
        <v>121</v>
      </c>
      <c r="M588" s="1298" t="s">
        <v>1256</v>
      </c>
      <c r="N588" s="1298"/>
      <c r="O588" s="3065" t="s">
        <v>121</v>
      </c>
      <c r="P588" s="1298" t="s">
        <v>1257</v>
      </c>
      <c r="Q588" s="1307"/>
      <c r="R588" s="1307"/>
      <c r="S588" s="1307"/>
      <c r="T588" s="1307"/>
      <c r="U588" s="1314"/>
      <c r="V588" s="1314"/>
      <c r="W588" s="1314"/>
      <c r="X588" s="1315"/>
      <c r="Y588" s="1295"/>
      <c r="Z588" s="1292"/>
      <c r="AA588" s="1292"/>
      <c r="AB588" s="1293"/>
      <c r="AC588" s="1295"/>
      <c r="AD588" s="1292"/>
      <c r="AE588" s="1292"/>
      <c r="AF588" s="1293"/>
      <c r="AI588" s="3056" t="str">
        <f>"27:field225:" &amp; IF(I588="■",1,IF(L588="■",2,IF(O588="■",3,0)))</f>
        <v>27:field225:0</v>
      </c>
    </row>
    <row r="589" spans="1:37" s="3056" customFormat="1" ht="18.75" hidden="1" customHeight="1">
      <c r="A589" s="735"/>
      <c r="B589" s="1407"/>
      <c r="C589" s="1353"/>
      <c r="D589" s="1288"/>
      <c r="E589" s="1275"/>
      <c r="F589" s="1289"/>
      <c r="G589" s="1305"/>
      <c r="H589" s="1312" t="s">
        <v>2372</v>
      </c>
      <c r="I589" s="3066" t="s">
        <v>121</v>
      </c>
      <c r="J589" s="1298" t="s">
        <v>1230</v>
      </c>
      <c r="K589" s="1298"/>
      <c r="L589" s="3065" t="s">
        <v>121</v>
      </c>
      <c r="M589" s="1298" t="s">
        <v>1267</v>
      </c>
      <c r="N589" s="1298"/>
      <c r="O589" s="3065" t="s">
        <v>121</v>
      </c>
      <c r="P589" s="1298" t="s">
        <v>1287</v>
      </c>
      <c r="Q589" s="1326"/>
      <c r="R589" s="3065" t="s">
        <v>121</v>
      </c>
      <c r="S589" s="1298" t="s">
        <v>1269</v>
      </c>
      <c r="T589" s="1298"/>
      <c r="U589" s="1298"/>
      <c r="V589" s="1298"/>
      <c r="W589" s="1298"/>
      <c r="X589" s="1310"/>
      <c r="Y589" s="1295"/>
      <c r="Z589" s="1292"/>
      <c r="AA589" s="1292"/>
      <c r="AB589" s="1293"/>
      <c r="AC589" s="1295"/>
      <c r="AD589" s="1292"/>
      <c r="AE589" s="1292"/>
      <c r="AF589" s="1293"/>
      <c r="AI589" s="3056" t="str">
        <f>"27:serteikyo_kyoka_code:" &amp; IF(I589="■",1,IF(L589="■",6,IF(O589="■",2,IF(R589="■",7,0))))</f>
        <v>27:serteikyo_kyoka_code:0</v>
      </c>
    </row>
    <row r="590" spans="1:37" s="3056" customFormat="1" ht="18.75" hidden="1" customHeight="1">
      <c r="A590" s="736"/>
      <c r="B590" s="1316"/>
      <c r="C590" s="1359"/>
      <c r="D590" s="1348"/>
      <c r="E590" s="1317"/>
      <c r="F590" s="1318"/>
      <c r="G590" s="1361"/>
      <c r="H590" s="3134" t="s">
        <v>2288</v>
      </c>
      <c r="I590" s="3060" t="s">
        <v>121</v>
      </c>
      <c r="J590" s="3130" t="s">
        <v>1230</v>
      </c>
      <c r="K590" s="3130"/>
      <c r="L590" s="3059" t="s">
        <v>121</v>
      </c>
      <c r="M590" s="3130" t="s">
        <v>2287</v>
      </c>
      <c r="N590" s="3133"/>
      <c r="O590" s="3059" t="s">
        <v>121</v>
      </c>
      <c r="P590" s="3132" t="s">
        <v>2286</v>
      </c>
      <c r="Q590" s="3131"/>
      <c r="R590" s="3059" t="s">
        <v>121</v>
      </c>
      <c r="S590" s="3130" t="s">
        <v>2285</v>
      </c>
      <c r="T590" s="3131"/>
      <c r="U590" s="3059" t="s">
        <v>121</v>
      </c>
      <c r="V590" s="3130" t="s">
        <v>2284</v>
      </c>
      <c r="W590" s="3129"/>
      <c r="X590" s="3128"/>
      <c r="Y590" s="1323"/>
      <c r="Z590" s="1323"/>
      <c r="AA590" s="1323"/>
      <c r="AB590" s="1324"/>
      <c r="AC590" s="1322"/>
      <c r="AD590" s="1323"/>
      <c r="AE590" s="1323"/>
      <c r="AF590" s="1324"/>
      <c r="AI590" s="3056" t="str">
        <f>"27:shoguukaizen_code:"&amp;IF(I590="■",1,IF(L590="■",7,IF(O590="■",8,IF(R590="■",9,IF(U590="■","A",0)))))</f>
        <v>27:shoguukaizen_code:0</v>
      </c>
    </row>
    <row r="591" spans="1:37" s="3056" customFormat="1" ht="19.5" hidden="1" customHeight="1">
      <c r="A591" s="735"/>
      <c r="B591" s="1407"/>
      <c r="C591" s="1303"/>
      <c r="D591" s="1304"/>
      <c r="E591" s="1275"/>
      <c r="F591" s="1289"/>
      <c r="G591" s="1305"/>
      <c r="H591" s="3190" t="s">
        <v>1246</v>
      </c>
      <c r="I591" s="3189" t="s">
        <v>121</v>
      </c>
      <c r="J591" s="3185" t="s">
        <v>1242</v>
      </c>
      <c r="K591" s="3188"/>
      <c r="L591" s="3187"/>
      <c r="M591" s="3186" t="s">
        <v>121</v>
      </c>
      <c r="N591" s="3185" t="s">
        <v>1245</v>
      </c>
      <c r="O591" s="3184"/>
      <c r="P591" s="3183"/>
      <c r="Q591" s="3182"/>
      <c r="R591" s="3182"/>
      <c r="S591" s="3182"/>
      <c r="T591" s="3182"/>
      <c r="U591" s="3182"/>
      <c r="V591" s="3182"/>
      <c r="W591" s="3182"/>
      <c r="X591" s="3181"/>
      <c r="Y591" s="3069" t="s">
        <v>121</v>
      </c>
      <c r="Z591" s="1273" t="s">
        <v>1229</v>
      </c>
      <c r="AA591" s="1292"/>
      <c r="AB591" s="1293"/>
      <c r="AC591" s="3180"/>
      <c r="AD591" s="3177"/>
      <c r="AE591" s="3177"/>
      <c r="AF591" s="3176"/>
      <c r="AG591" s="3056" t="str">
        <f>"ser_code = '" &amp; IF(A593="■",17,"") &amp; "'"</f>
        <v>ser_code = ''</v>
      </c>
      <c r="AI591" s="3056" t="str">
        <f>"17:field232:" &amp; IF(I591="■",1,IF(M591="■",2,0))</f>
        <v>17:field232:0</v>
      </c>
      <c r="AJ591" s="3056" t="str">
        <f>"17:field203:" &amp; IF(Y591="■",1,IF(Y592="■",2,0))</f>
        <v>17:field203:0</v>
      </c>
    </row>
    <row r="592" spans="1:37" s="3056" customFormat="1" ht="18.75" hidden="1" customHeight="1">
      <c r="A592" s="735"/>
      <c r="B592" s="1407"/>
      <c r="C592" s="1303"/>
      <c r="D592" s="1304"/>
      <c r="E592" s="1275"/>
      <c r="F592" s="1289"/>
      <c r="G592" s="1305"/>
      <c r="H592" s="1399" t="s">
        <v>2371</v>
      </c>
      <c r="I592" s="3063" t="s">
        <v>121</v>
      </c>
      <c r="J592" s="1296" t="s">
        <v>1230</v>
      </c>
      <c r="K592" s="1309"/>
      <c r="L592" s="3062" t="s">
        <v>121</v>
      </c>
      <c r="M592" s="1296" t="s">
        <v>1248</v>
      </c>
      <c r="N592" s="1309"/>
      <c r="O592" s="1309"/>
      <c r="P592" s="1309"/>
      <c r="Q592" s="1309"/>
      <c r="R592" s="1309"/>
      <c r="S592" s="1309"/>
      <c r="T592" s="1309"/>
      <c r="U592" s="1309"/>
      <c r="V592" s="1309"/>
      <c r="W592" s="1309"/>
      <c r="X592" s="3087"/>
      <c r="Y592" s="3069" t="s">
        <v>121</v>
      </c>
      <c r="Z592" s="1273" t="s">
        <v>1234</v>
      </c>
      <c r="AA592" s="1273"/>
      <c r="AB592" s="1293"/>
      <c r="AC592" s="3178"/>
      <c r="AD592" s="3177"/>
      <c r="AE592" s="3177"/>
      <c r="AF592" s="3176"/>
      <c r="AI592" s="3056" t="str">
        <f>"17:tokutiiki_code:" &amp; IF(I592="■",1,IF(L592="■",2,0))</f>
        <v>17:tokutiiki_code:0</v>
      </c>
    </row>
    <row r="593" spans="1:37" s="3056" customFormat="1" ht="18.75" hidden="1" customHeight="1">
      <c r="A593" s="3069" t="s">
        <v>121</v>
      </c>
      <c r="B593" s="1407">
        <v>17</v>
      </c>
      <c r="C593" s="1303" t="s">
        <v>5</v>
      </c>
      <c r="D593" s="1304"/>
      <c r="E593" s="1275"/>
      <c r="F593" s="1289"/>
      <c r="G593" s="1305"/>
      <c r="H593" s="1539" t="s">
        <v>1342</v>
      </c>
      <c r="I593" s="3086" t="s">
        <v>121</v>
      </c>
      <c r="J593" s="1528" t="s">
        <v>1343</v>
      </c>
      <c r="K593" s="1528"/>
      <c r="L593" s="1528"/>
      <c r="M593" s="3086" t="s">
        <v>121</v>
      </c>
      <c r="N593" s="1528" t="s">
        <v>1344</v>
      </c>
      <c r="O593" s="1528"/>
      <c r="P593" s="1528"/>
      <c r="Q593" s="1314"/>
      <c r="R593" s="1314"/>
      <c r="S593" s="1314"/>
      <c r="T593" s="1314"/>
      <c r="U593" s="1314"/>
      <c r="V593" s="1314"/>
      <c r="W593" s="1314"/>
      <c r="X593" s="1315"/>
      <c r="Y593" s="1295"/>
      <c r="Z593" s="1273"/>
      <c r="AA593" s="1292"/>
      <c r="AB593" s="1293"/>
      <c r="AC593" s="3178"/>
      <c r="AD593" s="3177"/>
      <c r="AE593" s="3177"/>
      <c r="AF593" s="3176"/>
      <c r="AI593" s="3056" t="str">
        <f>"17:chuusankanti_tiiki_code:" &amp; IF(I593="■",1,IF(M593="■",2,0))</f>
        <v>17:chuusankanti_tiiki_code:0</v>
      </c>
    </row>
    <row r="594" spans="1:37" s="3056" customFormat="1" ht="18.75" hidden="1" customHeight="1">
      <c r="A594" s="735"/>
      <c r="B594" s="1407"/>
      <c r="C594" s="1303"/>
      <c r="D594" s="1304"/>
      <c r="E594" s="1275"/>
      <c r="F594" s="1289"/>
      <c r="G594" s="1305"/>
      <c r="H594" s="1540"/>
      <c r="I594" s="3070"/>
      <c r="J594" s="1529"/>
      <c r="K594" s="1529"/>
      <c r="L594" s="1529"/>
      <c r="M594" s="3070"/>
      <c r="N594" s="1529"/>
      <c r="O594" s="1529"/>
      <c r="P594" s="1529"/>
      <c r="Q594" s="1309"/>
      <c r="R594" s="1309"/>
      <c r="S594" s="1309"/>
      <c r="T594" s="1309"/>
      <c r="U594" s="1309"/>
      <c r="V594" s="1309"/>
      <c r="W594" s="1309"/>
      <c r="X594" s="3087"/>
      <c r="Y594" s="1295"/>
      <c r="Z594" s="1292"/>
      <c r="AA594" s="1292"/>
      <c r="AB594" s="1293"/>
      <c r="AC594" s="3178"/>
      <c r="AD594" s="3177"/>
      <c r="AE594" s="3177"/>
      <c r="AF594" s="3176"/>
    </row>
    <row r="595" spans="1:37" s="3056" customFormat="1" ht="18.75" hidden="1" customHeight="1">
      <c r="A595" s="735"/>
      <c r="B595" s="1407"/>
      <c r="C595" s="1303"/>
      <c r="D595" s="1304"/>
      <c r="E595" s="1275"/>
      <c r="F595" s="1289"/>
      <c r="G595" s="1305"/>
      <c r="H595" s="1539" t="s">
        <v>1345</v>
      </c>
      <c r="I595" s="3179" t="s">
        <v>121</v>
      </c>
      <c r="J595" s="1528" t="s">
        <v>1343</v>
      </c>
      <c r="K595" s="1528"/>
      <c r="L595" s="1528"/>
      <c r="M595" s="3086" t="s">
        <v>121</v>
      </c>
      <c r="N595" s="1528" t="s">
        <v>1344</v>
      </c>
      <c r="O595" s="1528"/>
      <c r="P595" s="1528"/>
      <c r="Q595" s="1314"/>
      <c r="R595" s="1314"/>
      <c r="S595" s="1314"/>
      <c r="T595" s="1314"/>
      <c r="U595" s="1314"/>
      <c r="V595" s="1314"/>
      <c r="W595" s="1314"/>
      <c r="X595" s="1315"/>
      <c r="Y595" s="1295"/>
      <c r="Z595" s="1292"/>
      <c r="AA595" s="1292"/>
      <c r="AB595" s="1293"/>
      <c r="AC595" s="3178"/>
      <c r="AD595" s="3177"/>
      <c r="AE595" s="3177"/>
      <c r="AF595" s="3176"/>
      <c r="AI595" s="3056" t="str">
        <f>"17:chuusankanti_kibo_code:" &amp; IF(I595="■",1,IF(M595="■",2,0))</f>
        <v>17:chuusankanti_kibo_code:0</v>
      </c>
    </row>
    <row r="596" spans="1:37" s="3056" customFormat="1" ht="18.75" hidden="1" customHeight="1">
      <c r="A596" s="736"/>
      <c r="B596" s="1316"/>
      <c r="C596" s="1346"/>
      <c r="D596" s="1348"/>
      <c r="E596" s="1317"/>
      <c r="F596" s="1318"/>
      <c r="G596" s="1361"/>
      <c r="H596" s="3175"/>
      <c r="I596" s="3174"/>
      <c r="J596" s="3159"/>
      <c r="K596" s="3159"/>
      <c r="L596" s="3159"/>
      <c r="M596" s="3173"/>
      <c r="N596" s="3159"/>
      <c r="O596" s="3159"/>
      <c r="P596" s="3159"/>
      <c r="Q596" s="3076"/>
      <c r="R596" s="3076"/>
      <c r="S596" s="3076"/>
      <c r="T596" s="3076"/>
      <c r="U596" s="3076"/>
      <c r="V596" s="3076"/>
      <c r="W596" s="3076"/>
      <c r="X596" s="3061"/>
      <c r="Y596" s="1322"/>
      <c r="Z596" s="1323"/>
      <c r="AA596" s="1323"/>
      <c r="AB596" s="1324"/>
      <c r="AC596" s="3172"/>
      <c r="AD596" s="3171"/>
      <c r="AE596" s="3171"/>
      <c r="AF596" s="3170"/>
    </row>
    <row r="597" spans="1:37" s="3056" customFormat="1" ht="18.75" hidden="1" customHeight="1">
      <c r="A597" s="1276"/>
      <c r="B597" s="1405"/>
      <c r="C597" s="1333"/>
      <c r="D597" s="1335"/>
      <c r="E597" s="1272"/>
      <c r="F597" s="3169"/>
      <c r="G597" s="1351"/>
      <c r="H597" s="3168" t="s">
        <v>2370</v>
      </c>
      <c r="I597" s="3167" t="s">
        <v>121</v>
      </c>
      <c r="J597" s="3165" t="s">
        <v>1230</v>
      </c>
      <c r="K597" s="3165"/>
      <c r="L597" s="3166" t="s">
        <v>121</v>
      </c>
      <c r="M597" s="3165" t="s">
        <v>1248</v>
      </c>
      <c r="N597" s="3165"/>
      <c r="O597" s="3165"/>
      <c r="P597" s="3139"/>
      <c r="Q597" s="3139"/>
      <c r="R597" s="3139"/>
      <c r="S597" s="3139"/>
      <c r="T597" s="3139"/>
      <c r="U597" s="3139"/>
      <c r="V597" s="3139"/>
      <c r="W597" s="3139"/>
      <c r="X597" s="3164"/>
      <c r="Y597" s="3119" t="s">
        <v>121</v>
      </c>
      <c r="Z597" s="1270" t="s">
        <v>1229</v>
      </c>
      <c r="AA597" s="1270"/>
      <c r="AB597" s="1286"/>
      <c r="AC597" s="1543"/>
      <c r="AD597" s="1543"/>
      <c r="AE597" s="1543"/>
      <c r="AF597" s="1543"/>
      <c r="AG597" s="3056" t="str">
        <f>"ser_code = '" &amp; IF(A602="■",43,"") &amp; "'"</f>
        <v>ser_code = ''</v>
      </c>
      <c r="AI597" s="3056" t="str">
        <f>"43:field213:" &amp; IF(I597="■",1,IF(L597="■",2,0))</f>
        <v>43:field213:0</v>
      </c>
      <c r="AJ597" s="3056" t="str">
        <f>"43:field203:" &amp; IF(Y597="■",1,IF(Y598="■",2,0))</f>
        <v>43:field203:0</v>
      </c>
    </row>
    <row r="598" spans="1:37" s="3056" customFormat="1" ht="18.75" hidden="1" customHeight="1">
      <c r="A598" s="735"/>
      <c r="B598" s="1407"/>
      <c r="C598" s="1303"/>
      <c r="D598" s="1304"/>
      <c r="E598" s="1275"/>
      <c r="F598" s="3158"/>
      <c r="G598" s="1305"/>
      <c r="H598" s="1564"/>
      <c r="I598" s="3083"/>
      <c r="J598" s="1559"/>
      <c r="K598" s="1559"/>
      <c r="L598" s="3082"/>
      <c r="M598" s="1559"/>
      <c r="N598" s="1559"/>
      <c r="O598" s="1559"/>
      <c r="P598" s="3163"/>
      <c r="Q598" s="3163"/>
      <c r="R598" s="3163"/>
      <c r="S598" s="3163"/>
      <c r="T598" s="3163"/>
      <c r="U598" s="3163"/>
      <c r="V598" s="3163"/>
      <c r="W598" s="3163"/>
      <c r="X598" s="3064"/>
      <c r="Y598" s="3069" t="s">
        <v>121</v>
      </c>
      <c r="Z598" s="1273" t="s">
        <v>1234</v>
      </c>
      <c r="AA598" s="1273"/>
      <c r="AB598" s="1293"/>
      <c r="AC598" s="1562"/>
      <c r="AD598" s="1562"/>
      <c r="AE598" s="1562"/>
      <c r="AF598" s="1562"/>
    </row>
    <row r="599" spans="1:37" s="3056" customFormat="1" ht="18.75" hidden="1" customHeight="1">
      <c r="A599" s="735"/>
      <c r="B599" s="1407"/>
      <c r="C599" s="1303"/>
      <c r="D599" s="1304"/>
      <c r="E599" s="1275"/>
      <c r="F599" s="3158"/>
      <c r="G599" s="3064"/>
      <c r="H599" s="1409" t="s">
        <v>2265</v>
      </c>
      <c r="I599" s="3066" t="s">
        <v>121</v>
      </c>
      <c r="J599" s="1298" t="s">
        <v>1230</v>
      </c>
      <c r="K599" s="1299"/>
      <c r="L599" s="3065" t="s">
        <v>121</v>
      </c>
      <c r="M599" s="1298" t="s">
        <v>1248</v>
      </c>
      <c r="N599" s="1299"/>
      <c r="O599" s="1299"/>
      <c r="P599" s="1299"/>
      <c r="Q599" s="1299"/>
      <c r="R599" s="1299"/>
      <c r="S599" s="1299"/>
      <c r="T599" s="1299"/>
      <c r="U599" s="1299"/>
      <c r="V599" s="1299"/>
      <c r="W599" s="1299"/>
      <c r="X599" s="1302"/>
      <c r="Y599" s="1292"/>
      <c r="Z599" s="1273"/>
      <c r="AA599" s="1292"/>
      <c r="AB599" s="1293"/>
      <c r="AC599" s="1544"/>
      <c r="AD599" s="1544"/>
      <c r="AE599" s="1544"/>
      <c r="AF599" s="1544"/>
      <c r="AI599" s="3056" t="str">
        <f>"43:tokutiiki_code:" &amp; IF(I599="■",1,IF(L599="■",2,0))</f>
        <v>43:tokutiiki_code:0</v>
      </c>
    </row>
    <row r="600" spans="1:37" s="3056" customFormat="1" ht="18.75" hidden="1" customHeight="1">
      <c r="A600" s="735"/>
      <c r="B600" s="1407"/>
      <c r="C600" s="1303"/>
      <c r="D600" s="1304"/>
      <c r="E600" s="1275"/>
      <c r="F600" s="3158"/>
      <c r="G600" s="3064"/>
      <c r="H600" s="1539" t="s">
        <v>1342</v>
      </c>
      <c r="I600" s="3086" t="s">
        <v>121</v>
      </c>
      <c r="J600" s="1528" t="s">
        <v>1343</v>
      </c>
      <c r="K600" s="1528"/>
      <c r="L600" s="1528"/>
      <c r="M600" s="3086" t="s">
        <v>121</v>
      </c>
      <c r="N600" s="1528" t="s">
        <v>1344</v>
      </c>
      <c r="O600" s="1528"/>
      <c r="P600" s="1528"/>
      <c r="Q600" s="1314"/>
      <c r="R600" s="1314"/>
      <c r="S600" s="1314"/>
      <c r="T600" s="1314"/>
      <c r="U600" s="1314"/>
      <c r="V600" s="1314"/>
      <c r="W600" s="1314"/>
      <c r="X600" s="1315"/>
      <c r="Y600" s="1292"/>
      <c r="Z600" s="1273"/>
      <c r="AA600" s="1292"/>
      <c r="AB600" s="1293"/>
      <c r="AC600" s="1544"/>
      <c r="AD600" s="1544"/>
      <c r="AE600" s="1544"/>
      <c r="AF600" s="1544"/>
      <c r="AI600" s="3056" t="str">
        <f>"43:chuusankanti_tiiki_code:" &amp; IF(I600="■",1,IF(M600="■",2,0))</f>
        <v>43:chuusankanti_tiiki_code:0</v>
      </c>
    </row>
    <row r="601" spans="1:37" s="3056" customFormat="1" ht="18.75" hidden="1" customHeight="1">
      <c r="A601" s="735"/>
      <c r="B601" s="1407"/>
      <c r="C601" s="1303"/>
      <c r="D601" s="1304"/>
      <c r="E601" s="1275"/>
      <c r="F601" s="3158"/>
      <c r="G601" s="3064"/>
      <c r="H601" s="1540"/>
      <c r="I601" s="3070"/>
      <c r="J601" s="1529"/>
      <c r="K601" s="1529"/>
      <c r="L601" s="1529"/>
      <c r="M601" s="3070"/>
      <c r="N601" s="1529"/>
      <c r="O601" s="1529"/>
      <c r="P601" s="1529"/>
      <c r="Q601" s="1309"/>
      <c r="R601" s="1309"/>
      <c r="S601" s="1309"/>
      <c r="T601" s="1309"/>
      <c r="U601" s="1309"/>
      <c r="V601" s="1309"/>
      <c r="W601" s="1309"/>
      <c r="X601" s="3087"/>
      <c r="Y601" s="1295"/>
      <c r="Z601" s="1292"/>
      <c r="AA601" s="1292"/>
      <c r="AB601" s="1293"/>
      <c r="AC601" s="1544"/>
      <c r="AD601" s="1544"/>
      <c r="AE601" s="1544"/>
      <c r="AF601" s="1544"/>
    </row>
    <row r="602" spans="1:37" s="3056" customFormat="1" ht="18.75" hidden="1" customHeight="1">
      <c r="A602" s="3069" t="s">
        <v>121</v>
      </c>
      <c r="B602" s="1407">
        <v>43</v>
      </c>
      <c r="C602" s="1303" t="s">
        <v>2369</v>
      </c>
      <c r="D602" s="1304"/>
      <c r="E602" s="1275"/>
      <c r="F602" s="3158"/>
      <c r="G602" s="3064"/>
      <c r="H602" s="1539" t="s">
        <v>1345</v>
      </c>
      <c r="I602" s="3162" t="s">
        <v>121</v>
      </c>
      <c r="J602" s="3161" t="s">
        <v>1343</v>
      </c>
      <c r="K602" s="3161"/>
      <c r="L602" s="3161"/>
      <c r="M602" s="3160" t="s">
        <v>121</v>
      </c>
      <c r="N602" s="1528" t="s">
        <v>1344</v>
      </c>
      <c r="O602" s="1528"/>
      <c r="P602" s="1528"/>
      <c r="Q602" s="1314"/>
      <c r="R602" s="1314"/>
      <c r="S602" s="1314"/>
      <c r="T602" s="1314"/>
      <c r="U602" s="1314"/>
      <c r="V602" s="1314"/>
      <c r="W602" s="1314"/>
      <c r="X602" s="1315"/>
      <c r="Y602" s="1295"/>
      <c r="Z602" s="1292"/>
      <c r="AA602" s="1292"/>
      <c r="AB602" s="1293"/>
      <c r="AC602" s="1544"/>
      <c r="AD602" s="1544"/>
      <c r="AE602" s="1544"/>
      <c r="AF602" s="1544"/>
      <c r="AI602" s="3056" t="str">
        <f>"43:chuusankanti_kibo_code:" &amp; IF(I602="■",1,IF(M602="■",2,0))</f>
        <v>43:chuusankanti_kibo_code:0</v>
      </c>
    </row>
    <row r="603" spans="1:37" s="3056" customFormat="1" ht="18.75" hidden="1" customHeight="1">
      <c r="A603" s="735"/>
      <c r="B603" s="1407"/>
      <c r="C603" s="1303"/>
      <c r="D603" s="1304"/>
      <c r="E603" s="1275"/>
      <c r="F603" s="3158"/>
      <c r="G603" s="3064"/>
      <c r="H603" s="1540"/>
      <c r="I603" s="3162"/>
      <c r="J603" s="3161"/>
      <c r="K603" s="3161"/>
      <c r="L603" s="3161"/>
      <c r="M603" s="3160"/>
      <c r="N603" s="3159"/>
      <c r="O603" s="3159"/>
      <c r="P603" s="3159"/>
      <c r="Q603" s="1309"/>
      <c r="R603" s="1309"/>
      <c r="S603" s="1309"/>
      <c r="T603" s="1309"/>
      <c r="U603" s="1309"/>
      <c r="V603" s="1309"/>
      <c r="W603" s="1309"/>
      <c r="X603" s="3087"/>
      <c r="Y603" s="1295"/>
      <c r="Z603" s="1292"/>
      <c r="AA603" s="1292"/>
      <c r="AB603" s="1293"/>
      <c r="AC603" s="1544"/>
      <c r="AD603" s="1544"/>
      <c r="AE603" s="1544"/>
      <c r="AF603" s="1544"/>
    </row>
    <row r="604" spans="1:37" s="3056" customFormat="1" ht="18.75" hidden="1" customHeight="1">
      <c r="A604" s="735"/>
      <c r="B604" s="1407"/>
      <c r="C604" s="1303"/>
      <c r="D604" s="1304"/>
      <c r="E604" s="1275"/>
      <c r="F604" s="3158"/>
      <c r="G604" s="3064"/>
      <c r="H604" s="1409" t="s">
        <v>2368</v>
      </c>
      <c r="I604" s="3066" t="s">
        <v>121</v>
      </c>
      <c r="J604" s="1298" t="s">
        <v>1230</v>
      </c>
      <c r="K604" s="1299"/>
      <c r="L604" s="3065" t="s">
        <v>121</v>
      </c>
      <c r="M604" s="1298" t="s">
        <v>1248</v>
      </c>
      <c r="N604" s="1299"/>
      <c r="O604" s="1299"/>
      <c r="P604" s="1299"/>
      <c r="Q604" s="1299"/>
      <c r="R604" s="1299"/>
      <c r="S604" s="1299"/>
      <c r="T604" s="1299"/>
      <c r="U604" s="1299"/>
      <c r="V604" s="1299"/>
      <c r="W604" s="1299"/>
      <c r="X604" s="1302"/>
      <c r="Y604" s="1295"/>
      <c r="Z604" s="1292"/>
      <c r="AA604" s="1292"/>
      <c r="AB604" s="1293"/>
      <c r="AC604" s="1544"/>
      <c r="AD604" s="1544"/>
      <c r="AE604" s="1544"/>
      <c r="AF604" s="1544"/>
      <c r="AI604" s="3056" t="str">
        <f>"43:field162:" &amp; IF(I604="■",1,IF(L604="■",2,0))</f>
        <v>43:field162:0</v>
      </c>
    </row>
    <row r="605" spans="1:37" s="3056" customFormat="1" ht="18.75" hidden="1" customHeight="1">
      <c r="A605" s="735"/>
      <c r="B605" s="1407"/>
      <c r="C605" s="1303"/>
      <c r="D605" s="1304"/>
      <c r="E605" s="1275"/>
      <c r="F605" s="3158"/>
      <c r="G605" s="3064"/>
      <c r="H605" s="1409" t="s">
        <v>2367</v>
      </c>
      <c r="I605" s="3066" t="s">
        <v>121</v>
      </c>
      <c r="J605" s="1298" t="s">
        <v>1230</v>
      </c>
      <c r="K605" s="1298"/>
      <c r="L605" s="3065" t="s">
        <v>121</v>
      </c>
      <c r="M605" s="1298" t="s">
        <v>1256</v>
      </c>
      <c r="N605" s="1298"/>
      <c r="O605" s="3065" t="s">
        <v>121</v>
      </c>
      <c r="P605" s="1298" t="s">
        <v>1257</v>
      </c>
      <c r="Q605" s="1326"/>
      <c r="R605" s="3065" t="s">
        <v>121</v>
      </c>
      <c r="S605" s="1298" t="s">
        <v>2366</v>
      </c>
      <c r="T605" s="1299"/>
      <c r="U605" s="3065" t="s">
        <v>121</v>
      </c>
      <c r="V605" s="1298" t="s">
        <v>2365</v>
      </c>
      <c r="W605" s="1299"/>
      <c r="X605" s="1302"/>
      <c r="Y605" s="1295"/>
      <c r="Z605" s="1292"/>
      <c r="AA605" s="1292"/>
      <c r="AB605" s="1293"/>
      <c r="AC605" s="1544"/>
      <c r="AD605" s="1544"/>
      <c r="AE605" s="1544"/>
      <c r="AF605" s="1544"/>
      <c r="AI605" s="3056" t="str">
        <f>"43:tokuseibi_code:" &amp; IF(I605="■",1,IF(L605="■",2,IF(O605="■",3,IF(R605="■",4,IF(U605="■",5,0)))))</f>
        <v>43:tokuseibi_code:0</v>
      </c>
    </row>
    <row r="606" spans="1:37" s="3056" customFormat="1" ht="18.75" hidden="1" customHeight="1">
      <c r="A606" s="735"/>
      <c r="B606" s="1407"/>
      <c r="C606" s="1303"/>
      <c r="D606" s="1304"/>
      <c r="E606" s="1275"/>
      <c r="F606" s="3158"/>
      <c r="G606" s="3064"/>
      <c r="H606" s="1410" t="s">
        <v>2364</v>
      </c>
      <c r="I606" s="3066" t="s">
        <v>121</v>
      </c>
      <c r="J606" s="1298" t="s">
        <v>1230</v>
      </c>
      <c r="K606" s="1299"/>
      <c r="L606" s="3065" t="s">
        <v>121</v>
      </c>
      <c r="M606" s="1298" t="s">
        <v>1248</v>
      </c>
      <c r="N606" s="1299"/>
      <c r="O606" s="1299"/>
      <c r="P606" s="1299"/>
      <c r="Q606" s="1299"/>
      <c r="R606" s="1299"/>
      <c r="S606" s="1299"/>
      <c r="T606" s="1299"/>
      <c r="U606" s="1299"/>
      <c r="V606" s="1299"/>
      <c r="W606" s="1299"/>
      <c r="X606" s="1302"/>
      <c r="Y606" s="1295"/>
      <c r="Z606" s="1292"/>
      <c r="AA606" s="1292"/>
      <c r="AB606" s="1293"/>
      <c r="AC606" s="1544"/>
      <c r="AD606" s="1544"/>
      <c r="AE606" s="1544"/>
      <c r="AF606" s="1544"/>
      <c r="AI606" s="3056" t="str">
        <f>"43:field192:" &amp; IF(I606="■",1,IF(L606="■",2,0))</f>
        <v>43:field192:0</v>
      </c>
    </row>
    <row r="607" spans="1:37" s="3056" customFormat="1" ht="18.75" hidden="1" customHeight="1">
      <c r="A607" s="736"/>
      <c r="B607" s="1316"/>
      <c r="C607" s="1346"/>
      <c r="D607" s="1348"/>
      <c r="E607" s="1317"/>
      <c r="F607" s="3157"/>
      <c r="G607" s="3061"/>
      <c r="H607" s="1319" t="s">
        <v>2363</v>
      </c>
      <c r="I607" s="3060" t="s">
        <v>121</v>
      </c>
      <c r="J607" s="1320" t="s">
        <v>1230</v>
      </c>
      <c r="K607" s="1373"/>
      <c r="L607" s="3059" t="s">
        <v>121</v>
      </c>
      <c r="M607" s="1320" t="s">
        <v>1248</v>
      </c>
      <c r="N607" s="1373"/>
      <c r="O607" s="1373"/>
      <c r="P607" s="1373"/>
      <c r="Q607" s="1373"/>
      <c r="R607" s="1373"/>
      <c r="S607" s="1373"/>
      <c r="T607" s="1373"/>
      <c r="U607" s="1373"/>
      <c r="V607" s="1373"/>
      <c r="W607" s="1373"/>
      <c r="X607" s="3156"/>
      <c r="Y607" s="1322"/>
      <c r="Z607" s="1323"/>
      <c r="AA607" s="1323"/>
      <c r="AB607" s="1324"/>
      <c r="AC607" s="1558"/>
      <c r="AD607" s="1558"/>
      <c r="AE607" s="1558"/>
      <c r="AF607" s="1558"/>
      <c r="AI607" s="3056" t="str">
        <f>"43:field166:" &amp; IF(I607="■",1,IF(L607="■",2,0))</f>
        <v>43:field166:0</v>
      </c>
    </row>
    <row r="608" spans="1:37" s="3056" customFormat="1" ht="18.75" hidden="1" customHeight="1">
      <c r="A608" s="1276"/>
      <c r="B608" s="1405"/>
      <c r="C608" s="1277"/>
      <c r="D608" s="1278"/>
      <c r="E608" s="1272"/>
      <c r="F608" s="1279"/>
      <c r="G608" s="1351"/>
      <c r="H608" s="1408" t="s">
        <v>1226</v>
      </c>
      <c r="I608" s="3074" t="s">
        <v>121</v>
      </c>
      <c r="J608" s="1280" t="s">
        <v>1227</v>
      </c>
      <c r="K608" s="1281"/>
      <c r="L608" s="1282"/>
      <c r="M608" s="3073" t="s">
        <v>121</v>
      </c>
      <c r="N608" s="1280" t="s">
        <v>1228</v>
      </c>
      <c r="O608" s="1284"/>
      <c r="P608" s="1281"/>
      <c r="Q608" s="1281"/>
      <c r="R608" s="1281"/>
      <c r="S608" s="1281"/>
      <c r="T608" s="1281"/>
      <c r="U608" s="1281"/>
      <c r="V608" s="1281"/>
      <c r="W608" s="1281"/>
      <c r="X608" s="1285"/>
      <c r="Y608" s="3119" t="s">
        <v>121</v>
      </c>
      <c r="Z608" s="1270" t="s">
        <v>1229</v>
      </c>
      <c r="AA608" s="1270"/>
      <c r="AB608" s="1286"/>
      <c r="AC608" s="3119" t="s">
        <v>121</v>
      </c>
      <c r="AD608" s="1270" t="s">
        <v>1229</v>
      </c>
      <c r="AE608" s="1270"/>
      <c r="AF608" s="1286"/>
      <c r="AG608" s="3056" t="str">
        <f>"ser_code = '" &amp; IF(A624="■",51,"") &amp; "'"</f>
        <v>ser_code = ''</v>
      </c>
      <c r="AI608" s="3056" t="str">
        <f>"51:yakan_kinmu_code:" &amp; IF(I608="■",1,IF(M608="■",6,0))</f>
        <v>51:yakan_kinmu_code:0</v>
      </c>
      <c r="AJ608" s="3056" t="str">
        <f>"51:field203:" &amp; IF(Y608="■",1,IF(Y609="■",2,0))</f>
        <v>51:field203:0</v>
      </c>
      <c r="AK608" s="3056" t="str">
        <f>"51:waribiki_code:" &amp; IF(AC608="■",1,IF(AC609="■",2,0))</f>
        <v>51:waribiki_code:0</v>
      </c>
    </row>
    <row r="609" spans="1:35" s="3056" customFormat="1" ht="18.75" hidden="1" customHeight="1">
      <c r="A609" s="735"/>
      <c r="B609" s="1407"/>
      <c r="C609" s="1287"/>
      <c r="D609" s="1288"/>
      <c r="E609" s="1275"/>
      <c r="F609" s="1289"/>
      <c r="G609" s="1305"/>
      <c r="H609" s="1409" t="s">
        <v>90</v>
      </c>
      <c r="I609" s="3066" t="s">
        <v>121</v>
      </c>
      <c r="J609" s="1298" t="s">
        <v>1230</v>
      </c>
      <c r="K609" s="1298"/>
      <c r="L609" s="3065" t="s">
        <v>121</v>
      </c>
      <c r="M609" s="1298" t="s">
        <v>2262</v>
      </c>
      <c r="N609" s="1298"/>
      <c r="O609" s="1298"/>
      <c r="P609" s="3065" t="s">
        <v>121</v>
      </c>
      <c r="Q609" s="1326" t="s">
        <v>2261</v>
      </c>
      <c r="R609" s="1326"/>
      <c r="S609" s="1326"/>
      <c r="T609" s="3065" t="s">
        <v>121</v>
      </c>
      <c r="U609" s="1326" t="s">
        <v>2362</v>
      </c>
      <c r="V609" s="1326"/>
      <c r="W609" s="1299"/>
      <c r="X609" s="1302"/>
      <c r="Y609" s="3069" t="s">
        <v>121</v>
      </c>
      <c r="Z609" s="1273" t="s">
        <v>1234</v>
      </c>
      <c r="AA609" s="1292"/>
      <c r="AB609" s="1293"/>
      <c r="AC609" s="3069" t="s">
        <v>121</v>
      </c>
      <c r="AD609" s="1273" t="s">
        <v>1234</v>
      </c>
      <c r="AE609" s="1292"/>
      <c r="AF609" s="1293"/>
      <c r="AG609" s="3056" t="str">
        <f>"51:sisetukbn_code:" &amp; IF(D623="■",1,IF(D624="■",2,IF(D625="■",3,IF(D626="■",4,0))))</f>
        <v>51:sisetukbn_code:0</v>
      </c>
      <c r="AI609" s="3056" t="str">
        <f>"51:"&amp;IF(AND(I609="□",L609="□",P609="□",T609="□"),"ketu_kangos_code:0",IF(I609="■","ketu_kangos_code:1:ketu_kshoku_code:1:ketu_ksiensou_code=1",IF(L609="■","ketu_kangos_code:2","ketu_kangos_code:1")
&amp;IF(P609="■",":ketu_kshoku_code:2",":ketu_kshoku_code:1")
&amp;IF(T609="■",":ketu_ksiensou_code:2",":ketu_ksiensou_code:1")))</f>
        <v>51:ketu_kangos_code:0</v>
      </c>
    </row>
    <row r="610" spans="1:35" s="3056" customFormat="1" ht="18.75" hidden="1" customHeight="1">
      <c r="A610" s="735"/>
      <c r="B610" s="1407"/>
      <c r="C610" s="1287"/>
      <c r="D610" s="1288"/>
      <c r="E610" s="1275"/>
      <c r="F610" s="1289"/>
      <c r="G610" s="1305"/>
      <c r="H610" s="1409" t="s">
        <v>91</v>
      </c>
      <c r="I610" s="3066" t="s">
        <v>121</v>
      </c>
      <c r="J610" s="1298" t="s">
        <v>1239</v>
      </c>
      <c r="K610" s="1299"/>
      <c r="L610" s="1300"/>
      <c r="M610" s="3065" t="s">
        <v>121</v>
      </c>
      <c r="N610" s="1298" t="s">
        <v>1240</v>
      </c>
      <c r="O610" s="1299"/>
      <c r="P610" s="1299"/>
      <c r="Q610" s="1299"/>
      <c r="R610" s="1299"/>
      <c r="S610" s="1299"/>
      <c r="T610" s="1299"/>
      <c r="U610" s="1299"/>
      <c r="V610" s="1299"/>
      <c r="W610" s="1299"/>
      <c r="X610" s="1302"/>
      <c r="Y610" s="1295"/>
      <c r="Z610" s="1292"/>
      <c r="AA610" s="1292"/>
      <c r="AB610" s="1293"/>
      <c r="AC610" s="1295"/>
      <c r="AD610" s="1292"/>
      <c r="AE610" s="1292"/>
      <c r="AF610" s="1293"/>
      <c r="AI610" s="3056" t="str">
        <f>"51:unitcare_code:" &amp; IF(I610="■",1,IF(M610="■",2,0))</f>
        <v>51:unitcare_code:0</v>
      </c>
    </row>
    <row r="611" spans="1:35" s="3056" customFormat="1" ht="18.75" hidden="1" customHeight="1">
      <c r="A611" s="735"/>
      <c r="B611" s="1407"/>
      <c r="C611" s="1287"/>
      <c r="D611" s="1288"/>
      <c r="E611" s="1275"/>
      <c r="F611" s="1289"/>
      <c r="G611" s="1305"/>
      <c r="H611" s="1409" t="s">
        <v>1241</v>
      </c>
      <c r="I611" s="3066" t="s">
        <v>121</v>
      </c>
      <c r="J611" s="1298" t="s">
        <v>1242</v>
      </c>
      <c r="K611" s="1299"/>
      <c r="L611" s="1300"/>
      <c r="M611" s="3065" t="s">
        <v>121</v>
      </c>
      <c r="N611" s="1298" t="s">
        <v>1243</v>
      </c>
      <c r="O611" s="1299"/>
      <c r="P611" s="1299"/>
      <c r="Q611" s="1299"/>
      <c r="R611" s="1299"/>
      <c r="S611" s="1299"/>
      <c r="T611" s="1299"/>
      <c r="U611" s="1299"/>
      <c r="V611" s="1299"/>
      <c r="W611" s="1299"/>
      <c r="X611" s="1302"/>
      <c r="Y611" s="1295"/>
      <c r="Z611" s="1292"/>
      <c r="AA611" s="1292"/>
      <c r="AB611" s="1293"/>
      <c r="AC611" s="1295"/>
      <c r="AD611" s="1292"/>
      <c r="AE611" s="1292"/>
      <c r="AF611" s="1293"/>
      <c r="AI611" s="3056" t="str">
        <f>"51:sintaikousoku_code:" &amp; IF(I611="■",1,IF(M611="■",2,0))</f>
        <v>51:sintaikousoku_code:0</v>
      </c>
    </row>
    <row r="612" spans="1:35" s="3056" customFormat="1" ht="18.75" hidden="1" customHeight="1">
      <c r="A612" s="735"/>
      <c r="B612" s="1407"/>
      <c r="C612" s="1287"/>
      <c r="D612" s="1288"/>
      <c r="E612" s="1275"/>
      <c r="F612" s="1289"/>
      <c r="G612" s="1305"/>
      <c r="H612" s="1409" t="s">
        <v>753</v>
      </c>
      <c r="I612" s="3066" t="s">
        <v>121</v>
      </c>
      <c r="J612" s="1298" t="s">
        <v>1242</v>
      </c>
      <c r="K612" s="1299"/>
      <c r="L612" s="1300"/>
      <c r="M612" s="3065" t="s">
        <v>121</v>
      </c>
      <c r="N612" s="1298" t="s">
        <v>1243</v>
      </c>
      <c r="O612" s="1299"/>
      <c r="P612" s="1299"/>
      <c r="Q612" s="1299"/>
      <c r="R612" s="1299"/>
      <c r="S612" s="1299"/>
      <c r="T612" s="1299"/>
      <c r="U612" s="1299"/>
      <c r="V612" s="1299"/>
      <c r="W612" s="1299"/>
      <c r="X612" s="1302"/>
      <c r="Y612" s="1295"/>
      <c r="Z612" s="1292"/>
      <c r="AA612" s="1292"/>
      <c r="AB612" s="1293"/>
      <c r="AC612" s="1295"/>
      <c r="AD612" s="1292"/>
      <c r="AE612" s="1292"/>
      <c r="AF612" s="1293"/>
      <c r="AI612" s="3056" t="str">
        <f>"51:field208:" &amp; IF(I612="■",1,IF(M612="■",2,0))</f>
        <v>51:field208:0</v>
      </c>
    </row>
    <row r="613" spans="1:35" s="3056" customFormat="1" ht="19.5" hidden="1" customHeight="1">
      <c r="A613" s="735"/>
      <c r="B613" s="1407"/>
      <c r="C613" s="1303"/>
      <c r="D613" s="1304"/>
      <c r="E613" s="1275"/>
      <c r="F613" s="1289"/>
      <c r="G613" s="1305"/>
      <c r="H613" s="1306" t="s">
        <v>1244</v>
      </c>
      <c r="I613" s="3066" t="s">
        <v>121</v>
      </c>
      <c r="J613" s="1298" t="s">
        <v>1242</v>
      </c>
      <c r="K613" s="1299"/>
      <c r="L613" s="1300"/>
      <c r="M613" s="3065" t="s">
        <v>121</v>
      </c>
      <c r="N613" s="1298" t="s">
        <v>1245</v>
      </c>
      <c r="O613" s="1301"/>
      <c r="P613" s="1298"/>
      <c r="Q613" s="1307"/>
      <c r="R613" s="1307"/>
      <c r="S613" s="1307"/>
      <c r="T613" s="1307"/>
      <c r="U613" s="1307"/>
      <c r="V613" s="1307"/>
      <c r="W613" s="1307"/>
      <c r="X613" s="1308"/>
      <c r="Y613" s="1292"/>
      <c r="Z613" s="1292"/>
      <c r="AA613" s="1292"/>
      <c r="AB613" s="1293"/>
      <c r="AC613" s="1295"/>
      <c r="AD613" s="1292"/>
      <c r="AE613" s="1292"/>
      <c r="AF613" s="1293"/>
      <c r="AI613" s="3056" t="str">
        <f>"51:field223:" &amp; IF(I613="■",1,IF(M613="■",2,0))</f>
        <v>51:field223:0</v>
      </c>
    </row>
    <row r="614" spans="1:35" s="3056" customFormat="1" ht="19.5" hidden="1" customHeight="1">
      <c r="A614" s="735"/>
      <c r="B614" s="1407"/>
      <c r="C614" s="1303"/>
      <c r="D614" s="1304"/>
      <c r="E614" s="1275"/>
      <c r="F614" s="1289"/>
      <c r="G614" s="1305"/>
      <c r="H614" s="1306" t="s">
        <v>1246</v>
      </c>
      <c r="I614" s="3066" t="s">
        <v>121</v>
      </c>
      <c r="J614" s="1298" t="s">
        <v>1242</v>
      </c>
      <c r="K614" s="1299"/>
      <c r="L614" s="1300"/>
      <c r="M614" s="3065" t="s">
        <v>121</v>
      </c>
      <c r="N614" s="1298" t="s">
        <v>1245</v>
      </c>
      <c r="O614" s="1301"/>
      <c r="P614" s="1298"/>
      <c r="Q614" s="1307"/>
      <c r="R614" s="1307"/>
      <c r="S614" s="1307"/>
      <c r="T614" s="1307"/>
      <c r="U614" s="1307"/>
      <c r="V614" s="1307"/>
      <c r="W614" s="1307"/>
      <c r="X614" s="1308"/>
      <c r="Y614" s="1292"/>
      <c r="Z614" s="1292"/>
      <c r="AA614" s="1292"/>
      <c r="AB614" s="1293"/>
      <c r="AC614" s="1295"/>
      <c r="AD614" s="1292"/>
      <c r="AE614" s="1292"/>
      <c r="AF614" s="1293"/>
      <c r="AI614" s="3056" t="str">
        <f>"51:field232:" &amp; IF(I614="■",1,IF(M614="■",2,0))</f>
        <v>51:field232:0</v>
      </c>
    </row>
    <row r="615" spans="1:35" s="3056" customFormat="1" ht="37.5" hidden="1" customHeight="1">
      <c r="A615" s="735"/>
      <c r="B615" s="1407"/>
      <c r="C615" s="1287"/>
      <c r="D615" s="1288"/>
      <c r="E615" s="1275"/>
      <c r="F615" s="1289"/>
      <c r="G615" s="1305"/>
      <c r="H615" s="1410" t="s">
        <v>1247</v>
      </c>
      <c r="I615" s="3063" t="s">
        <v>121</v>
      </c>
      <c r="J615" s="1296" t="s">
        <v>1230</v>
      </c>
      <c r="K615" s="1309"/>
      <c r="L615" s="3062" t="s">
        <v>121</v>
      </c>
      <c r="M615" s="1296" t="s">
        <v>1248</v>
      </c>
      <c r="N615" s="1298"/>
      <c r="O615" s="1298"/>
      <c r="P615" s="1298"/>
      <c r="Q615" s="1298"/>
      <c r="R615" s="1298"/>
      <c r="S615" s="1298"/>
      <c r="T615" s="1298"/>
      <c r="U615" s="1298"/>
      <c r="V615" s="1298"/>
      <c r="W615" s="1298"/>
      <c r="X615" s="1310"/>
      <c r="Y615" s="1295"/>
      <c r="Z615" s="1292"/>
      <c r="AA615" s="1292"/>
      <c r="AB615" s="1293"/>
      <c r="AC615" s="1295"/>
      <c r="AD615" s="1292"/>
      <c r="AE615" s="1292"/>
      <c r="AF615" s="1293"/>
      <c r="AI615" s="3056" t="str">
        <f>"51:field206:" &amp; IF(I615="■",1,IF(L615="■",2,0))</f>
        <v>51:field206:0</v>
      </c>
    </row>
    <row r="616" spans="1:35" s="3056" customFormat="1" ht="18.75" hidden="1" customHeight="1">
      <c r="A616" s="735"/>
      <c r="B616" s="1407"/>
      <c r="C616" s="1287"/>
      <c r="D616" s="1288"/>
      <c r="E616" s="1275"/>
      <c r="F616" s="1289"/>
      <c r="G616" s="1305"/>
      <c r="H616" s="1409" t="s">
        <v>2361</v>
      </c>
      <c r="I616" s="3063" t="s">
        <v>121</v>
      </c>
      <c r="J616" s="1296" t="s">
        <v>1230</v>
      </c>
      <c r="K616" s="1309"/>
      <c r="L616" s="3062" t="s">
        <v>121</v>
      </c>
      <c r="M616" s="1296" t="s">
        <v>1248</v>
      </c>
      <c r="N616" s="1299"/>
      <c r="O616" s="1299"/>
      <c r="P616" s="1299"/>
      <c r="Q616" s="1299"/>
      <c r="R616" s="1299"/>
      <c r="S616" s="1299"/>
      <c r="T616" s="1299"/>
      <c r="U616" s="1299"/>
      <c r="V616" s="1299"/>
      <c r="W616" s="1299"/>
      <c r="X616" s="1302"/>
      <c r="Y616" s="1295"/>
      <c r="Z616" s="1292"/>
      <c r="AA616" s="1292"/>
      <c r="AB616" s="1293"/>
      <c r="AC616" s="1295"/>
      <c r="AD616" s="1292"/>
      <c r="AE616" s="1292"/>
      <c r="AF616" s="1293"/>
      <c r="AI616" s="3056" t="str">
        <f>"51:nitijyouseikatu_code:" &amp; IF(I616="■",1,IF(L616="■",2,0))</f>
        <v>51:nitijyouseikatu_code:0</v>
      </c>
    </row>
    <row r="617" spans="1:35" s="3056" customFormat="1" ht="37.5" hidden="1" customHeight="1">
      <c r="A617" s="735"/>
      <c r="B617" s="1407"/>
      <c r="C617" s="1287"/>
      <c r="D617" s="1288"/>
      <c r="E617" s="1275"/>
      <c r="F617" s="1289"/>
      <c r="G617" s="1305"/>
      <c r="H617" s="1410" t="s">
        <v>2360</v>
      </c>
      <c r="I617" s="3063" t="s">
        <v>121</v>
      </c>
      <c r="J617" s="1296" t="s">
        <v>1230</v>
      </c>
      <c r="K617" s="1309"/>
      <c r="L617" s="3062" t="s">
        <v>121</v>
      </c>
      <c r="M617" s="1296" t="s">
        <v>1248</v>
      </c>
      <c r="N617" s="1299"/>
      <c r="O617" s="1299"/>
      <c r="P617" s="1299"/>
      <c r="Q617" s="1299"/>
      <c r="R617" s="1299"/>
      <c r="S617" s="1299"/>
      <c r="T617" s="1299"/>
      <c r="U617" s="1299"/>
      <c r="V617" s="1299"/>
      <c r="W617" s="1299"/>
      <c r="X617" s="1302"/>
      <c r="Y617" s="1295"/>
      <c r="Z617" s="1292"/>
      <c r="AA617" s="1292"/>
      <c r="AB617" s="1293"/>
      <c r="AC617" s="1295"/>
      <c r="AD617" s="1292"/>
      <c r="AE617" s="1292"/>
      <c r="AF617" s="1293"/>
      <c r="AI617" s="3056" t="str">
        <f>"51:field215:" &amp; IF(I617="■",1,IF(L617="■",2,0))</f>
        <v>51:field215:0</v>
      </c>
    </row>
    <row r="618" spans="1:35" s="3056" customFormat="1" ht="18.75" hidden="1" customHeight="1">
      <c r="A618" s="735"/>
      <c r="B618" s="1407"/>
      <c r="C618" s="1287"/>
      <c r="D618" s="1288"/>
      <c r="E618" s="1275"/>
      <c r="F618" s="1289"/>
      <c r="G618" s="1305"/>
      <c r="H618" s="1409" t="s">
        <v>2359</v>
      </c>
      <c r="I618" s="3063" t="s">
        <v>121</v>
      </c>
      <c r="J618" s="1296" t="s">
        <v>1230</v>
      </c>
      <c r="K618" s="1309"/>
      <c r="L618" s="3062" t="s">
        <v>121</v>
      </c>
      <c r="M618" s="1296" t="s">
        <v>1248</v>
      </c>
      <c r="N618" s="1298"/>
      <c r="O618" s="1298"/>
      <c r="P618" s="1298"/>
      <c r="Q618" s="1298"/>
      <c r="R618" s="1298"/>
      <c r="S618" s="1298"/>
      <c r="T618" s="1298"/>
      <c r="U618" s="1298"/>
      <c r="V618" s="1298"/>
      <c r="W618" s="1298"/>
      <c r="X618" s="1310"/>
      <c r="Y618" s="1295"/>
      <c r="Z618" s="1292"/>
      <c r="AA618" s="1292"/>
      <c r="AB618" s="1293"/>
      <c r="AC618" s="1295"/>
      <c r="AD618" s="1292"/>
      <c r="AE618" s="1292"/>
      <c r="AF618" s="1293"/>
      <c r="AI618" s="3056" t="str">
        <f>"51:field200:" &amp; IF(I618="■",1,IF(L618="■",2,0))</f>
        <v>51:field200:0</v>
      </c>
    </row>
    <row r="619" spans="1:35" s="3056" customFormat="1" ht="18.75" hidden="1" customHeight="1">
      <c r="A619" s="735"/>
      <c r="B619" s="1407"/>
      <c r="C619" s="1287"/>
      <c r="D619" s="1288"/>
      <c r="E619" s="1275"/>
      <c r="F619" s="1289"/>
      <c r="G619" s="1305"/>
      <c r="H619" s="1409" t="s">
        <v>2358</v>
      </c>
      <c r="I619" s="3063" t="s">
        <v>121</v>
      </c>
      <c r="J619" s="1296" t="s">
        <v>1230</v>
      </c>
      <c r="K619" s="1309"/>
      <c r="L619" s="3062" t="s">
        <v>121</v>
      </c>
      <c r="M619" s="1296" t="s">
        <v>1248</v>
      </c>
      <c r="N619" s="1298"/>
      <c r="O619" s="1298"/>
      <c r="P619" s="1298"/>
      <c r="Q619" s="1298"/>
      <c r="R619" s="1298"/>
      <c r="S619" s="1298"/>
      <c r="T619" s="1298"/>
      <c r="U619" s="1298"/>
      <c r="V619" s="1298"/>
      <c r="W619" s="1298"/>
      <c r="X619" s="1310"/>
      <c r="Y619" s="1295"/>
      <c r="Z619" s="1292"/>
      <c r="AA619" s="1292"/>
      <c r="AB619" s="1293"/>
      <c r="AC619" s="1295"/>
      <c r="AD619" s="1292"/>
      <c r="AE619" s="1292"/>
      <c r="AF619" s="1293"/>
      <c r="AI619" s="3056" t="str">
        <f>"51:field201:" &amp; IF(I619="■",1,IF(L619="■",2,0))</f>
        <v>51:field201:0</v>
      </c>
    </row>
    <row r="620" spans="1:35" s="3056" customFormat="1" ht="18.75" hidden="1" customHeight="1">
      <c r="A620" s="735"/>
      <c r="B620" s="1407"/>
      <c r="C620" s="1287"/>
      <c r="D620" s="1288"/>
      <c r="E620" s="1275"/>
      <c r="F620" s="1289"/>
      <c r="G620" s="1305"/>
      <c r="H620" s="1409" t="s">
        <v>140</v>
      </c>
      <c r="I620" s="3066" t="s">
        <v>121</v>
      </c>
      <c r="J620" s="1298" t="s">
        <v>1230</v>
      </c>
      <c r="K620" s="1298"/>
      <c r="L620" s="3065" t="s">
        <v>121</v>
      </c>
      <c r="M620" s="1298" t="s">
        <v>2357</v>
      </c>
      <c r="N620" s="1298"/>
      <c r="O620" s="1299"/>
      <c r="P620" s="1299"/>
      <c r="Q620" s="3065" t="s">
        <v>121</v>
      </c>
      <c r="R620" s="1298" t="s">
        <v>2356</v>
      </c>
      <c r="S620" s="1299"/>
      <c r="T620" s="1299"/>
      <c r="U620" s="1299"/>
      <c r="V620" s="1299"/>
      <c r="W620" s="1299"/>
      <c r="X620" s="1302"/>
      <c r="Y620" s="1295"/>
      <c r="Z620" s="1292"/>
      <c r="AA620" s="1292"/>
      <c r="AB620" s="1293"/>
      <c r="AC620" s="1295"/>
      <c r="AD620" s="1292"/>
      <c r="AE620" s="1292"/>
      <c r="AF620" s="1293"/>
      <c r="AI620" s="3056" t="str">
        <f>"51:yakinhaiti_code:"&amp;IF(I620="■",1,IF(Q620="■",3,IF(L620="■",2,0)))</f>
        <v>51:yakinhaiti_code:0</v>
      </c>
    </row>
    <row r="621" spans="1:35" s="3056" customFormat="1" ht="37.5" hidden="1" customHeight="1">
      <c r="A621" s="735"/>
      <c r="B621" s="1407"/>
      <c r="C621" s="1287"/>
      <c r="D621" s="1288"/>
      <c r="E621" s="1275"/>
      <c r="F621" s="1289"/>
      <c r="G621" s="1305"/>
      <c r="H621" s="1410" t="s">
        <v>2355</v>
      </c>
      <c r="I621" s="3063" t="s">
        <v>121</v>
      </c>
      <c r="J621" s="1296" t="s">
        <v>1230</v>
      </c>
      <c r="K621" s="1309"/>
      <c r="L621" s="3062" t="s">
        <v>121</v>
      </c>
      <c r="M621" s="1296" t="s">
        <v>1248</v>
      </c>
      <c r="N621" s="1299"/>
      <c r="O621" s="1299"/>
      <c r="P621" s="1299"/>
      <c r="Q621" s="1299"/>
      <c r="R621" s="1299"/>
      <c r="S621" s="1299"/>
      <c r="T621" s="1299"/>
      <c r="U621" s="1299"/>
      <c r="V621" s="1299"/>
      <c r="W621" s="1299"/>
      <c r="X621" s="1302"/>
      <c r="Y621" s="1295"/>
      <c r="Z621" s="1292"/>
      <c r="AA621" s="1292"/>
      <c r="AB621" s="1293"/>
      <c r="AC621" s="1295"/>
      <c r="AD621" s="1292"/>
      <c r="AE621" s="1292"/>
      <c r="AF621" s="1293"/>
      <c r="AI621" s="3056" t="str">
        <f>"51:field161:" &amp; IF(I621="■",1,IF(L621="■",2,0))</f>
        <v>51:field161:0</v>
      </c>
    </row>
    <row r="622" spans="1:35" s="3056" customFormat="1" ht="18.75" hidden="1" customHeight="1">
      <c r="A622" s="735"/>
      <c r="B622" s="1407"/>
      <c r="C622" s="1287"/>
      <c r="D622" s="1288"/>
      <c r="E622" s="1275"/>
      <c r="F622" s="1289"/>
      <c r="G622" s="1305"/>
      <c r="H622" s="1409" t="s">
        <v>2354</v>
      </c>
      <c r="I622" s="3066" t="s">
        <v>121</v>
      </c>
      <c r="J622" s="1298" t="s">
        <v>1239</v>
      </c>
      <c r="K622" s="1299"/>
      <c r="L622" s="1299"/>
      <c r="M622" s="3065" t="s">
        <v>121</v>
      </c>
      <c r="N622" s="1298" t="s">
        <v>1240</v>
      </c>
      <c r="O622" s="1299"/>
      <c r="P622" s="1299"/>
      <c r="Q622" s="1299"/>
      <c r="R622" s="1299"/>
      <c r="S622" s="1299"/>
      <c r="T622" s="1299"/>
      <c r="U622" s="1299"/>
      <c r="V622" s="1299"/>
      <c r="W622" s="1299"/>
      <c r="X622" s="1302"/>
      <c r="Y622" s="1295"/>
      <c r="Z622" s="1292"/>
      <c r="AA622" s="1292"/>
      <c r="AB622" s="1293"/>
      <c r="AC622" s="1295"/>
      <c r="AD622" s="1292"/>
      <c r="AE622" s="1292"/>
      <c r="AF622" s="1293"/>
      <c r="AI622" s="3056" t="str">
        <f>"51:jyun_unit_code:" &amp; IF(I622="■",1,IF(M622="■",2,0))</f>
        <v>51:jyun_unit_code:0</v>
      </c>
    </row>
    <row r="623" spans="1:35" s="3056" customFormat="1" ht="18.75" hidden="1" customHeight="1">
      <c r="A623" s="735"/>
      <c r="B623" s="1407"/>
      <c r="C623" s="1287"/>
      <c r="D623" s="3069" t="s">
        <v>121</v>
      </c>
      <c r="E623" s="1275" t="s">
        <v>2353</v>
      </c>
      <c r="F623" s="1289"/>
      <c r="G623" s="1305"/>
      <c r="H623" s="1410" t="s">
        <v>2352</v>
      </c>
      <c r="I623" s="3066" t="s">
        <v>121</v>
      </c>
      <c r="J623" s="1298" t="s">
        <v>1230</v>
      </c>
      <c r="K623" s="1298"/>
      <c r="L623" s="3065" t="s">
        <v>121</v>
      </c>
      <c r="M623" s="1298" t="s">
        <v>1263</v>
      </c>
      <c r="N623" s="1298"/>
      <c r="O623" s="3065" t="s">
        <v>121</v>
      </c>
      <c r="P623" s="1298" t="s">
        <v>1287</v>
      </c>
      <c r="Q623" s="1298"/>
      <c r="R623" s="1298"/>
      <c r="S623" s="1298"/>
      <c r="T623" s="1298"/>
      <c r="U623" s="1298"/>
      <c r="V623" s="1298"/>
      <c r="W623" s="1298"/>
      <c r="X623" s="1310"/>
      <c r="Y623" s="1295"/>
      <c r="Z623" s="1292"/>
      <c r="AA623" s="1292"/>
      <c r="AB623" s="1293"/>
      <c r="AC623" s="1295"/>
      <c r="AD623" s="1292"/>
      <c r="AE623" s="1292"/>
      <c r="AF623" s="1293"/>
      <c r="AI623" s="3056" t="str">
        <f>"51:field185:" &amp; IF(I623="■",1,IF(L623="■",3,IF(O623="■",2,0)))</f>
        <v>51:field185:0</v>
      </c>
    </row>
    <row r="624" spans="1:35" s="3056" customFormat="1" ht="18.75" hidden="1" customHeight="1">
      <c r="A624" s="3069" t="s">
        <v>121</v>
      </c>
      <c r="B624" s="1407">
        <v>51</v>
      </c>
      <c r="C624" s="1287" t="s">
        <v>2351</v>
      </c>
      <c r="D624" s="3069" t="s">
        <v>121</v>
      </c>
      <c r="E624" s="1275" t="s">
        <v>2350</v>
      </c>
      <c r="F624" s="1289"/>
      <c r="G624" s="1305"/>
      <c r="H624" s="1410" t="s">
        <v>2349</v>
      </c>
      <c r="I624" s="3063" t="s">
        <v>121</v>
      </c>
      <c r="J624" s="1296" t="s">
        <v>1230</v>
      </c>
      <c r="K624" s="1309"/>
      <c r="L624" s="3062" t="s">
        <v>121</v>
      </c>
      <c r="M624" s="1296" t="s">
        <v>2348</v>
      </c>
      <c r="N624" s="1298"/>
      <c r="O624" s="3065" t="s">
        <v>121</v>
      </c>
      <c r="P624" s="1296" t="s">
        <v>2347</v>
      </c>
      <c r="Q624" s="1298"/>
      <c r="R624" s="3062" t="s">
        <v>121</v>
      </c>
      <c r="S624" s="1296" t="s">
        <v>2346</v>
      </c>
      <c r="T624" s="1298"/>
      <c r="U624" s="1298"/>
      <c r="V624" s="1298"/>
      <c r="W624" s="1298"/>
      <c r="X624" s="1310"/>
      <c r="Y624" s="1295"/>
      <c r="Z624" s="1292"/>
      <c r="AA624" s="1292"/>
      <c r="AB624" s="1293"/>
      <c r="AC624" s="1295"/>
      <c r="AD624" s="1292"/>
      <c r="AE624" s="1292"/>
      <c r="AF624" s="1293"/>
      <c r="AI624" s="3056" t="str">
        <f>"51:kobetu_kunren_code:" &amp; IF(I624="■",1,IF(R624="■",5,IF(O624="■",4,IF(L624="■",3,0))))</f>
        <v>51:kobetu_kunren_code:0</v>
      </c>
    </row>
    <row r="625" spans="1:35" s="3056" customFormat="1" ht="18.75" hidden="1" customHeight="1">
      <c r="A625" s="735"/>
      <c r="B625" s="1407"/>
      <c r="C625" s="1287"/>
      <c r="D625" s="3069" t="s">
        <v>121</v>
      </c>
      <c r="E625" s="1275" t="s">
        <v>2345</v>
      </c>
      <c r="F625" s="1289"/>
      <c r="G625" s="1305"/>
      <c r="H625" s="1410" t="s">
        <v>2344</v>
      </c>
      <c r="I625" s="3063" t="s">
        <v>121</v>
      </c>
      <c r="J625" s="1296" t="s">
        <v>1230</v>
      </c>
      <c r="K625" s="1309"/>
      <c r="L625" s="3062" t="s">
        <v>121</v>
      </c>
      <c r="M625" s="1296" t="s">
        <v>1248</v>
      </c>
      <c r="N625" s="1298"/>
      <c r="O625" s="1298"/>
      <c r="P625" s="1298"/>
      <c r="Q625" s="1298"/>
      <c r="R625" s="1298"/>
      <c r="S625" s="1298"/>
      <c r="T625" s="1298"/>
      <c r="U625" s="1298"/>
      <c r="V625" s="1298"/>
      <c r="W625" s="1298"/>
      <c r="X625" s="1310"/>
      <c r="Y625" s="1295"/>
      <c r="Z625" s="1292"/>
      <c r="AA625" s="1292"/>
      <c r="AB625" s="1293"/>
      <c r="AC625" s="1295"/>
      <c r="AD625" s="1292"/>
      <c r="AE625" s="1292"/>
      <c r="AF625" s="1293"/>
      <c r="AI625" s="3056" t="str">
        <f>"51:field186:" &amp; IF(I625="■",1,IF(L625="■",2,0))</f>
        <v>51:field186:0</v>
      </c>
    </row>
    <row r="626" spans="1:35" s="3056" customFormat="1" ht="18.75" hidden="1" customHeight="1">
      <c r="A626" s="735"/>
      <c r="B626" s="1407"/>
      <c r="C626" s="1287"/>
      <c r="D626" s="3069" t="s">
        <v>121</v>
      </c>
      <c r="E626" s="1275" t="s">
        <v>2343</v>
      </c>
      <c r="F626" s="1289"/>
      <c r="G626" s="1305"/>
      <c r="H626" s="1311" t="s">
        <v>1251</v>
      </c>
      <c r="I626" s="3063" t="s">
        <v>121</v>
      </c>
      <c r="J626" s="1296" t="s">
        <v>1230</v>
      </c>
      <c r="K626" s="1309"/>
      <c r="L626" s="3062" t="s">
        <v>121</v>
      </c>
      <c r="M626" s="1296" t="s">
        <v>1248</v>
      </c>
      <c r="N626" s="1299"/>
      <c r="O626" s="1299"/>
      <c r="P626" s="1299"/>
      <c r="Q626" s="1299"/>
      <c r="R626" s="1299"/>
      <c r="S626" s="1299"/>
      <c r="T626" s="1299"/>
      <c r="U626" s="1299"/>
      <c r="V626" s="1299"/>
      <c r="W626" s="1299"/>
      <c r="X626" s="1302"/>
      <c r="Y626" s="1295"/>
      <c r="Z626" s="1292"/>
      <c r="AA626" s="1292"/>
      <c r="AB626" s="1293"/>
      <c r="AC626" s="1295"/>
      <c r="AD626" s="1292"/>
      <c r="AE626" s="1292"/>
      <c r="AF626" s="1293"/>
      <c r="AI626" s="3056" t="str">
        <f>"51:jyakuninti_uke_code:" &amp; IF(I626="■",1,IF(L626="■",2,0))</f>
        <v>51:jyakuninti_uke_code:0</v>
      </c>
    </row>
    <row r="627" spans="1:35" s="3056" customFormat="1" ht="18.75" hidden="1" customHeight="1">
      <c r="A627" s="735"/>
      <c r="B627" s="1407"/>
      <c r="C627" s="1287"/>
      <c r="D627" s="1288"/>
      <c r="E627" s="1275"/>
      <c r="F627" s="1289"/>
      <c r="G627" s="1305"/>
      <c r="H627" s="1409" t="s">
        <v>2342</v>
      </c>
      <c r="I627" s="3063" t="s">
        <v>121</v>
      </c>
      <c r="J627" s="1296" t="s">
        <v>1230</v>
      </c>
      <c r="K627" s="1309"/>
      <c r="L627" s="3062" t="s">
        <v>121</v>
      </c>
      <c r="M627" s="1296" t="s">
        <v>1248</v>
      </c>
      <c r="N627" s="1299"/>
      <c r="O627" s="1299"/>
      <c r="P627" s="1299"/>
      <c r="Q627" s="1299"/>
      <c r="R627" s="1299"/>
      <c r="S627" s="1299"/>
      <c r="T627" s="1299"/>
      <c r="U627" s="1299"/>
      <c r="V627" s="1299"/>
      <c r="W627" s="1299"/>
      <c r="X627" s="1302"/>
      <c r="Y627" s="1295"/>
      <c r="Z627" s="1292"/>
      <c r="AA627" s="1292"/>
      <c r="AB627" s="1293"/>
      <c r="AC627" s="1295"/>
      <c r="AD627" s="1292"/>
      <c r="AE627" s="1292"/>
      <c r="AF627" s="1293"/>
      <c r="AI627" s="3056" t="str">
        <f>"51:jyosen_doctor_code:" &amp; IF(I627="■",1,IF(L627="■",2,0))</f>
        <v>51:jyosen_doctor_code:0</v>
      </c>
    </row>
    <row r="628" spans="1:35" s="3056" customFormat="1" ht="18.75" hidden="1" customHeight="1">
      <c r="A628" s="735"/>
      <c r="B628" s="1407"/>
      <c r="C628" s="1287"/>
      <c r="D628" s="1288"/>
      <c r="E628" s="1275"/>
      <c r="F628" s="1289"/>
      <c r="G628" s="1305"/>
      <c r="H628" s="1409" t="s">
        <v>2341</v>
      </c>
      <c r="I628" s="3063" t="s">
        <v>121</v>
      </c>
      <c r="J628" s="1296" t="s">
        <v>1230</v>
      </c>
      <c r="K628" s="1309"/>
      <c r="L628" s="3062" t="s">
        <v>121</v>
      </c>
      <c r="M628" s="1296" t="s">
        <v>1248</v>
      </c>
      <c r="N628" s="1299"/>
      <c r="O628" s="1299"/>
      <c r="P628" s="1299"/>
      <c r="Q628" s="1299"/>
      <c r="R628" s="1299"/>
      <c r="S628" s="1299"/>
      <c r="T628" s="1299"/>
      <c r="U628" s="1299"/>
      <c r="V628" s="1299"/>
      <c r="W628" s="1299"/>
      <c r="X628" s="1302"/>
      <c r="Y628" s="1295"/>
      <c r="Z628" s="1292"/>
      <c r="AA628" s="1292"/>
      <c r="AB628" s="1293"/>
      <c r="AC628" s="1295"/>
      <c r="AD628" s="1292"/>
      <c r="AE628" s="1292"/>
      <c r="AF628" s="1293"/>
      <c r="AI628" s="3056" t="str">
        <f>"51:seisinsido_code:" &amp; IF(I628="■",1,IF(L628="■",2,0))</f>
        <v>51:seisinsido_code:0</v>
      </c>
    </row>
    <row r="629" spans="1:35" s="3056" customFormat="1" ht="18.75" hidden="1" customHeight="1">
      <c r="A629" s="735"/>
      <c r="B629" s="1407"/>
      <c r="C629" s="1287"/>
      <c r="D629" s="1288"/>
      <c r="E629" s="1275"/>
      <c r="F629" s="1289"/>
      <c r="G629" s="1305"/>
      <c r="H629" s="1409" t="s">
        <v>2340</v>
      </c>
      <c r="I629" s="3066" t="s">
        <v>121</v>
      </c>
      <c r="J629" s="1298" t="s">
        <v>1230</v>
      </c>
      <c r="K629" s="1298"/>
      <c r="L629" s="3065" t="s">
        <v>121</v>
      </c>
      <c r="M629" s="1298" t="s">
        <v>1256</v>
      </c>
      <c r="N629" s="1298"/>
      <c r="O629" s="3065" t="s">
        <v>121</v>
      </c>
      <c r="P629" s="1298" t="s">
        <v>1257</v>
      </c>
      <c r="Q629" s="1299"/>
      <c r="R629" s="1299"/>
      <c r="S629" s="1299"/>
      <c r="T629" s="1299"/>
      <c r="U629" s="1299"/>
      <c r="V629" s="1299"/>
      <c r="W629" s="1299"/>
      <c r="X629" s="1302"/>
      <c r="Y629" s="1295"/>
      <c r="Z629" s="1292"/>
      <c r="AA629" s="1292"/>
      <c r="AB629" s="1293"/>
      <c r="AC629" s="1295"/>
      <c r="AD629" s="1292"/>
      <c r="AE629" s="1292"/>
      <c r="AF629" s="1293"/>
      <c r="AI629" s="3056" t="str">
        <f>"51:shougai_code:" &amp; IF(I629="■",1,IF(L629="■",2,IF(O629="■",3,0)))</f>
        <v>51:shougai_code:0</v>
      </c>
    </row>
    <row r="630" spans="1:35" s="3056" customFormat="1" ht="18.75" hidden="1" customHeight="1">
      <c r="A630" s="735"/>
      <c r="B630" s="1407"/>
      <c r="C630" s="1287"/>
      <c r="D630" s="1288"/>
      <c r="E630" s="1275"/>
      <c r="F630" s="1289"/>
      <c r="G630" s="1305"/>
      <c r="H630" s="1409" t="s">
        <v>755</v>
      </c>
      <c r="I630" s="3063" t="s">
        <v>121</v>
      </c>
      <c r="J630" s="1296" t="s">
        <v>1230</v>
      </c>
      <c r="K630" s="1309"/>
      <c r="L630" s="3062" t="s">
        <v>121</v>
      </c>
      <c r="M630" s="1296" t="s">
        <v>1248</v>
      </c>
      <c r="N630" s="1299"/>
      <c r="O630" s="1299"/>
      <c r="P630" s="1299"/>
      <c r="Q630" s="1299"/>
      <c r="R630" s="1299"/>
      <c r="S630" s="1299"/>
      <c r="T630" s="1299"/>
      <c r="U630" s="1299"/>
      <c r="V630" s="1299"/>
      <c r="W630" s="1299"/>
      <c r="X630" s="1302"/>
      <c r="Y630" s="1295"/>
      <c r="Z630" s="1292"/>
      <c r="AA630" s="1292"/>
      <c r="AB630" s="1293"/>
      <c r="AC630" s="1295"/>
      <c r="AD630" s="1292"/>
      <c r="AE630" s="1292"/>
      <c r="AF630" s="1293"/>
      <c r="AI630" s="3056" t="str">
        <f>"51:field207:" &amp; IF(I630="■",1,IF(L630="■",2,0))</f>
        <v>51:field207:0</v>
      </c>
    </row>
    <row r="631" spans="1:35" s="3056" customFormat="1" ht="18.75" hidden="1" customHeight="1">
      <c r="A631" s="735"/>
      <c r="B631" s="1407"/>
      <c r="C631" s="1287"/>
      <c r="D631" s="1288"/>
      <c r="E631" s="1275"/>
      <c r="F631" s="1289"/>
      <c r="G631" s="1305"/>
      <c r="H631" s="1409" t="s">
        <v>145</v>
      </c>
      <c r="I631" s="3063" t="s">
        <v>121</v>
      </c>
      <c r="J631" s="1296" t="s">
        <v>1230</v>
      </c>
      <c r="K631" s="1309"/>
      <c r="L631" s="3062" t="s">
        <v>121</v>
      </c>
      <c r="M631" s="1296" t="s">
        <v>1248</v>
      </c>
      <c r="N631" s="1299"/>
      <c r="O631" s="1299"/>
      <c r="P631" s="1299"/>
      <c r="Q631" s="1299"/>
      <c r="R631" s="1299"/>
      <c r="S631" s="1299"/>
      <c r="T631" s="1299"/>
      <c r="U631" s="1299"/>
      <c r="V631" s="1299"/>
      <c r="W631" s="1299"/>
      <c r="X631" s="1302"/>
      <c r="Y631" s="1295"/>
      <c r="Z631" s="1292"/>
      <c r="AA631" s="1292"/>
      <c r="AB631" s="1293"/>
      <c r="AC631" s="1295"/>
      <c r="AD631" s="1292"/>
      <c r="AE631" s="1292"/>
      <c r="AF631" s="1293"/>
      <c r="AI631" s="3056" t="str">
        <f>"51:ryouyoushoku_code:" &amp; IF(I631="■",1,IF(L631="■",2,0))</f>
        <v>51:ryouyoushoku_code:0</v>
      </c>
    </row>
    <row r="632" spans="1:35" s="3056" customFormat="1" ht="18.75" hidden="1" customHeight="1">
      <c r="A632" s="735"/>
      <c r="B632" s="1407"/>
      <c r="C632" s="1287"/>
      <c r="D632" s="1288"/>
      <c r="E632" s="1275"/>
      <c r="F632" s="1289"/>
      <c r="G632" s="1305"/>
      <c r="H632" s="1409" t="s">
        <v>2339</v>
      </c>
      <c r="I632" s="3063" t="s">
        <v>121</v>
      </c>
      <c r="J632" s="1296" t="s">
        <v>1230</v>
      </c>
      <c r="K632" s="1309"/>
      <c r="L632" s="3062" t="s">
        <v>121</v>
      </c>
      <c r="M632" s="1296" t="s">
        <v>1248</v>
      </c>
      <c r="N632" s="1299"/>
      <c r="O632" s="1299"/>
      <c r="P632" s="1299"/>
      <c r="Q632" s="1299"/>
      <c r="R632" s="1299"/>
      <c r="S632" s="1299"/>
      <c r="T632" s="1299"/>
      <c r="U632" s="1299"/>
      <c r="V632" s="1299"/>
      <c r="W632" s="1299"/>
      <c r="X632" s="1302"/>
      <c r="Y632" s="1295"/>
      <c r="Z632" s="1292"/>
      <c r="AA632" s="1292"/>
      <c r="AB632" s="1293"/>
      <c r="AC632" s="1295"/>
      <c r="AD632" s="1292"/>
      <c r="AE632" s="1292"/>
      <c r="AF632" s="1293"/>
      <c r="AI632" s="3056" t="str">
        <f>"51:field176:" &amp; IF(I632="■",1,IF(L632="■",2,0))</f>
        <v>51:field176:0</v>
      </c>
    </row>
    <row r="633" spans="1:35" s="3056" customFormat="1" ht="18.75" hidden="1" customHeight="1">
      <c r="A633" s="735"/>
      <c r="B633" s="1407"/>
      <c r="C633" s="1287"/>
      <c r="D633" s="1288"/>
      <c r="E633" s="1275"/>
      <c r="F633" s="1289"/>
      <c r="G633" s="1305"/>
      <c r="H633" s="1409" t="s">
        <v>2338</v>
      </c>
      <c r="I633" s="3066" t="s">
        <v>121</v>
      </c>
      <c r="J633" s="1298" t="s">
        <v>1230</v>
      </c>
      <c r="K633" s="1298"/>
      <c r="L633" s="3065" t="s">
        <v>121</v>
      </c>
      <c r="M633" s="1298" t="s">
        <v>1256</v>
      </c>
      <c r="N633" s="1298"/>
      <c r="O633" s="3065" t="s">
        <v>121</v>
      </c>
      <c r="P633" s="1298" t="s">
        <v>1257</v>
      </c>
      <c r="Q633" s="1299"/>
      <c r="R633" s="1299"/>
      <c r="S633" s="1299"/>
      <c r="T633" s="1299"/>
      <c r="U633" s="1299"/>
      <c r="V633" s="1299"/>
      <c r="W633" s="1299"/>
      <c r="X633" s="1302"/>
      <c r="Y633" s="1295"/>
      <c r="Z633" s="1292"/>
      <c r="AA633" s="1292"/>
      <c r="AB633" s="1293"/>
      <c r="AC633" s="1295"/>
      <c r="AD633" s="1292"/>
      <c r="AE633" s="1292"/>
      <c r="AF633" s="1293"/>
      <c r="AI633" s="3056" t="str">
        <f>"51:terminal_code:" &amp; IF(I633="■",1,IF(O633="■",3,IF(L633="■",2,0)))</f>
        <v>51:terminal_code:0</v>
      </c>
    </row>
    <row r="634" spans="1:35" s="3056" customFormat="1" ht="18.75" hidden="1" customHeight="1">
      <c r="A634" s="735"/>
      <c r="B634" s="1407"/>
      <c r="C634" s="1287"/>
      <c r="D634" s="1288"/>
      <c r="E634" s="1275"/>
      <c r="F634" s="1289"/>
      <c r="G634" s="1305"/>
      <c r="H634" s="1409" t="s">
        <v>2337</v>
      </c>
      <c r="I634" s="3066" t="s">
        <v>121</v>
      </c>
      <c r="J634" s="1298" t="s">
        <v>1239</v>
      </c>
      <c r="K634" s="1299"/>
      <c r="L634" s="1300"/>
      <c r="M634" s="3065" t="s">
        <v>121</v>
      </c>
      <c r="N634" s="1298" t="s">
        <v>1240</v>
      </c>
      <c r="O634" s="1299"/>
      <c r="P634" s="1299"/>
      <c r="Q634" s="1299"/>
      <c r="R634" s="1299"/>
      <c r="S634" s="1299"/>
      <c r="T634" s="1299"/>
      <c r="U634" s="1299"/>
      <c r="V634" s="1299"/>
      <c r="W634" s="1299"/>
      <c r="X634" s="1302"/>
      <c r="Y634" s="1295"/>
      <c r="Z634" s="1292"/>
      <c r="AA634" s="1292"/>
      <c r="AB634" s="1293"/>
      <c r="AC634" s="1295"/>
      <c r="AD634" s="1292"/>
      <c r="AE634" s="1292"/>
      <c r="AF634" s="1293"/>
      <c r="AI634" s="3056" t="str">
        <f>"51:sougoriyo_code:" &amp; IF(I634="■",1,IF(M634="■",2,0))</f>
        <v>51:sougoriyo_code:0</v>
      </c>
    </row>
    <row r="635" spans="1:35" s="3056" customFormat="1" ht="18.75" hidden="1" customHeight="1">
      <c r="A635" s="735"/>
      <c r="B635" s="1407"/>
      <c r="C635" s="1287"/>
      <c r="D635" s="1288"/>
      <c r="E635" s="1275"/>
      <c r="F635" s="1289"/>
      <c r="G635" s="1305"/>
      <c r="H635" s="1409" t="s">
        <v>1260</v>
      </c>
      <c r="I635" s="3066" t="s">
        <v>121</v>
      </c>
      <c r="J635" s="1298" t="s">
        <v>1230</v>
      </c>
      <c r="K635" s="1298"/>
      <c r="L635" s="3062" t="s">
        <v>121</v>
      </c>
      <c r="M635" s="1298" t="s">
        <v>1256</v>
      </c>
      <c r="N635" s="1298"/>
      <c r="O635" s="3065" t="s">
        <v>121</v>
      </c>
      <c r="P635" s="1298" t="s">
        <v>1257</v>
      </c>
      <c r="Q635" s="1299"/>
      <c r="R635" s="1299"/>
      <c r="S635" s="1299"/>
      <c r="T635" s="1299"/>
      <c r="U635" s="1299"/>
      <c r="V635" s="1299"/>
      <c r="W635" s="1299"/>
      <c r="X635" s="1302"/>
      <c r="Y635" s="1295"/>
      <c r="Z635" s="1292"/>
      <c r="AA635" s="1292"/>
      <c r="AB635" s="1293"/>
      <c r="AC635" s="1295"/>
      <c r="AD635" s="1292"/>
      <c r="AE635" s="1292"/>
      <c r="AF635" s="1293"/>
      <c r="AI635" s="3056" t="str">
        <f>"51:ninti_senmoncare_code:" &amp; IF(I635="■",1,IF(O635="■",3,IF(L635="■",2,0)))</f>
        <v>51:ninti_senmoncare_code:0</v>
      </c>
    </row>
    <row r="636" spans="1:35" s="3056" customFormat="1" ht="18.75" hidden="1" customHeight="1">
      <c r="A636" s="735"/>
      <c r="B636" s="1407"/>
      <c r="C636" s="1287"/>
      <c r="D636" s="1288"/>
      <c r="E636" s="1275"/>
      <c r="F636" s="1289"/>
      <c r="G636" s="1305"/>
      <c r="H636" s="1409" t="s">
        <v>1261</v>
      </c>
      <c r="I636" s="3066" t="s">
        <v>121</v>
      </c>
      <c r="J636" s="1298" t="s">
        <v>1230</v>
      </c>
      <c r="K636" s="1298"/>
      <c r="L636" s="3062" t="s">
        <v>121</v>
      </c>
      <c r="M636" s="1298" t="s">
        <v>1256</v>
      </c>
      <c r="N636" s="1298"/>
      <c r="O636" s="3065" t="s">
        <v>121</v>
      </c>
      <c r="P636" s="1298" t="s">
        <v>1257</v>
      </c>
      <c r="Q636" s="1299"/>
      <c r="R636" s="1299"/>
      <c r="S636" s="1299"/>
      <c r="T636" s="1299"/>
      <c r="U636" s="1299"/>
      <c r="V636" s="1299"/>
      <c r="W636" s="1299"/>
      <c r="X636" s="1302"/>
      <c r="Y636" s="1295"/>
      <c r="Z636" s="1292"/>
      <c r="AA636" s="1292"/>
      <c r="AB636" s="1293"/>
      <c r="AC636" s="1295"/>
      <c r="AD636" s="1292"/>
      <c r="AE636" s="1292"/>
      <c r="AF636" s="1293"/>
      <c r="AI636" s="3056" t="str">
        <f>"51:field228:" &amp; IF(I636="■",1,IF(L636="■",2,IF(O636="■",3,0)))</f>
        <v>51:field228:0</v>
      </c>
    </row>
    <row r="637" spans="1:35" s="3056" customFormat="1" ht="18.75" hidden="1" customHeight="1">
      <c r="A637" s="735"/>
      <c r="B637" s="1407"/>
      <c r="C637" s="1287"/>
      <c r="D637" s="1288"/>
      <c r="E637" s="1275"/>
      <c r="F637" s="1289"/>
      <c r="G637" s="1305"/>
      <c r="H637" s="1409" t="s">
        <v>1264</v>
      </c>
      <c r="I637" s="3063" t="s">
        <v>121</v>
      </c>
      <c r="J637" s="1296" t="s">
        <v>1230</v>
      </c>
      <c r="K637" s="1309"/>
      <c r="L637" s="3062" t="s">
        <v>121</v>
      </c>
      <c r="M637" s="1296" t="s">
        <v>1248</v>
      </c>
      <c r="N637" s="1299"/>
      <c r="O637" s="1299"/>
      <c r="P637" s="1299"/>
      <c r="Q637" s="1299"/>
      <c r="R637" s="1299"/>
      <c r="S637" s="1299"/>
      <c r="T637" s="1299"/>
      <c r="U637" s="1299"/>
      <c r="V637" s="1299"/>
      <c r="W637" s="1299"/>
      <c r="X637" s="1302"/>
      <c r="Y637" s="1295"/>
      <c r="Z637" s="1292"/>
      <c r="AA637" s="1292"/>
      <c r="AB637" s="1293"/>
      <c r="AC637" s="1295"/>
      <c r="AD637" s="1292"/>
      <c r="AE637" s="1292"/>
      <c r="AF637" s="1293"/>
      <c r="AI637" s="3056" t="str">
        <f>"51:field177:" &amp; IF(I637="■",1,IF(L637="■",2,0))</f>
        <v>51:field177:0</v>
      </c>
    </row>
    <row r="638" spans="1:35" s="3056" customFormat="1" ht="18.75" hidden="1" customHeight="1">
      <c r="A638" s="735"/>
      <c r="B638" s="1407"/>
      <c r="C638" s="1287"/>
      <c r="D638" s="1288"/>
      <c r="E638" s="1275"/>
      <c r="F638" s="1289"/>
      <c r="G638" s="1305"/>
      <c r="H638" s="1312" t="s">
        <v>757</v>
      </c>
      <c r="I638" s="3063" t="s">
        <v>121</v>
      </c>
      <c r="J638" s="1296" t="s">
        <v>1230</v>
      </c>
      <c r="K638" s="1309"/>
      <c r="L638" s="3062" t="s">
        <v>121</v>
      </c>
      <c r="M638" s="1296" t="s">
        <v>1248</v>
      </c>
      <c r="N638" s="1299"/>
      <c r="O638" s="1299"/>
      <c r="P638" s="1299"/>
      <c r="Q638" s="1299"/>
      <c r="R638" s="1299"/>
      <c r="S638" s="1299"/>
      <c r="T638" s="1299"/>
      <c r="U638" s="1299"/>
      <c r="V638" s="1299"/>
      <c r="W638" s="1299"/>
      <c r="X638" s="1302"/>
      <c r="Y638" s="1295"/>
      <c r="Z638" s="1292"/>
      <c r="AA638" s="1292"/>
      <c r="AB638" s="1293"/>
      <c r="AC638" s="1295"/>
      <c r="AD638" s="1292"/>
      <c r="AE638" s="1292"/>
      <c r="AF638" s="1293"/>
      <c r="AI638" s="3056" t="str">
        <f>"51:field210:" &amp; IF(I638="■",1,IF(L638="■",2,0))</f>
        <v>51:field210:0</v>
      </c>
    </row>
    <row r="639" spans="1:35" s="3056" customFormat="1" ht="18.75" hidden="1" customHeight="1">
      <c r="A639" s="735"/>
      <c r="B639" s="1407"/>
      <c r="C639" s="1287"/>
      <c r="D639" s="1288"/>
      <c r="E639" s="1275"/>
      <c r="F639" s="1289"/>
      <c r="G639" s="1305"/>
      <c r="H639" s="1409" t="s">
        <v>758</v>
      </c>
      <c r="I639" s="3063" t="s">
        <v>121</v>
      </c>
      <c r="J639" s="1296" t="s">
        <v>1230</v>
      </c>
      <c r="K639" s="1309"/>
      <c r="L639" s="3062" t="s">
        <v>121</v>
      </c>
      <c r="M639" s="1296" t="s">
        <v>1248</v>
      </c>
      <c r="N639" s="1299"/>
      <c r="O639" s="1299"/>
      <c r="P639" s="1299"/>
      <c r="Q639" s="1299"/>
      <c r="R639" s="1299"/>
      <c r="S639" s="1299"/>
      <c r="T639" s="1299"/>
      <c r="U639" s="1299"/>
      <c r="V639" s="1299"/>
      <c r="W639" s="1299"/>
      <c r="X639" s="1302"/>
      <c r="Y639" s="1295"/>
      <c r="Z639" s="1292"/>
      <c r="AA639" s="1292"/>
      <c r="AB639" s="1293"/>
      <c r="AC639" s="1295"/>
      <c r="AD639" s="1292"/>
      <c r="AE639" s="1292"/>
      <c r="AF639" s="1293"/>
      <c r="AI639" s="3056" t="str">
        <f>"51:field211:" &amp; IF(I639="■",1,IF(L639="■",2,0))</f>
        <v>51:field211:0</v>
      </c>
    </row>
    <row r="640" spans="1:35" s="3056" customFormat="1" ht="18.75" hidden="1" customHeight="1">
      <c r="A640" s="735"/>
      <c r="B640" s="1407"/>
      <c r="C640" s="1287"/>
      <c r="D640" s="1288"/>
      <c r="E640" s="1275"/>
      <c r="F640" s="1289"/>
      <c r="G640" s="1305"/>
      <c r="H640" s="1409" t="s">
        <v>764</v>
      </c>
      <c r="I640" s="3063" t="s">
        <v>121</v>
      </c>
      <c r="J640" s="1296" t="s">
        <v>1230</v>
      </c>
      <c r="K640" s="1309"/>
      <c r="L640" s="3062" t="s">
        <v>121</v>
      </c>
      <c r="M640" s="1296" t="s">
        <v>1248</v>
      </c>
      <c r="N640" s="1299"/>
      <c r="O640" s="1299"/>
      <c r="P640" s="1299"/>
      <c r="Q640" s="1299"/>
      <c r="R640" s="1299"/>
      <c r="S640" s="1299"/>
      <c r="T640" s="1299"/>
      <c r="U640" s="1299"/>
      <c r="V640" s="1299"/>
      <c r="W640" s="1299"/>
      <c r="X640" s="1302"/>
      <c r="Y640" s="1295"/>
      <c r="Z640" s="1292"/>
      <c r="AA640" s="1292"/>
      <c r="AB640" s="1293"/>
      <c r="AC640" s="1295"/>
      <c r="AD640" s="1292"/>
      <c r="AE640" s="1292"/>
      <c r="AF640" s="1293"/>
      <c r="AI640" s="3056" t="str">
        <f>"51:field212:" &amp; IF(I640="■",1,IF(L640="■",2,0))</f>
        <v>51:field212:0</v>
      </c>
    </row>
    <row r="641" spans="1:36" s="3056" customFormat="1" ht="18.75" hidden="1" customHeight="1">
      <c r="A641" s="735"/>
      <c r="B641" s="1407"/>
      <c r="C641" s="1287"/>
      <c r="D641" s="1288"/>
      <c r="E641" s="1275"/>
      <c r="F641" s="1289"/>
      <c r="G641" s="1305"/>
      <c r="H641" s="1409" t="s">
        <v>760</v>
      </c>
      <c r="I641" s="3063" t="s">
        <v>121</v>
      </c>
      <c r="J641" s="1296" t="s">
        <v>1230</v>
      </c>
      <c r="K641" s="1309"/>
      <c r="L641" s="3062" t="s">
        <v>121</v>
      </c>
      <c r="M641" s="1296" t="s">
        <v>1248</v>
      </c>
      <c r="N641" s="1299"/>
      <c r="O641" s="1299"/>
      <c r="P641" s="1299"/>
      <c r="Q641" s="1299"/>
      <c r="R641" s="1299"/>
      <c r="S641" s="1299"/>
      <c r="T641" s="1299"/>
      <c r="U641" s="1299"/>
      <c r="V641" s="1299"/>
      <c r="W641" s="1299"/>
      <c r="X641" s="1302"/>
      <c r="Y641" s="1295"/>
      <c r="Z641" s="1292"/>
      <c r="AA641" s="1292"/>
      <c r="AB641" s="1293"/>
      <c r="AC641" s="1295"/>
      <c r="AD641" s="1292"/>
      <c r="AE641" s="1292"/>
      <c r="AF641" s="1293"/>
      <c r="AI641" s="3056" t="str">
        <f>"51:field209:" &amp; IF(I641="■",1,IF(L641="■",2,0))</f>
        <v>51:field209:0</v>
      </c>
    </row>
    <row r="642" spans="1:36" s="3056" customFormat="1" ht="18.75" hidden="1" customHeight="1">
      <c r="A642" s="735"/>
      <c r="B642" s="1407"/>
      <c r="C642" s="1287"/>
      <c r="D642" s="1288"/>
      <c r="E642" s="1275"/>
      <c r="F642" s="1289"/>
      <c r="G642" s="1275"/>
      <c r="H642" s="1409" t="s">
        <v>1288</v>
      </c>
      <c r="I642" s="3066" t="s">
        <v>121</v>
      </c>
      <c r="J642" s="1298" t="s">
        <v>1230</v>
      </c>
      <c r="K642" s="1298"/>
      <c r="L642" s="3062" t="s">
        <v>121</v>
      </c>
      <c r="M642" s="1296" t="s">
        <v>1248</v>
      </c>
      <c r="N642" s="1298"/>
      <c r="O642" s="1298"/>
      <c r="P642" s="1298"/>
      <c r="Q642" s="1299"/>
      <c r="R642" s="1299"/>
      <c r="S642" s="1299"/>
      <c r="T642" s="1299"/>
      <c r="U642" s="1299"/>
      <c r="V642" s="1299"/>
      <c r="W642" s="1299"/>
      <c r="X642" s="1302"/>
      <c r="Y642" s="1295"/>
      <c r="Z642" s="1292"/>
      <c r="AA642" s="1292"/>
      <c r="AB642" s="1293"/>
      <c r="AC642" s="1295"/>
      <c r="AD642" s="1292"/>
      <c r="AE642" s="1292"/>
      <c r="AF642" s="1293"/>
      <c r="AI642" s="3056" t="str">
        <f>"51:field226:" &amp; IF(I642="■",1,IF(L642="■",2,0))</f>
        <v>51:field226:0</v>
      </c>
    </row>
    <row r="643" spans="1:36" s="3056" customFormat="1" ht="18.75" hidden="1" customHeight="1">
      <c r="A643" s="735"/>
      <c r="B643" s="1407"/>
      <c r="C643" s="1287"/>
      <c r="D643" s="1288"/>
      <c r="E643" s="1275"/>
      <c r="F643" s="1289"/>
      <c r="G643" s="1275"/>
      <c r="H643" s="1409" t="s">
        <v>1289</v>
      </c>
      <c r="I643" s="3066" t="s">
        <v>121</v>
      </c>
      <c r="J643" s="1298" t="s">
        <v>1230</v>
      </c>
      <c r="K643" s="1298"/>
      <c r="L643" s="3062" t="s">
        <v>121</v>
      </c>
      <c r="M643" s="1296" t="s">
        <v>1248</v>
      </c>
      <c r="N643" s="1298"/>
      <c r="O643" s="1298"/>
      <c r="P643" s="1298"/>
      <c r="Q643" s="1299"/>
      <c r="R643" s="1299"/>
      <c r="S643" s="1299"/>
      <c r="T643" s="1299"/>
      <c r="U643" s="1299"/>
      <c r="V643" s="1299"/>
      <c r="W643" s="1299"/>
      <c r="X643" s="1302"/>
      <c r="Y643" s="1295"/>
      <c r="Z643" s="1292"/>
      <c r="AA643" s="1292"/>
      <c r="AB643" s="1293"/>
      <c r="AC643" s="1295"/>
      <c r="AD643" s="1292"/>
      <c r="AE643" s="1292"/>
      <c r="AF643" s="1293"/>
      <c r="AI643" s="3056" t="str">
        <f>"51:field227:" &amp; IF(I643="■",1,IF(L643="■",2,0))</f>
        <v>51:field227:0</v>
      </c>
    </row>
    <row r="644" spans="1:36" s="3056" customFormat="1" ht="18.75" hidden="1" customHeight="1">
      <c r="A644" s="735"/>
      <c r="B644" s="1407"/>
      <c r="C644" s="1287"/>
      <c r="D644" s="1288"/>
      <c r="E644" s="1275"/>
      <c r="F644" s="1289"/>
      <c r="G644" s="1305"/>
      <c r="H644" s="1313" t="s">
        <v>1265</v>
      </c>
      <c r="I644" s="3066" t="s">
        <v>121</v>
      </c>
      <c r="J644" s="1298" t="s">
        <v>1230</v>
      </c>
      <c r="K644" s="1298"/>
      <c r="L644" s="3062" t="s">
        <v>121</v>
      </c>
      <c r="M644" s="1298" t="s">
        <v>1256</v>
      </c>
      <c r="N644" s="1298"/>
      <c r="O644" s="3065" t="s">
        <v>121</v>
      </c>
      <c r="P644" s="1298" t="s">
        <v>1257</v>
      </c>
      <c r="Q644" s="1307"/>
      <c r="R644" s="1307"/>
      <c r="S644" s="1307"/>
      <c r="T644" s="1307"/>
      <c r="U644" s="1314"/>
      <c r="V644" s="1314"/>
      <c r="W644" s="1314"/>
      <c r="X644" s="1315"/>
      <c r="Y644" s="1295"/>
      <c r="Z644" s="1292"/>
      <c r="AA644" s="1292"/>
      <c r="AB644" s="1293"/>
      <c r="AC644" s="1295"/>
      <c r="AD644" s="1292"/>
      <c r="AE644" s="1292"/>
      <c r="AF644" s="1293"/>
      <c r="AI644" s="3056" t="str">
        <f>"51:field225:" &amp; IF(I644="■",1,IF(L644="■",2,IF(O644="■",3,0)))</f>
        <v>51:field225:0</v>
      </c>
    </row>
    <row r="645" spans="1:36" s="3056" customFormat="1" ht="18.75" hidden="1" customHeight="1">
      <c r="A645" s="735"/>
      <c r="B645" s="1407"/>
      <c r="C645" s="1287"/>
      <c r="D645" s="1288"/>
      <c r="E645" s="1275"/>
      <c r="F645" s="1289"/>
      <c r="G645" s="1305"/>
      <c r="H645" s="1409" t="s">
        <v>1266</v>
      </c>
      <c r="I645" s="3066" t="s">
        <v>121</v>
      </c>
      <c r="J645" s="1298" t="s">
        <v>1230</v>
      </c>
      <c r="K645" s="1298"/>
      <c r="L645" s="3062" t="s">
        <v>121</v>
      </c>
      <c r="M645" s="1298" t="s">
        <v>1267</v>
      </c>
      <c r="N645" s="1298"/>
      <c r="O645" s="3065" t="s">
        <v>121</v>
      </c>
      <c r="P645" s="1298" t="s">
        <v>1268</v>
      </c>
      <c r="Q645" s="1326"/>
      <c r="R645" s="3065" t="s">
        <v>121</v>
      </c>
      <c r="S645" s="1298" t="s">
        <v>1269</v>
      </c>
      <c r="T645" s="1298"/>
      <c r="U645" s="1298"/>
      <c r="V645" s="1298"/>
      <c r="W645" s="1298"/>
      <c r="X645" s="1310"/>
      <c r="Y645" s="1295"/>
      <c r="Z645" s="1292"/>
      <c r="AA645" s="1292"/>
      <c r="AB645" s="1293"/>
      <c r="AC645" s="1295"/>
      <c r="AD645" s="1292"/>
      <c r="AE645" s="1292"/>
      <c r="AF645" s="1293"/>
      <c r="AI645" s="3056" t="str">
        <f>"51:serteikyo_kyoka_code:" &amp; IF(I645="■",1,IF(L645="■",6,IF(O645="■",5,IF(R645="■",7,0))))</f>
        <v>51:serteikyo_kyoka_code:0</v>
      </c>
    </row>
    <row r="646" spans="1:36" s="3056" customFormat="1" ht="18.75" hidden="1" customHeight="1">
      <c r="A646" s="736"/>
      <c r="B646" s="1316"/>
      <c r="C646" s="1346"/>
      <c r="D646" s="1348"/>
      <c r="E646" s="1317"/>
      <c r="F646" s="1318"/>
      <c r="G646" s="1361"/>
      <c r="H646" s="3134" t="s">
        <v>2288</v>
      </c>
      <c r="I646" s="3060" t="s">
        <v>121</v>
      </c>
      <c r="J646" s="3130" t="s">
        <v>1230</v>
      </c>
      <c r="K646" s="3130"/>
      <c r="L646" s="3059" t="s">
        <v>121</v>
      </c>
      <c r="M646" s="3130" t="s">
        <v>2287</v>
      </c>
      <c r="N646" s="3133"/>
      <c r="O646" s="3059" t="s">
        <v>121</v>
      </c>
      <c r="P646" s="3132" t="s">
        <v>2286</v>
      </c>
      <c r="Q646" s="3131"/>
      <c r="R646" s="3059" t="s">
        <v>121</v>
      </c>
      <c r="S646" s="3130" t="s">
        <v>2285</v>
      </c>
      <c r="T646" s="3131"/>
      <c r="U646" s="3059" t="s">
        <v>121</v>
      </c>
      <c r="V646" s="3130" t="s">
        <v>2284</v>
      </c>
      <c r="W646" s="3129"/>
      <c r="X646" s="3128"/>
      <c r="Y646" s="1323"/>
      <c r="Z646" s="1323"/>
      <c r="AA646" s="1323"/>
      <c r="AB646" s="1324"/>
      <c r="AC646" s="1322"/>
      <c r="AD646" s="1323"/>
      <c r="AE646" s="1323"/>
      <c r="AF646" s="1324"/>
      <c r="AI646" s="3056" t="str">
        <f>"51:shoguukaizen_code:"&amp;IF(I646="■",1,IF(L646="■",7,IF(O646="■",8,IF(R646="■",9,IF(U646="■","A",0)))))</f>
        <v>51:shoguukaizen_code:0</v>
      </c>
    </row>
    <row r="647" spans="1:36" s="3056" customFormat="1" ht="18.75" customHeight="1">
      <c r="A647" s="1276"/>
      <c r="B647" s="1405"/>
      <c r="C647" s="1277"/>
      <c r="D647" s="1278"/>
      <c r="E647" s="1272"/>
      <c r="F647" s="1279"/>
      <c r="G647" s="1272"/>
      <c r="H647" s="1408" t="s">
        <v>1226</v>
      </c>
      <c r="I647" s="3074" t="s">
        <v>121</v>
      </c>
      <c r="J647" s="1280" t="s">
        <v>1227</v>
      </c>
      <c r="K647" s="1281"/>
      <c r="L647" s="1282"/>
      <c r="M647" s="3073" t="s">
        <v>121</v>
      </c>
      <c r="N647" s="1280" t="s">
        <v>1228</v>
      </c>
      <c r="O647" s="1284"/>
      <c r="P647" s="1281"/>
      <c r="Q647" s="1281"/>
      <c r="R647" s="1281"/>
      <c r="S647" s="1281"/>
      <c r="T647" s="1281"/>
      <c r="U647" s="1281"/>
      <c r="V647" s="1281"/>
      <c r="W647" s="1281"/>
      <c r="X647" s="1285"/>
      <c r="Y647" s="3119" t="s">
        <v>121</v>
      </c>
      <c r="Z647" s="1270" t="s">
        <v>1229</v>
      </c>
      <c r="AA647" s="1270"/>
      <c r="AB647" s="1286"/>
      <c r="AC647" s="1543"/>
      <c r="AD647" s="1543"/>
      <c r="AE647" s="1543"/>
      <c r="AF647" s="1543"/>
      <c r="AG647" s="3056" t="str">
        <f>"ser_code = '" &amp; IF(A662="■",52,"") &amp; "'"</f>
        <v>ser_code = ''</v>
      </c>
      <c r="AH647" s="3056" t="str">
        <f>"52:jininkbn_code:" &amp; IF(F662="■",1,IF(F663="■",2,0))</f>
        <v>52:jininkbn_code:0</v>
      </c>
      <c r="AI647" s="3056" t="str">
        <f>"52:yakan_kinmu_code:" &amp; IF(I647="■",1,IF(M647="■",6,0))</f>
        <v>52:yakan_kinmu_code:0</v>
      </c>
      <c r="AJ647" s="3056" t="str">
        <f>"52:field203:" &amp; IF(Y647="■",1,IF(Y648="■",2,0))</f>
        <v>52:field203:0</v>
      </c>
    </row>
    <row r="648" spans="1:36" s="3056" customFormat="1" ht="18.75" customHeight="1">
      <c r="A648" s="735"/>
      <c r="B648" s="1407"/>
      <c r="C648" s="1287"/>
      <c r="D648" s="1288"/>
      <c r="E648" s="1275"/>
      <c r="F648" s="1289"/>
      <c r="G648" s="1275"/>
      <c r="H648" s="1541" t="s">
        <v>90</v>
      </c>
      <c r="I648" s="3137" t="s">
        <v>121</v>
      </c>
      <c r="J648" s="1290" t="s">
        <v>1230</v>
      </c>
      <c r="K648" s="1290"/>
      <c r="L648" s="1402"/>
      <c r="M648" s="3136" t="s">
        <v>121</v>
      </c>
      <c r="N648" s="1290" t="s">
        <v>1231</v>
      </c>
      <c r="O648" s="1290"/>
      <c r="P648" s="1402"/>
      <c r="Q648" s="3136" t="s">
        <v>121</v>
      </c>
      <c r="R648" s="1402" t="s">
        <v>1232</v>
      </c>
      <c r="S648" s="1402"/>
      <c r="T648" s="1402"/>
      <c r="U648" s="3136" t="s">
        <v>121</v>
      </c>
      <c r="V648" s="1402" t="s">
        <v>1233</v>
      </c>
      <c r="W648" s="1402"/>
      <c r="X648" s="1291"/>
      <c r="Y648" s="3069" t="s">
        <v>121</v>
      </c>
      <c r="Z648" s="1273" t="s">
        <v>1234</v>
      </c>
      <c r="AA648" s="1292"/>
      <c r="AB648" s="1293"/>
      <c r="AC648" s="1544"/>
      <c r="AD648" s="1544"/>
      <c r="AE648" s="1544"/>
      <c r="AF648" s="1544"/>
      <c r="AG648" s="3056" t="str">
        <f>"52:sisetukbn_code:" &amp; IF(D662="■",1,0)</f>
        <v>52:sisetukbn_code:0</v>
      </c>
      <c r="AI648" s="3056" t="str">
        <f>"52:"&amp;IF(AND(I648="□",M648="□",Q648="□",U648="□",I649="□",M649="□",Q649="□",I650="□"),"ketu_doctor_code:0",IF(I648="■","ketu_doctor_code:1:ketu_kangos_code:1:ketu_kshoku_code:1:ketu_rryoho_code:1:ketu_sryoho_code:1:ketu_ksiensou_code:1:ketu_gengo_code:1",IF(M648="■","ketu_doctor_code:2","ketu_doctor_code:1")
&amp;IF(Q648="■",":ketu_kangos_code:2",":ketu_kangos_code:1")
&amp;IF(U648="■",":ketu_kshoku_code:2",":ketu_kshoku_code:1")
&amp;IF(I649="■",":ketu_rryoho_code:2",":ketu_rryoho_code:1")
&amp;IF(M649="■",":ketu_sryoho_code:2",":ketu_sryoho_code:1")
&amp;IF(Q649="■",":ketu_ksiensou_code:2",":ketu_ksiensou_code:1")
&amp;IF(I650="■",":ketu_gengo_code:2",":ketu_gengo_code:1")))</f>
        <v>52:ketu_doctor_code:0</v>
      </c>
    </row>
    <row r="649" spans="1:36" s="3056" customFormat="1" ht="18.75" customHeight="1">
      <c r="A649" s="735"/>
      <c r="B649" s="1407"/>
      <c r="C649" s="1287"/>
      <c r="D649" s="1288"/>
      <c r="E649" s="1275"/>
      <c r="F649" s="1289"/>
      <c r="G649" s="1275"/>
      <c r="H649" s="1546"/>
      <c r="I649" s="3069" t="s">
        <v>121</v>
      </c>
      <c r="J649" s="1273" t="s">
        <v>1235</v>
      </c>
      <c r="K649" s="1273"/>
      <c r="L649" s="1412"/>
      <c r="M649" s="3122" t="s">
        <v>121</v>
      </c>
      <c r="N649" s="1273" t="s">
        <v>1236</v>
      </c>
      <c r="O649" s="1273"/>
      <c r="P649" s="1412"/>
      <c r="Q649" s="3122" t="s">
        <v>121</v>
      </c>
      <c r="R649" s="1412" t="s">
        <v>1237</v>
      </c>
      <c r="S649" s="1412"/>
      <c r="T649" s="1412"/>
      <c r="U649" s="1412"/>
      <c r="V649" s="1412"/>
      <c r="W649" s="1412"/>
      <c r="X649" s="1294"/>
      <c r="Y649" s="1295"/>
      <c r="Z649" s="1292"/>
      <c r="AA649" s="1292"/>
      <c r="AB649" s="1293"/>
      <c r="AC649" s="1544"/>
      <c r="AD649" s="1544"/>
      <c r="AE649" s="1544"/>
      <c r="AF649" s="1544"/>
    </row>
    <row r="650" spans="1:36" s="3056" customFormat="1" ht="18.75" customHeight="1">
      <c r="A650" s="735"/>
      <c r="B650" s="1407"/>
      <c r="C650" s="1287"/>
      <c r="D650" s="1288"/>
      <c r="E650" s="1275"/>
      <c r="F650" s="1289"/>
      <c r="G650" s="1275"/>
      <c r="H650" s="1542"/>
      <c r="I650" s="3063" t="s">
        <v>121</v>
      </c>
      <c r="J650" s="1296" t="s">
        <v>1238</v>
      </c>
      <c r="K650" s="1296"/>
      <c r="L650" s="1403"/>
      <c r="M650" s="1296"/>
      <c r="N650" s="1296"/>
      <c r="O650" s="1296"/>
      <c r="P650" s="1403"/>
      <c r="Q650" s="1296"/>
      <c r="R650" s="1403"/>
      <c r="S650" s="1403"/>
      <c r="T650" s="1403"/>
      <c r="U650" s="1403"/>
      <c r="V650" s="1403"/>
      <c r="W650" s="1403"/>
      <c r="X650" s="1297"/>
      <c r="Y650" s="1295"/>
      <c r="Z650" s="1292"/>
      <c r="AA650" s="1292"/>
      <c r="AB650" s="1293"/>
      <c r="AC650" s="1544"/>
      <c r="AD650" s="1544"/>
      <c r="AE650" s="1544"/>
      <c r="AF650" s="1544"/>
    </row>
    <row r="651" spans="1:36" s="3056" customFormat="1" ht="18.75" customHeight="1">
      <c r="A651" s="735"/>
      <c r="B651" s="1407"/>
      <c r="C651" s="1287"/>
      <c r="D651" s="1288"/>
      <c r="E651" s="1275"/>
      <c r="F651" s="1289"/>
      <c r="G651" s="1275"/>
      <c r="H651" s="1409" t="s">
        <v>91</v>
      </c>
      <c r="I651" s="3066" t="s">
        <v>121</v>
      </c>
      <c r="J651" s="1298" t="s">
        <v>1239</v>
      </c>
      <c r="K651" s="1299"/>
      <c r="L651" s="1300"/>
      <c r="M651" s="3065" t="s">
        <v>121</v>
      </c>
      <c r="N651" s="1298" t="s">
        <v>1240</v>
      </c>
      <c r="O651" s="1299"/>
      <c r="P651" s="1299"/>
      <c r="Q651" s="1299"/>
      <c r="R651" s="1299"/>
      <c r="S651" s="1299"/>
      <c r="T651" s="1299"/>
      <c r="U651" s="1299"/>
      <c r="V651" s="1299"/>
      <c r="W651" s="1299"/>
      <c r="X651" s="1302"/>
      <c r="Y651" s="1295"/>
      <c r="Z651" s="1292"/>
      <c r="AA651" s="1292"/>
      <c r="AB651" s="1293"/>
      <c r="AC651" s="1544"/>
      <c r="AD651" s="1544"/>
      <c r="AE651" s="1544"/>
      <c r="AF651" s="1544"/>
      <c r="AI651" s="3056" t="str">
        <f>"52:unitcare_code:" &amp; IF(I651="■",1,IF(M651="■",2,0))</f>
        <v>52:unitcare_code:0</v>
      </c>
    </row>
    <row r="652" spans="1:36" s="3056" customFormat="1" ht="18.75" customHeight="1">
      <c r="A652" s="735"/>
      <c r="B652" s="1407"/>
      <c r="C652" s="1287"/>
      <c r="D652" s="1288"/>
      <c r="E652" s="1275"/>
      <c r="F652" s="1289"/>
      <c r="G652" s="1275"/>
      <c r="H652" s="1409" t="s">
        <v>1241</v>
      </c>
      <c r="I652" s="3066" t="s">
        <v>121</v>
      </c>
      <c r="J652" s="1298" t="s">
        <v>1242</v>
      </c>
      <c r="K652" s="1299"/>
      <c r="L652" s="1300"/>
      <c r="M652" s="3065" t="s">
        <v>121</v>
      </c>
      <c r="N652" s="1298" t="s">
        <v>1243</v>
      </c>
      <c r="O652" s="1299"/>
      <c r="P652" s="1299"/>
      <c r="Q652" s="1299"/>
      <c r="R652" s="1299"/>
      <c r="S652" s="1299"/>
      <c r="T652" s="1299"/>
      <c r="U652" s="1299"/>
      <c r="V652" s="1299"/>
      <c r="W652" s="1299"/>
      <c r="X652" s="1302"/>
      <c r="Y652" s="1295"/>
      <c r="Z652" s="1292"/>
      <c r="AA652" s="1292"/>
      <c r="AB652" s="1293"/>
      <c r="AC652" s="1544"/>
      <c r="AD652" s="1544"/>
      <c r="AE652" s="1544"/>
      <c r="AF652" s="1544"/>
      <c r="AI652" s="3056" t="str">
        <f>"52:sintaikousoku_code:" &amp; IF(I652="■",1,IF(M652="■",2,0))</f>
        <v>52:sintaikousoku_code:0</v>
      </c>
    </row>
    <row r="653" spans="1:36" s="3056" customFormat="1" ht="18.75" customHeight="1">
      <c r="A653" s="735"/>
      <c r="B653" s="1407"/>
      <c r="C653" s="1287"/>
      <c r="D653" s="1288"/>
      <c r="E653" s="1275"/>
      <c r="F653" s="1289"/>
      <c r="G653" s="1275"/>
      <c r="H653" s="1409" t="s">
        <v>753</v>
      </c>
      <c r="I653" s="3066" t="s">
        <v>121</v>
      </c>
      <c r="J653" s="1298" t="s">
        <v>1242</v>
      </c>
      <c r="K653" s="1299"/>
      <c r="L653" s="1300"/>
      <c r="M653" s="3065" t="s">
        <v>121</v>
      </c>
      <c r="N653" s="1298" t="s">
        <v>1243</v>
      </c>
      <c r="O653" s="1299"/>
      <c r="P653" s="1299"/>
      <c r="Q653" s="1299"/>
      <c r="R653" s="1299"/>
      <c r="S653" s="1299"/>
      <c r="T653" s="1299"/>
      <c r="U653" s="1299"/>
      <c r="V653" s="1299"/>
      <c r="W653" s="1299"/>
      <c r="X653" s="1302"/>
      <c r="Y653" s="1295"/>
      <c r="Z653" s="1292"/>
      <c r="AA653" s="1292"/>
      <c r="AB653" s="1293"/>
      <c r="AC653" s="1544"/>
      <c r="AD653" s="1544"/>
      <c r="AE653" s="1544"/>
      <c r="AF653" s="1544"/>
      <c r="AI653" s="3056" t="str">
        <f>"52:field208:" &amp; IF(I653="■",1,IF(M653="■",2,0))</f>
        <v>52:field208:0</v>
      </c>
    </row>
    <row r="654" spans="1:36" s="3056" customFormat="1" ht="19.5" customHeight="1">
      <c r="A654" s="735"/>
      <c r="B654" s="1407"/>
      <c r="C654" s="1303"/>
      <c r="D654" s="1304"/>
      <c r="E654" s="1275"/>
      <c r="F654" s="1289"/>
      <c r="G654" s="1305"/>
      <c r="H654" s="1306" t="s">
        <v>1244</v>
      </c>
      <c r="I654" s="3066" t="s">
        <v>121</v>
      </c>
      <c r="J654" s="1298" t="s">
        <v>1242</v>
      </c>
      <c r="K654" s="1299"/>
      <c r="L654" s="1300"/>
      <c r="M654" s="3065" t="s">
        <v>121</v>
      </c>
      <c r="N654" s="1298" t="s">
        <v>1245</v>
      </c>
      <c r="O654" s="1301"/>
      <c r="P654" s="1298"/>
      <c r="Q654" s="1307"/>
      <c r="R654" s="1307"/>
      <c r="S654" s="1307"/>
      <c r="T654" s="1307"/>
      <c r="U654" s="1307"/>
      <c r="V654" s="1307"/>
      <c r="W654" s="1307"/>
      <c r="X654" s="1308"/>
      <c r="Y654" s="1292"/>
      <c r="Z654" s="1292"/>
      <c r="AA654" s="1292"/>
      <c r="AB654" s="1293"/>
      <c r="AC654" s="1544"/>
      <c r="AD654" s="1544"/>
      <c r="AE654" s="1544"/>
      <c r="AF654" s="1544"/>
      <c r="AI654" s="3056" t="str">
        <f>"52:field223:" &amp; IF(I654="■",1,IF(M654="■",2,0))</f>
        <v>52:field223:0</v>
      </c>
    </row>
    <row r="655" spans="1:36" s="3056" customFormat="1" ht="19.5" customHeight="1">
      <c r="A655" s="735"/>
      <c r="B655" s="1407"/>
      <c r="C655" s="1303"/>
      <c r="D655" s="1304"/>
      <c r="E655" s="1275"/>
      <c r="F655" s="1289"/>
      <c r="G655" s="1305"/>
      <c r="H655" s="1306" t="s">
        <v>1246</v>
      </c>
      <c r="I655" s="3066" t="s">
        <v>121</v>
      </c>
      <c r="J655" s="1298" t="s">
        <v>1242</v>
      </c>
      <c r="K655" s="1299"/>
      <c r="L655" s="1300"/>
      <c r="M655" s="3065" t="s">
        <v>121</v>
      </c>
      <c r="N655" s="1298" t="s">
        <v>1245</v>
      </c>
      <c r="O655" s="1301"/>
      <c r="P655" s="1298"/>
      <c r="Q655" s="1307"/>
      <c r="R655" s="1307"/>
      <c r="S655" s="1307"/>
      <c r="T655" s="1307"/>
      <c r="U655" s="1307"/>
      <c r="V655" s="1307"/>
      <c r="W655" s="1307"/>
      <c r="X655" s="1308"/>
      <c r="Y655" s="1292"/>
      <c r="Z655" s="1292"/>
      <c r="AA655" s="1292"/>
      <c r="AB655" s="1293"/>
      <c r="AC655" s="1544"/>
      <c r="AD655" s="1544"/>
      <c r="AE655" s="1544"/>
      <c r="AF655" s="1544"/>
      <c r="AI655" s="3056" t="str">
        <f>"52:field232:" &amp; IF(I655="■",1,IF(M655="■",2,0))</f>
        <v>52:field232:0</v>
      </c>
    </row>
    <row r="656" spans="1:36" s="3056" customFormat="1" ht="37.5" customHeight="1">
      <c r="A656" s="735"/>
      <c r="B656" s="1407"/>
      <c r="C656" s="1287"/>
      <c r="D656" s="1288"/>
      <c r="E656" s="1275"/>
      <c r="F656" s="1289"/>
      <c r="G656" s="1275"/>
      <c r="H656" s="1410" t="s">
        <v>1247</v>
      </c>
      <c r="I656" s="3063" t="s">
        <v>121</v>
      </c>
      <c r="J656" s="1296" t="s">
        <v>1230</v>
      </c>
      <c r="K656" s="1309"/>
      <c r="L656" s="3062" t="s">
        <v>121</v>
      </c>
      <c r="M656" s="1296" t="s">
        <v>1248</v>
      </c>
      <c r="N656" s="1299"/>
      <c r="O656" s="1298"/>
      <c r="P656" s="1298"/>
      <c r="Q656" s="1298"/>
      <c r="R656" s="1298"/>
      <c r="S656" s="1298"/>
      <c r="T656" s="1298"/>
      <c r="U656" s="1298"/>
      <c r="V656" s="1298"/>
      <c r="W656" s="1298"/>
      <c r="X656" s="1310"/>
      <c r="Y656" s="1295"/>
      <c r="Z656" s="1292"/>
      <c r="AA656" s="1292"/>
      <c r="AB656" s="1293"/>
      <c r="AC656" s="1544"/>
      <c r="AD656" s="1544"/>
      <c r="AE656" s="1544"/>
      <c r="AF656" s="1544"/>
      <c r="AI656" s="3056" t="str">
        <f>"52:field206:" &amp; IF(I656="■",1,IF(L656="■",2,0))</f>
        <v>52:field206:0</v>
      </c>
    </row>
    <row r="657" spans="1:35" s="1418" customFormat="1" ht="19.5" customHeight="1">
      <c r="A657" s="625"/>
      <c r="B657" s="1416"/>
      <c r="C657" s="629"/>
      <c r="D657" s="1417"/>
      <c r="E657" s="1420"/>
      <c r="F657" s="1415"/>
      <c r="G657" s="617"/>
      <c r="H657" s="3148" t="s">
        <v>2328</v>
      </c>
      <c r="I657" s="3066" t="s">
        <v>121</v>
      </c>
      <c r="J657" s="3144" t="s">
        <v>2326</v>
      </c>
      <c r="K657" s="3147"/>
      <c r="L657" s="3146"/>
      <c r="M657" s="3065" t="s">
        <v>121</v>
      </c>
      <c r="N657" s="3144" t="s">
        <v>2325</v>
      </c>
      <c r="O657" s="3145"/>
      <c r="P657" s="3144"/>
      <c r="Q657" s="3143"/>
      <c r="R657" s="3143"/>
      <c r="S657" s="3143"/>
      <c r="T657" s="3143"/>
      <c r="U657" s="3143"/>
      <c r="V657" s="3143"/>
      <c r="W657" s="3143"/>
      <c r="X657" s="3142"/>
      <c r="Y657" s="1421"/>
      <c r="Z657" s="2"/>
      <c r="AA657" s="626"/>
      <c r="AB657" s="627"/>
      <c r="AC657" s="1544"/>
      <c r="AD657" s="1544"/>
      <c r="AE657" s="1544"/>
      <c r="AF657" s="1544"/>
      <c r="AI657" s="3056" t="str">
        <f>"52:field242:" &amp; IF(I657="■",1,IF(M657="■",2,0))</f>
        <v>52:field242:0</v>
      </c>
    </row>
    <row r="658" spans="1:35" s="3056" customFormat="1" ht="18.75" customHeight="1">
      <c r="A658" s="735"/>
      <c r="B658" s="1407"/>
      <c r="C658" s="1287"/>
      <c r="D658" s="1288"/>
      <c r="E658" s="1275"/>
      <c r="F658" s="1289"/>
      <c r="G658" s="1275"/>
      <c r="H658" s="1409" t="s">
        <v>140</v>
      </c>
      <c r="I658" s="3063" t="s">
        <v>121</v>
      </c>
      <c r="J658" s="1296" t="s">
        <v>1230</v>
      </c>
      <c r="K658" s="1309"/>
      <c r="L658" s="3062" t="s">
        <v>121</v>
      </c>
      <c r="M658" s="1296" t="s">
        <v>1248</v>
      </c>
      <c r="N658" s="1299"/>
      <c r="O658" s="1298"/>
      <c r="P658" s="1298"/>
      <c r="Q658" s="1298"/>
      <c r="R658" s="1298"/>
      <c r="S658" s="1298"/>
      <c r="T658" s="1298"/>
      <c r="U658" s="1298"/>
      <c r="V658" s="1298"/>
      <c r="W658" s="1298"/>
      <c r="X658" s="1310"/>
      <c r="Y658" s="1295"/>
      <c r="Z658" s="1292"/>
      <c r="AA658" s="1292"/>
      <c r="AB658" s="1293"/>
      <c r="AC658" s="1544"/>
      <c r="AD658" s="1544"/>
      <c r="AE658" s="1544"/>
      <c r="AF658" s="1544"/>
      <c r="AI658" s="3056" t="str">
        <f>"52:yakinhaiti_code:" &amp; IF(I658="■",1,IF(L658="■",2,0))</f>
        <v>52:yakinhaiti_code:0</v>
      </c>
    </row>
    <row r="659" spans="1:35" s="3056" customFormat="1" ht="18.75" customHeight="1">
      <c r="A659" s="735"/>
      <c r="B659" s="1407"/>
      <c r="C659" s="1287"/>
      <c r="D659" s="1288"/>
      <c r="E659" s="1275"/>
      <c r="F659" s="1289"/>
      <c r="G659" s="1275"/>
      <c r="H659" s="1409" t="s">
        <v>1249</v>
      </c>
      <c r="I659" s="3063" t="s">
        <v>121</v>
      </c>
      <c r="J659" s="1296" t="s">
        <v>1230</v>
      </c>
      <c r="K659" s="1309"/>
      <c r="L659" s="3062" t="s">
        <v>121</v>
      </c>
      <c r="M659" s="1296" t="s">
        <v>1248</v>
      </c>
      <c r="N659" s="1299"/>
      <c r="O659" s="1298"/>
      <c r="P659" s="1298"/>
      <c r="Q659" s="1298"/>
      <c r="R659" s="1298"/>
      <c r="S659" s="1298"/>
      <c r="T659" s="1298"/>
      <c r="U659" s="1298"/>
      <c r="V659" s="1298"/>
      <c r="W659" s="1298"/>
      <c r="X659" s="1310"/>
      <c r="Y659" s="1295"/>
      <c r="Z659" s="1292"/>
      <c r="AA659" s="1292"/>
      <c r="AB659" s="1293"/>
      <c r="AC659" s="1544"/>
      <c r="AD659" s="1544"/>
      <c r="AE659" s="1544"/>
      <c r="AF659" s="1544"/>
      <c r="AI659" s="3056" t="str">
        <f>"52:ninti_riha_code:" &amp; IF(I659="■",1,IF(L659="■",2,0))</f>
        <v>52:ninti_riha_code:0</v>
      </c>
    </row>
    <row r="660" spans="1:35" s="3056" customFormat="1" ht="18.75" customHeight="1">
      <c r="A660" s="735"/>
      <c r="B660" s="1407"/>
      <c r="C660" s="1287"/>
      <c r="D660" s="1288"/>
      <c r="E660" s="1275"/>
      <c r="F660" s="1289"/>
      <c r="G660" s="1275"/>
      <c r="H660" s="1409" t="s">
        <v>1250</v>
      </c>
      <c r="I660" s="3063" t="s">
        <v>121</v>
      </c>
      <c r="J660" s="1296" t="s">
        <v>1230</v>
      </c>
      <c r="K660" s="1309"/>
      <c r="L660" s="3062" t="s">
        <v>121</v>
      </c>
      <c r="M660" s="1296" t="s">
        <v>1248</v>
      </c>
      <c r="N660" s="1299"/>
      <c r="O660" s="1299"/>
      <c r="P660" s="1299"/>
      <c r="Q660" s="1299"/>
      <c r="R660" s="1299"/>
      <c r="S660" s="1299"/>
      <c r="T660" s="1299"/>
      <c r="U660" s="1299"/>
      <c r="V660" s="1299"/>
      <c r="W660" s="1299"/>
      <c r="X660" s="1302"/>
      <c r="Y660" s="1295"/>
      <c r="Z660" s="1292"/>
      <c r="AA660" s="1292"/>
      <c r="AB660" s="1293"/>
      <c r="AC660" s="1544"/>
      <c r="AD660" s="1544"/>
      <c r="AE660" s="1544"/>
      <c r="AF660" s="1544"/>
      <c r="AI660" s="3056" t="str">
        <f>"52:ninticare_code:" &amp; IF(I660="■",1,IF(L660="■",2,0))</f>
        <v>52:ninticare_code:0</v>
      </c>
    </row>
    <row r="661" spans="1:35" s="3056" customFormat="1" ht="18.75" customHeight="1">
      <c r="A661" s="735"/>
      <c r="B661" s="1407"/>
      <c r="C661" s="1287"/>
      <c r="D661" s="1288"/>
      <c r="E661" s="1275"/>
      <c r="F661" s="1289"/>
      <c r="G661" s="1275"/>
      <c r="H661" s="1311" t="s">
        <v>1251</v>
      </c>
      <c r="I661" s="3063" t="s">
        <v>121</v>
      </c>
      <c r="J661" s="1296" t="s">
        <v>1230</v>
      </c>
      <c r="K661" s="1309"/>
      <c r="L661" s="3062" t="s">
        <v>121</v>
      </c>
      <c r="M661" s="1296" t="s">
        <v>1248</v>
      </c>
      <c r="N661" s="1299"/>
      <c r="O661" s="1299"/>
      <c r="P661" s="1299"/>
      <c r="Q661" s="1299"/>
      <c r="R661" s="1299"/>
      <c r="S661" s="1299"/>
      <c r="T661" s="1299"/>
      <c r="U661" s="1299"/>
      <c r="V661" s="1299"/>
      <c r="W661" s="1299"/>
      <c r="X661" s="1302"/>
      <c r="Y661" s="1295"/>
      <c r="Z661" s="1292"/>
      <c r="AA661" s="1292"/>
      <c r="AB661" s="1293"/>
      <c r="AC661" s="1544"/>
      <c r="AD661" s="1544"/>
      <c r="AE661" s="1544"/>
      <c r="AF661" s="1544"/>
      <c r="AI661" s="3056" t="str">
        <f>"52:jyakuninti_uke_code:" &amp; IF(I661="■",1,IF(L661="■",2,0))</f>
        <v>52:jyakuninti_uke_code:0</v>
      </c>
    </row>
    <row r="662" spans="1:35" s="3056" customFormat="1" ht="18.75" customHeight="1">
      <c r="A662" s="3069" t="s">
        <v>121</v>
      </c>
      <c r="B662" s="1407">
        <v>52</v>
      </c>
      <c r="C662" s="1287" t="s">
        <v>1252</v>
      </c>
      <c r="D662" s="3069" t="s">
        <v>121</v>
      </c>
      <c r="E662" s="1275" t="s">
        <v>1253</v>
      </c>
      <c r="F662" s="3069" t="s">
        <v>121</v>
      </c>
      <c r="G662" s="1275" t="s">
        <v>1254</v>
      </c>
      <c r="H662" s="1311" t="s">
        <v>1255</v>
      </c>
      <c r="I662" s="3066" t="s">
        <v>121</v>
      </c>
      <c r="J662" s="1298" t="s">
        <v>1230</v>
      </c>
      <c r="K662" s="1298"/>
      <c r="L662" s="3065" t="s">
        <v>121</v>
      </c>
      <c r="M662" s="1298" t="s">
        <v>1256</v>
      </c>
      <c r="N662" s="1298"/>
      <c r="O662" s="3065" t="s">
        <v>121</v>
      </c>
      <c r="P662" s="1298" t="s">
        <v>1257</v>
      </c>
      <c r="Q662" s="1299"/>
      <c r="R662" s="1299"/>
      <c r="S662" s="1298"/>
      <c r="T662" s="1298"/>
      <c r="U662" s="1298"/>
      <c r="V662" s="1298"/>
      <c r="W662" s="1298"/>
      <c r="X662" s="1310"/>
      <c r="Y662" s="1295"/>
      <c r="Z662" s="1292"/>
      <c r="AA662" s="1292"/>
      <c r="AB662" s="1293"/>
      <c r="AC662" s="1544"/>
      <c r="AD662" s="1544"/>
      <c r="AE662" s="1544"/>
      <c r="AF662" s="1544"/>
      <c r="AI662" s="3056" t="str">
        <f>"52:zaitaku_hukki_code:" &amp; IF(I662="■",1,IF(L662="■",2,IF(O662="■",3,0)))</f>
        <v>52:zaitaku_hukki_code:0</v>
      </c>
    </row>
    <row r="663" spans="1:35" s="3056" customFormat="1" ht="18.75" customHeight="1">
      <c r="A663" s="735"/>
      <c r="B663" s="1407"/>
      <c r="C663" s="1287"/>
      <c r="D663" s="1288"/>
      <c r="E663" s="1275"/>
      <c r="F663" s="3069" t="s">
        <v>121</v>
      </c>
      <c r="G663" s="1275" t="s">
        <v>1259</v>
      </c>
      <c r="H663" s="1409" t="s">
        <v>144</v>
      </c>
      <c r="I663" s="3063" t="s">
        <v>121</v>
      </c>
      <c r="J663" s="1296" t="s">
        <v>1230</v>
      </c>
      <c r="K663" s="1309"/>
      <c r="L663" s="3062" t="s">
        <v>121</v>
      </c>
      <c r="M663" s="1296" t="s">
        <v>1248</v>
      </c>
      <c r="N663" s="1299"/>
      <c r="O663" s="1299"/>
      <c r="P663" s="1299"/>
      <c r="Q663" s="1299"/>
      <c r="R663" s="1299"/>
      <c r="S663" s="1299"/>
      <c r="T663" s="1299"/>
      <c r="U663" s="1299"/>
      <c r="V663" s="1299"/>
      <c r="W663" s="1299"/>
      <c r="X663" s="1302"/>
      <c r="Y663" s="1295"/>
      <c r="Z663" s="1292"/>
      <c r="AA663" s="1292"/>
      <c r="AB663" s="1293"/>
      <c r="AC663" s="1544"/>
      <c r="AD663" s="1544"/>
      <c r="AE663" s="1544"/>
      <c r="AF663" s="1544"/>
      <c r="AI663" s="3056" t="str">
        <f>"52:terminal_code:" &amp; IF(I663="■",1,IF(L663="■",2,0))</f>
        <v>52:terminal_code:0</v>
      </c>
    </row>
    <row r="664" spans="1:35" s="3056" customFormat="1" ht="18.75" customHeight="1">
      <c r="A664" s="735"/>
      <c r="B664" s="1407"/>
      <c r="C664" s="1287"/>
      <c r="D664" s="1288"/>
      <c r="E664" s="1275"/>
      <c r="F664" s="1288"/>
      <c r="G664" s="1275"/>
      <c r="H664" s="1409" t="s">
        <v>755</v>
      </c>
      <c r="I664" s="3063" t="s">
        <v>121</v>
      </c>
      <c r="J664" s="1296" t="s">
        <v>1230</v>
      </c>
      <c r="K664" s="1309"/>
      <c r="L664" s="3062" t="s">
        <v>121</v>
      </c>
      <c r="M664" s="1296" t="s">
        <v>1248</v>
      </c>
      <c r="N664" s="1299"/>
      <c r="O664" s="1299"/>
      <c r="P664" s="1299"/>
      <c r="Q664" s="1299"/>
      <c r="R664" s="1299"/>
      <c r="S664" s="1299"/>
      <c r="T664" s="1299"/>
      <c r="U664" s="1299"/>
      <c r="V664" s="1299"/>
      <c r="W664" s="1299"/>
      <c r="X664" s="1302"/>
      <c r="Y664" s="1295"/>
      <c r="Z664" s="1292"/>
      <c r="AA664" s="1292"/>
      <c r="AB664" s="1293"/>
      <c r="AC664" s="1544"/>
      <c r="AD664" s="1544"/>
      <c r="AE664" s="1544"/>
      <c r="AF664" s="1544"/>
      <c r="AI664" s="3056" t="str">
        <f>"52:field207:" &amp; IF(I664="■",1,IF(L664="■",2,0))</f>
        <v>52:field207:0</v>
      </c>
    </row>
    <row r="665" spans="1:35" s="3056" customFormat="1" ht="18.75" customHeight="1">
      <c r="A665" s="735"/>
      <c r="B665" s="1407"/>
      <c r="C665" s="1287"/>
      <c r="D665" s="1288"/>
      <c r="E665" s="1275"/>
      <c r="F665" s="1288"/>
      <c r="G665" s="1275"/>
      <c r="H665" s="1409" t="s">
        <v>145</v>
      </c>
      <c r="I665" s="3063" t="s">
        <v>121</v>
      </c>
      <c r="J665" s="1296" t="s">
        <v>1230</v>
      </c>
      <c r="K665" s="1309"/>
      <c r="L665" s="3062" t="s">
        <v>121</v>
      </c>
      <c r="M665" s="1296" t="s">
        <v>1248</v>
      </c>
      <c r="N665" s="1299"/>
      <c r="O665" s="1298"/>
      <c r="P665" s="1298"/>
      <c r="Q665" s="1298"/>
      <c r="R665" s="1298"/>
      <c r="S665" s="1298"/>
      <c r="T665" s="1298"/>
      <c r="U665" s="1298"/>
      <c r="V665" s="1298"/>
      <c r="W665" s="1298"/>
      <c r="X665" s="1310"/>
      <c r="Y665" s="1295"/>
      <c r="Z665" s="1292"/>
      <c r="AA665" s="1292"/>
      <c r="AB665" s="1293"/>
      <c r="AC665" s="1544"/>
      <c r="AD665" s="1544"/>
      <c r="AE665" s="1544"/>
      <c r="AF665" s="1544"/>
      <c r="AI665" s="3056" t="str">
        <f>"52:ryouyoushoku_code:" &amp; IF(I665="■",1,IF(L665="■",2,0))</f>
        <v>52:ryouyoushoku_code:0</v>
      </c>
    </row>
    <row r="666" spans="1:35" s="3056" customFormat="1" ht="18.75" customHeight="1">
      <c r="A666" s="735"/>
      <c r="B666" s="1407"/>
      <c r="C666" s="1287"/>
      <c r="D666" s="1288"/>
      <c r="E666" s="1275"/>
      <c r="F666" s="1289"/>
      <c r="G666" s="1275"/>
      <c r="H666" s="1409" t="s">
        <v>1260</v>
      </c>
      <c r="I666" s="3066" t="s">
        <v>121</v>
      </c>
      <c r="J666" s="1298" t="s">
        <v>1230</v>
      </c>
      <c r="K666" s="1298"/>
      <c r="L666" s="3065" t="s">
        <v>121</v>
      </c>
      <c r="M666" s="1298" t="s">
        <v>1256</v>
      </c>
      <c r="N666" s="1298"/>
      <c r="O666" s="3065" t="s">
        <v>121</v>
      </c>
      <c r="P666" s="1298" t="s">
        <v>1257</v>
      </c>
      <c r="Q666" s="1299"/>
      <c r="R666" s="1299"/>
      <c r="S666" s="1298"/>
      <c r="T666" s="1298"/>
      <c r="U666" s="1298"/>
      <c r="V666" s="1298"/>
      <c r="W666" s="1298"/>
      <c r="X666" s="1310"/>
      <c r="Y666" s="1295"/>
      <c r="Z666" s="1292"/>
      <c r="AA666" s="1292"/>
      <c r="AB666" s="1293"/>
      <c r="AC666" s="1544"/>
      <c r="AD666" s="1544"/>
      <c r="AE666" s="1544"/>
      <c r="AF666" s="1544"/>
      <c r="AI666" s="3056" t="str">
        <f>"52:ninti_senmoncare_code:" &amp; IF(I666="■",1,IF(O666="■",3,IF(L666="■",2,0)))</f>
        <v>52:ninti_senmoncare_code:0</v>
      </c>
    </row>
    <row r="667" spans="1:35" s="3056" customFormat="1" ht="18.75" customHeight="1">
      <c r="A667" s="735"/>
      <c r="B667" s="1407"/>
      <c r="C667" s="1287"/>
      <c r="D667" s="1288"/>
      <c r="E667" s="1275"/>
      <c r="F667" s="1289"/>
      <c r="G667" s="1275"/>
      <c r="H667" s="1409" t="s">
        <v>1261</v>
      </c>
      <c r="I667" s="3066" t="s">
        <v>121</v>
      </c>
      <c r="J667" s="1298" t="s">
        <v>1230</v>
      </c>
      <c r="K667" s="1298"/>
      <c r="L667" s="3065" t="s">
        <v>121</v>
      </c>
      <c r="M667" s="1298" t="s">
        <v>1256</v>
      </c>
      <c r="N667" s="1298"/>
      <c r="O667" s="3065" t="s">
        <v>121</v>
      </c>
      <c r="P667" s="1298" t="s">
        <v>1257</v>
      </c>
      <c r="Q667" s="1299"/>
      <c r="R667" s="1299"/>
      <c r="S667" s="1299"/>
      <c r="T667" s="1299"/>
      <c r="U667" s="1299"/>
      <c r="V667" s="1299"/>
      <c r="W667" s="1299"/>
      <c r="X667" s="1302"/>
      <c r="Y667" s="1295"/>
      <c r="Z667" s="1292"/>
      <c r="AA667" s="1292"/>
      <c r="AB667" s="1293"/>
      <c r="AC667" s="1544"/>
      <c r="AD667" s="1544"/>
      <c r="AE667" s="1544"/>
      <c r="AF667" s="1544"/>
      <c r="AI667" s="3056" t="str">
        <f>"52:field228:" &amp; IF(I667="■",1,IF(L667="■",2,IF(O667="■",3,0)))</f>
        <v>52:field228:0</v>
      </c>
    </row>
    <row r="668" spans="1:35" s="3056" customFormat="1" ht="18.75" customHeight="1">
      <c r="A668" s="735"/>
      <c r="B668" s="1407"/>
      <c r="C668" s="1287"/>
      <c r="D668" s="1288"/>
      <c r="E668" s="1275"/>
      <c r="F668" s="1289"/>
      <c r="G668" s="1275"/>
      <c r="H668" s="1312" t="s">
        <v>1262</v>
      </c>
      <c r="I668" s="3063" t="s">
        <v>121</v>
      </c>
      <c r="J668" s="1296" t="s">
        <v>1230</v>
      </c>
      <c r="K668" s="1309"/>
      <c r="L668" s="3065" t="s">
        <v>121</v>
      </c>
      <c r="M668" s="1298" t="s">
        <v>1263</v>
      </c>
      <c r="N668" s="1298"/>
      <c r="O668" s="3065" t="s">
        <v>121</v>
      </c>
      <c r="P668" s="1298" t="s">
        <v>1287</v>
      </c>
      <c r="Q668" s="1299"/>
      <c r="R668" s="1299"/>
      <c r="S668" s="1299"/>
      <c r="T668" s="1299"/>
      <c r="U668" s="1299"/>
      <c r="V668" s="1299"/>
      <c r="W668" s="1299"/>
      <c r="X668" s="1302"/>
      <c r="Y668" s="1295"/>
      <c r="Z668" s="1292"/>
      <c r="AA668" s="1292"/>
      <c r="AB668" s="1293"/>
      <c r="AC668" s="1544"/>
      <c r="AD668" s="1544"/>
      <c r="AE668" s="1544"/>
      <c r="AF668" s="1544"/>
      <c r="AI668" s="3056" t="str">
        <f>"52:field216:" &amp; IF(I668="■",1,IF(L668="■",2,IF(O668="■",3,0)))</f>
        <v>52:field216:0</v>
      </c>
    </row>
    <row r="669" spans="1:35" s="3056" customFormat="1" ht="18.75" customHeight="1">
      <c r="A669" s="735"/>
      <c r="B669" s="1407"/>
      <c r="C669" s="1287"/>
      <c r="D669" s="1288"/>
      <c r="E669" s="1275"/>
      <c r="F669" s="1289"/>
      <c r="G669" s="1275"/>
      <c r="H669" s="1409" t="s">
        <v>1264</v>
      </c>
      <c r="I669" s="3063" t="s">
        <v>121</v>
      </c>
      <c r="J669" s="1296" t="s">
        <v>1230</v>
      </c>
      <c r="K669" s="1309"/>
      <c r="L669" s="3062" t="s">
        <v>121</v>
      </c>
      <c r="M669" s="1296" t="s">
        <v>1248</v>
      </c>
      <c r="N669" s="1299"/>
      <c r="O669" s="1299"/>
      <c r="P669" s="1299"/>
      <c r="Q669" s="1299"/>
      <c r="R669" s="1299"/>
      <c r="S669" s="1299"/>
      <c r="T669" s="1299"/>
      <c r="U669" s="1299"/>
      <c r="V669" s="1299"/>
      <c r="W669" s="1299"/>
      <c r="X669" s="1302"/>
      <c r="Y669" s="1295"/>
      <c r="Z669" s="1292"/>
      <c r="AA669" s="1292"/>
      <c r="AB669" s="1293"/>
      <c r="AC669" s="1544"/>
      <c r="AD669" s="1544"/>
      <c r="AE669" s="1544"/>
      <c r="AF669" s="1544"/>
      <c r="AI669" s="3056" t="str">
        <f>"52:field177:" &amp; IF(I669="■",1,IF(L669="■",2,0))</f>
        <v>52:field177:0</v>
      </c>
    </row>
    <row r="670" spans="1:35" s="3056" customFormat="1" ht="18.75" customHeight="1">
      <c r="A670" s="735"/>
      <c r="B670" s="1407"/>
      <c r="C670" s="1287"/>
      <c r="D670" s="1288"/>
      <c r="E670" s="1275"/>
      <c r="F670" s="1289"/>
      <c r="G670" s="1275"/>
      <c r="H670" s="1312" t="s">
        <v>757</v>
      </c>
      <c r="I670" s="3063" t="s">
        <v>121</v>
      </c>
      <c r="J670" s="1296" t="s">
        <v>1230</v>
      </c>
      <c r="K670" s="1309"/>
      <c r="L670" s="3062" t="s">
        <v>121</v>
      </c>
      <c r="M670" s="1296" t="s">
        <v>1248</v>
      </c>
      <c r="N670" s="1299"/>
      <c r="O670" s="1299"/>
      <c r="P670" s="1299"/>
      <c r="Q670" s="1299"/>
      <c r="R670" s="1299"/>
      <c r="S670" s="1299"/>
      <c r="T670" s="1299"/>
      <c r="U670" s="1299"/>
      <c r="V670" s="1299"/>
      <c r="W670" s="1299"/>
      <c r="X670" s="1302"/>
      <c r="Y670" s="1295"/>
      <c r="Z670" s="1292"/>
      <c r="AA670" s="1292"/>
      <c r="AB670" s="1293"/>
      <c r="AC670" s="1544"/>
      <c r="AD670" s="1544"/>
      <c r="AE670" s="1544"/>
      <c r="AF670" s="1544"/>
      <c r="AI670" s="3056" t="str">
        <f>"52:field210:" &amp; IF(I670="■",1,IF(L670="■",2,0))</f>
        <v>52:field210:0</v>
      </c>
    </row>
    <row r="671" spans="1:35" s="3056" customFormat="1" ht="18.75" customHeight="1">
      <c r="A671" s="735"/>
      <c r="B671" s="1407"/>
      <c r="C671" s="1287"/>
      <c r="D671" s="1288"/>
      <c r="E671" s="1275"/>
      <c r="F671" s="1289"/>
      <c r="G671" s="1275"/>
      <c r="H671" s="1409" t="s">
        <v>758</v>
      </c>
      <c r="I671" s="3063" t="s">
        <v>121</v>
      </c>
      <c r="J671" s="1296" t="s">
        <v>1230</v>
      </c>
      <c r="K671" s="1309"/>
      <c r="L671" s="3062" t="s">
        <v>121</v>
      </c>
      <c r="M671" s="1296" t="s">
        <v>1248</v>
      </c>
      <c r="N671" s="1299"/>
      <c r="O671" s="1299"/>
      <c r="P671" s="1299"/>
      <c r="Q671" s="1299"/>
      <c r="R671" s="1299"/>
      <c r="S671" s="1299"/>
      <c r="T671" s="1299"/>
      <c r="U671" s="1299"/>
      <c r="V671" s="1299"/>
      <c r="W671" s="1299"/>
      <c r="X671" s="1302"/>
      <c r="Y671" s="1295"/>
      <c r="Z671" s="1292"/>
      <c r="AA671" s="1292"/>
      <c r="AB671" s="1293"/>
      <c r="AC671" s="1544"/>
      <c r="AD671" s="1544"/>
      <c r="AE671" s="1544"/>
      <c r="AF671" s="1544"/>
      <c r="AI671" s="3056" t="str">
        <f>"52:field211:" &amp; IF(I671="■",1,IF(L671="■",2,0))</f>
        <v>52:field211:0</v>
      </c>
    </row>
    <row r="672" spans="1:35" s="3056" customFormat="1" ht="18.75" customHeight="1">
      <c r="A672" s="735"/>
      <c r="B672" s="1407"/>
      <c r="C672" s="1287"/>
      <c r="D672" s="1288"/>
      <c r="E672" s="1275"/>
      <c r="F672" s="1289"/>
      <c r="G672" s="1275"/>
      <c r="H672" s="1409" t="s">
        <v>764</v>
      </c>
      <c r="I672" s="3063" t="s">
        <v>121</v>
      </c>
      <c r="J672" s="1296" t="s">
        <v>1230</v>
      </c>
      <c r="K672" s="1309"/>
      <c r="L672" s="3062" t="s">
        <v>121</v>
      </c>
      <c r="M672" s="1296" t="s">
        <v>1248</v>
      </c>
      <c r="N672" s="1299"/>
      <c r="O672" s="1299"/>
      <c r="P672" s="1299"/>
      <c r="Q672" s="1299"/>
      <c r="R672" s="1299"/>
      <c r="S672" s="1299"/>
      <c r="T672" s="1299"/>
      <c r="U672" s="1299"/>
      <c r="V672" s="1299"/>
      <c r="W672" s="1299"/>
      <c r="X672" s="1302"/>
      <c r="Y672" s="1295"/>
      <c r="Z672" s="1292"/>
      <c r="AA672" s="1292"/>
      <c r="AB672" s="1293"/>
      <c r="AC672" s="1544"/>
      <c r="AD672" s="1544"/>
      <c r="AE672" s="1544"/>
      <c r="AF672" s="1544"/>
      <c r="AI672" s="3056" t="str">
        <f>"52:field212:" &amp; IF(I672="■",1,IF(L672="■",2,0))</f>
        <v>52:field212:0</v>
      </c>
    </row>
    <row r="673" spans="1:36" s="3056" customFormat="1" ht="18.75" customHeight="1">
      <c r="A673" s="735"/>
      <c r="B673" s="1407"/>
      <c r="C673" s="1287"/>
      <c r="D673" s="1288"/>
      <c r="E673" s="1275"/>
      <c r="F673" s="1289"/>
      <c r="G673" s="1275"/>
      <c r="H673" s="1409" t="s">
        <v>760</v>
      </c>
      <c r="I673" s="3063" t="s">
        <v>121</v>
      </c>
      <c r="J673" s="1296" t="s">
        <v>1230</v>
      </c>
      <c r="K673" s="1309"/>
      <c r="L673" s="3062" t="s">
        <v>121</v>
      </c>
      <c r="M673" s="1296" t="s">
        <v>1248</v>
      </c>
      <c r="N673" s="1299"/>
      <c r="O673" s="1299"/>
      <c r="P673" s="1299"/>
      <c r="Q673" s="1299"/>
      <c r="R673" s="1299"/>
      <c r="S673" s="1299"/>
      <c r="T673" s="1299"/>
      <c r="U673" s="1299"/>
      <c r="V673" s="1299"/>
      <c r="W673" s="1299"/>
      <c r="X673" s="1302"/>
      <c r="Y673" s="1295"/>
      <c r="Z673" s="1292"/>
      <c r="AA673" s="1292"/>
      <c r="AB673" s="1293"/>
      <c r="AC673" s="1544"/>
      <c r="AD673" s="1544"/>
      <c r="AE673" s="1544"/>
      <c r="AF673" s="1544"/>
      <c r="AI673" s="3056" t="str">
        <f>"52:field209:" &amp; IF(I673="■",1,IF(L673="■",2,0))</f>
        <v>52:field209:0</v>
      </c>
    </row>
    <row r="674" spans="1:36" s="3056" customFormat="1" ht="18.75" customHeight="1">
      <c r="A674" s="735"/>
      <c r="B674" s="1407"/>
      <c r="C674" s="1287"/>
      <c r="D674" s="1288"/>
      <c r="E674" s="1275"/>
      <c r="F674" s="1289"/>
      <c r="G674" s="1275"/>
      <c r="H674" s="1409" t="s">
        <v>1288</v>
      </c>
      <c r="I674" s="3066" t="s">
        <v>121</v>
      </c>
      <c r="J674" s="1298" t="s">
        <v>1230</v>
      </c>
      <c r="K674" s="1298"/>
      <c r="L674" s="3065" t="s">
        <v>121</v>
      </c>
      <c r="M674" s="1296" t="s">
        <v>1248</v>
      </c>
      <c r="N674" s="1298"/>
      <c r="O674" s="1298"/>
      <c r="P674" s="1298"/>
      <c r="Q674" s="1299"/>
      <c r="R674" s="1299"/>
      <c r="S674" s="1299"/>
      <c r="T674" s="1299"/>
      <c r="U674" s="1299"/>
      <c r="V674" s="1299"/>
      <c r="W674" s="1299"/>
      <c r="X674" s="1302"/>
      <c r="Y674" s="1295"/>
      <c r="Z674" s="1292"/>
      <c r="AA674" s="1292"/>
      <c r="AB674" s="1293"/>
      <c r="AC674" s="1544"/>
      <c r="AD674" s="1544"/>
      <c r="AE674" s="1544"/>
      <c r="AF674" s="1544"/>
      <c r="AI674" s="3056" t="str">
        <f>"52:field226:" &amp; IF(I674="■",1,IF(L674="■",2,0))</f>
        <v>52:field226:0</v>
      </c>
    </row>
    <row r="675" spans="1:36" s="3056" customFormat="1" ht="18.75" customHeight="1">
      <c r="A675" s="735"/>
      <c r="B675" s="1407"/>
      <c r="C675" s="1287"/>
      <c r="D675" s="1288"/>
      <c r="E675" s="1275"/>
      <c r="F675" s="1289"/>
      <c r="G675" s="1275"/>
      <c r="H675" s="1409" t="s">
        <v>1289</v>
      </c>
      <c r="I675" s="3066" t="s">
        <v>121</v>
      </c>
      <c r="J675" s="1298" t="s">
        <v>1230</v>
      </c>
      <c r="K675" s="1298"/>
      <c r="L675" s="3065" t="s">
        <v>121</v>
      </c>
      <c r="M675" s="1296" t="s">
        <v>1248</v>
      </c>
      <c r="N675" s="1298"/>
      <c r="O675" s="1298"/>
      <c r="P675" s="1298"/>
      <c r="Q675" s="1299"/>
      <c r="R675" s="1299"/>
      <c r="S675" s="1299"/>
      <c r="T675" s="1299"/>
      <c r="U675" s="1299"/>
      <c r="V675" s="1299"/>
      <c r="W675" s="1299"/>
      <c r="X675" s="1302"/>
      <c r="Y675" s="1295"/>
      <c r="Z675" s="1292"/>
      <c r="AA675" s="1292"/>
      <c r="AB675" s="1293"/>
      <c r="AC675" s="1544"/>
      <c r="AD675" s="1544"/>
      <c r="AE675" s="1544"/>
      <c r="AF675" s="1544"/>
      <c r="AI675" s="3056" t="str">
        <f>"52:field227:" &amp; IF(I675="■",1,IF(L675="■",2,0))</f>
        <v>52:field227:0</v>
      </c>
    </row>
    <row r="676" spans="1:36" s="3056" customFormat="1" ht="18.75" customHeight="1">
      <c r="A676" s="735"/>
      <c r="B676" s="1407"/>
      <c r="C676" s="1287"/>
      <c r="D676" s="1288"/>
      <c r="E676" s="1275"/>
      <c r="F676" s="1289"/>
      <c r="G676" s="1275"/>
      <c r="H676" s="1313" t="s">
        <v>1265</v>
      </c>
      <c r="I676" s="3066" t="s">
        <v>121</v>
      </c>
      <c r="J676" s="1298" t="s">
        <v>1230</v>
      </c>
      <c r="K676" s="1298"/>
      <c r="L676" s="3065" t="s">
        <v>121</v>
      </c>
      <c r="M676" s="1298" t="s">
        <v>1256</v>
      </c>
      <c r="N676" s="1298"/>
      <c r="O676" s="3065" t="s">
        <v>121</v>
      </c>
      <c r="P676" s="1298" t="s">
        <v>1257</v>
      </c>
      <c r="Q676" s="1307"/>
      <c r="R676" s="1307"/>
      <c r="S676" s="1307"/>
      <c r="T676" s="1307"/>
      <c r="U676" s="1314"/>
      <c r="V676" s="1314"/>
      <c r="W676" s="1314"/>
      <c r="X676" s="1315"/>
      <c r="Y676" s="1295"/>
      <c r="Z676" s="1292"/>
      <c r="AA676" s="1292"/>
      <c r="AB676" s="1293"/>
      <c r="AC676" s="1544"/>
      <c r="AD676" s="1544"/>
      <c r="AE676" s="1544"/>
      <c r="AF676" s="1544"/>
      <c r="AI676" s="3056" t="str">
        <f>"52:field225:" &amp; IF(I676="■",1,IF(L676="■",2,IF(O676="■",3,0)))</f>
        <v>52:field225:0</v>
      </c>
    </row>
    <row r="677" spans="1:36" s="3056" customFormat="1" ht="18.75" customHeight="1">
      <c r="A677" s="735"/>
      <c r="B677" s="1407"/>
      <c r="C677" s="1287"/>
      <c r="D677" s="1288"/>
      <c r="E677" s="1275"/>
      <c r="F677" s="1289"/>
      <c r="G677" s="1275"/>
      <c r="H677" s="1409" t="s">
        <v>1266</v>
      </c>
      <c r="I677" s="3066" t="s">
        <v>121</v>
      </c>
      <c r="J677" s="1298" t="s">
        <v>1230</v>
      </c>
      <c r="K677" s="1298"/>
      <c r="L677" s="3065" t="s">
        <v>121</v>
      </c>
      <c r="M677" s="1298" t="s">
        <v>1267</v>
      </c>
      <c r="N677" s="1298"/>
      <c r="O677" s="3065" t="s">
        <v>121</v>
      </c>
      <c r="P677" s="1298" t="s">
        <v>1268</v>
      </c>
      <c r="Q677" s="1326"/>
      <c r="R677" s="3065" t="s">
        <v>121</v>
      </c>
      <c r="S677" s="1298" t="s">
        <v>1269</v>
      </c>
      <c r="T677" s="1298"/>
      <c r="U677" s="1298"/>
      <c r="V677" s="1298"/>
      <c r="W677" s="1298"/>
      <c r="X677" s="1310"/>
      <c r="Y677" s="1295"/>
      <c r="Z677" s="1292"/>
      <c r="AA677" s="1292"/>
      <c r="AB677" s="1293"/>
      <c r="AC677" s="1544"/>
      <c r="AD677" s="1544"/>
      <c r="AE677" s="1544"/>
      <c r="AF677" s="1544"/>
      <c r="AI677" s="3056" t="str">
        <f>"52:serteikyo_kyoka_code:" &amp; IF(I677="■",1,IF(L677="■",6,IF(O677="■",5,IF(R677="■",7,0))))</f>
        <v>52:serteikyo_kyoka_code:0</v>
      </c>
    </row>
    <row r="678" spans="1:36" s="3056" customFormat="1" ht="18.75" customHeight="1">
      <c r="A678" s="736"/>
      <c r="B678" s="1316"/>
      <c r="C678" s="1346"/>
      <c r="D678" s="1348"/>
      <c r="E678" s="1317"/>
      <c r="F678" s="1318"/>
      <c r="G678" s="1361"/>
      <c r="H678" s="3134" t="s">
        <v>2288</v>
      </c>
      <c r="I678" s="3060" t="s">
        <v>121</v>
      </c>
      <c r="J678" s="3130" t="s">
        <v>1230</v>
      </c>
      <c r="K678" s="3130"/>
      <c r="L678" s="3059" t="s">
        <v>121</v>
      </c>
      <c r="M678" s="3130" t="s">
        <v>2287</v>
      </c>
      <c r="N678" s="3133"/>
      <c r="O678" s="3059" t="s">
        <v>121</v>
      </c>
      <c r="P678" s="3132" t="s">
        <v>2286</v>
      </c>
      <c r="Q678" s="3131"/>
      <c r="R678" s="3059" t="s">
        <v>121</v>
      </c>
      <c r="S678" s="3130" t="s">
        <v>2285</v>
      </c>
      <c r="T678" s="3131"/>
      <c r="U678" s="3059" t="s">
        <v>121</v>
      </c>
      <c r="V678" s="3130" t="s">
        <v>2284</v>
      </c>
      <c r="W678" s="3129"/>
      <c r="X678" s="3128"/>
      <c r="Y678" s="1323"/>
      <c r="Z678" s="1323"/>
      <c r="AA678" s="1323"/>
      <c r="AB678" s="1324"/>
      <c r="AC678" s="1558"/>
      <c r="AD678" s="1558"/>
      <c r="AE678" s="1558"/>
      <c r="AF678" s="1558"/>
      <c r="AI678" s="3056" t="str">
        <f>"52:shoguukaizen_code:"&amp;IF(I678="■",1,IF(L678="■",7,IF(O678="■",8,IF(R678="■",9,IF(U678="■","A",0)))))</f>
        <v>52:shoguukaizen_code:0</v>
      </c>
    </row>
    <row r="679" spans="1:36" s="3056" customFormat="1" ht="18.75" customHeight="1">
      <c r="A679" s="1276"/>
      <c r="B679" s="1405"/>
      <c r="C679" s="1277"/>
      <c r="D679" s="1278"/>
      <c r="E679" s="1272"/>
      <c r="F679" s="1279"/>
      <c r="G679" s="1272"/>
      <c r="H679" s="1408" t="s">
        <v>1226</v>
      </c>
      <c r="I679" s="3074" t="s">
        <v>121</v>
      </c>
      <c r="J679" s="1280" t="s">
        <v>1227</v>
      </c>
      <c r="K679" s="1281"/>
      <c r="L679" s="1282"/>
      <c r="M679" s="3073" t="s">
        <v>121</v>
      </c>
      <c r="N679" s="1280" t="s">
        <v>1228</v>
      </c>
      <c r="O679" s="1284"/>
      <c r="P679" s="1281"/>
      <c r="Q679" s="1281"/>
      <c r="R679" s="1281"/>
      <c r="S679" s="1281"/>
      <c r="T679" s="1281"/>
      <c r="U679" s="1281"/>
      <c r="V679" s="1281"/>
      <c r="W679" s="1281"/>
      <c r="X679" s="1285"/>
      <c r="Y679" s="3119" t="s">
        <v>121</v>
      </c>
      <c r="Z679" s="1270" t="s">
        <v>1229</v>
      </c>
      <c r="AA679" s="1270"/>
      <c r="AB679" s="1286"/>
      <c r="AC679" s="1543"/>
      <c r="AD679" s="1543"/>
      <c r="AE679" s="1543"/>
      <c r="AF679" s="1543"/>
      <c r="AG679" s="3056" t="str">
        <f>"ser_code = '" &amp; IF(A693="■",52,"") &amp; "'"</f>
        <v>ser_code = ''</v>
      </c>
      <c r="AH679" s="3056" t="str">
        <f>"52:jininkbn_code:" &amp; IF(F693="■",1,IF(F694="■",2,0))</f>
        <v>52:jininkbn_code:0</v>
      </c>
      <c r="AI679" s="3056" t="str">
        <f>"52:yakan_kinmu_code:" &amp; IF(I679="■",1,IF(M679="■",6,0))</f>
        <v>52:yakan_kinmu_code:0</v>
      </c>
      <c r="AJ679" s="3056" t="str">
        <f>"52:field203:" &amp; IF(Y679="■",1,IF(Y680="■",2,0))</f>
        <v>52:field203:0</v>
      </c>
    </row>
    <row r="680" spans="1:36" s="3056" customFormat="1" ht="18.75" customHeight="1">
      <c r="A680" s="735"/>
      <c r="B680" s="1407"/>
      <c r="C680" s="1287"/>
      <c r="D680" s="1288"/>
      <c r="E680" s="1275"/>
      <c r="F680" s="1289"/>
      <c r="G680" s="1275"/>
      <c r="H680" s="1541" t="s">
        <v>90</v>
      </c>
      <c r="I680" s="3137" t="s">
        <v>121</v>
      </c>
      <c r="J680" s="1290" t="s">
        <v>1230</v>
      </c>
      <c r="K680" s="1290"/>
      <c r="L680" s="1402"/>
      <c r="M680" s="3136" t="s">
        <v>121</v>
      </c>
      <c r="N680" s="1290" t="s">
        <v>1231</v>
      </c>
      <c r="O680" s="1290"/>
      <c r="P680" s="1402"/>
      <c r="Q680" s="3136" t="s">
        <v>121</v>
      </c>
      <c r="R680" s="1402" t="s">
        <v>1232</v>
      </c>
      <c r="S680" s="1402"/>
      <c r="T680" s="1402"/>
      <c r="U680" s="3136" t="s">
        <v>121</v>
      </c>
      <c r="V680" s="1402" t="s">
        <v>1233</v>
      </c>
      <c r="W680" s="1402"/>
      <c r="X680" s="1291"/>
      <c r="Y680" s="3069" t="s">
        <v>121</v>
      </c>
      <c r="Z680" s="1273" t="s">
        <v>1234</v>
      </c>
      <c r="AA680" s="1292"/>
      <c r="AB680" s="1293"/>
      <c r="AC680" s="1544"/>
      <c r="AD680" s="1544"/>
      <c r="AE680" s="1544"/>
      <c r="AF680" s="1544"/>
      <c r="AG680" s="3056" t="str">
        <f>"52:sisetukbn_code:" &amp; IF(D693="■",2,0)</f>
        <v>52:sisetukbn_code:0</v>
      </c>
      <c r="AI680" s="3056" t="str">
        <f>"52:"&amp;IF(AND(I680="□",M680="□",Q680="□",U680="□",I681="□",M681="□",Q681="□",I682="□"),"ketu_doctor_code:0",IF(I680="■","ketu_doctor_code:1:ketu_kangos_code:1:ketu_kshoku_code:1:ketu_rryoho_code:1:ketu_sryoho_code:1:ketu_ksiensou_code:1:ketu_gengo_code:1",IF(M680="■","ketu_doctor_code:2","ketu_doctor_code:1")
&amp;IF(Q680="■",":ketu_kangos_code:2",":ketu_kangos_code:1")
&amp;IF(U680="■",":ketu_kshoku_code:2",":ketu_kshoku_code:1")
&amp;IF(I681="■",":ketu_rryoho_code:2",":ketu_rryoho_code:1")
&amp;IF(M681="■",":ketu_sryoho_code:2",":ketu_sryoho_code:1")
&amp;IF(Q681="■",":ketu_ksiensou_code:2",":ketu_ksiensou_code:1")
&amp;IF(I682="■",":ketu_gengo_code:2",":ketu_gengo_code:1")))</f>
        <v>52:ketu_doctor_code:0</v>
      </c>
    </row>
    <row r="681" spans="1:36" s="3056" customFormat="1" ht="18.75" customHeight="1">
      <c r="A681" s="735"/>
      <c r="B681" s="1407"/>
      <c r="C681" s="1287"/>
      <c r="D681" s="1288"/>
      <c r="E681" s="1275"/>
      <c r="F681" s="1289"/>
      <c r="G681" s="1275"/>
      <c r="H681" s="1546"/>
      <c r="I681" s="3069" t="s">
        <v>121</v>
      </c>
      <c r="J681" s="1273" t="s">
        <v>1235</v>
      </c>
      <c r="K681" s="1273"/>
      <c r="L681" s="1412"/>
      <c r="M681" s="3122" t="s">
        <v>121</v>
      </c>
      <c r="N681" s="1273" t="s">
        <v>1236</v>
      </c>
      <c r="O681" s="1273"/>
      <c r="P681" s="1412"/>
      <c r="Q681" s="3122" t="s">
        <v>121</v>
      </c>
      <c r="R681" s="1412" t="s">
        <v>1237</v>
      </c>
      <c r="S681" s="1412"/>
      <c r="T681" s="1412"/>
      <c r="U681" s="1412"/>
      <c r="V681" s="1412"/>
      <c r="W681" s="1412"/>
      <c r="X681" s="1294"/>
      <c r="Y681" s="1295"/>
      <c r="Z681" s="1292"/>
      <c r="AA681" s="1292"/>
      <c r="AB681" s="1293"/>
      <c r="AC681" s="1544"/>
      <c r="AD681" s="1544"/>
      <c r="AE681" s="1544"/>
      <c r="AF681" s="1544"/>
    </row>
    <row r="682" spans="1:36" s="3056" customFormat="1" ht="18.75" customHeight="1">
      <c r="A682" s="735"/>
      <c r="B682" s="1407"/>
      <c r="C682" s="1287"/>
      <c r="D682" s="1288"/>
      <c r="E682" s="1275"/>
      <c r="F682" s="1289"/>
      <c r="G682" s="1275"/>
      <c r="H682" s="1542"/>
      <c r="I682" s="3063" t="s">
        <v>121</v>
      </c>
      <c r="J682" s="1296" t="s">
        <v>1238</v>
      </c>
      <c r="K682" s="1296"/>
      <c r="L682" s="1403"/>
      <c r="M682" s="1296"/>
      <c r="N682" s="1296"/>
      <c r="O682" s="1296"/>
      <c r="P682" s="1403"/>
      <c r="Q682" s="1296"/>
      <c r="R682" s="1403"/>
      <c r="S682" s="1403"/>
      <c r="T682" s="1403"/>
      <c r="U682" s="1403"/>
      <c r="V682" s="1403"/>
      <c r="W682" s="1403"/>
      <c r="X682" s="1297"/>
      <c r="Y682" s="1295"/>
      <c r="Z682" s="1292"/>
      <c r="AA682" s="1292"/>
      <c r="AB682" s="1293"/>
      <c r="AC682" s="1544"/>
      <c r="AD682" s="1544"/>
      <c r="AE682" s="1544"/>
      <c r="AF682" s="1544"/>
    </row>
    <row r="683" spans="1:36" s="3056" customFormat="1" ht="18.75" customHeight="1">
      <c r="A683" s="735"/>
      <c r="B683" s="1407"/>
      <c r="C683" s="1287"/>
      <c r="D683" s="1288"/>
      <c r="E683" s="1275"/>
      <c r="F683" s="1289"/>
      <c r="G683" s="1275"/>
      <c r="H683" s="1409" t="s">
        <v>91</v>
      </c>
      <c r="I683" s="3066" t="s">
        <v>121</v>
      </c>
      <c r="J683" s="1298" t="s">
        <v>1239</v>
      </c>
      <c r="K683" s="1299"/>
      <c r="L683" s="1300"/>
      <c r="M683" s="3065" t="s">
        <v>121</v>
      </c>
      <c r="N683" s="1298" t="s">
        <v>1240</v>
      </c>
      <c r="O683" s="1299"/>
      <c r="P683" s="1299"/>
      <c r="Q683" s="1299"/>
      <c r="R683" s="1299"/>
      <c r="S683" s="1299"/>
      <c r="T683" s="1299"/>
      <c r="U683" s="1299"/>
      <c r="V683" s="1299"/>
      <c r="W683" s="1299"/>
      <c r="X683" s="1302"/>
      <c r="Y683" s="1295"/>
      <c r="Z683" s="1292"/>
      <c r="AA683" s="1292"/>
      <c r="AB683" s="1293"/>
      <c r="AC683" s="1544"/>
      <c r="AD683" s="1544"/>
      <c r="AE683" s="1544"/>
      <c r="AF683" s="1544"/>
      <c r="AI683" s="3056" t="str">
        <f>"52:unitcare_code:" &amp; IF(I683="■",1,IF(M683="■",2,0))</f>
        <v>52:unitcare_code:0</v>
      </c>
    </row>
    <row r="684" spans="1:36" s="3056" customFormat="1" ht="18.75" customHeight="1">
      <c r="A684" s="735"/>
      <c r="B684" s="1407"/>
      <c r="C684" s="1287"/>
      <c r="D684" s="1288"/>
      <c r="E684" s="1275"/>
      <c r="F684" s="1289"/>
      <c r="G684" s="1275"/>
      <c r="H684" s="1409" t="s">
        <v>1241</v>
      </c>
      <c r="I684" s="3066" t="s">
        <v>121</v>
      </c>
      <c r="J684" s="1298" t="s">
        <v>1242</v>
      </c>
      <c r="K684" s="1299"/>
      <c r="L684" s="1300"/>
      <c r="M684" s="3065" t="s">
        <v>121</v>
      </c>
      <c r="N684" s="1298" t="s">
        <v>1243</v>
      </c>
      <c r="O684" s="1299"/>
      <c r="P684" s="1299"/>
      <c r="Q684" s="1299"/>
      <c r="R684" s="1299"/>
      <c r="S684" s="1299"/>
      <c r="T684" s="1299"/>
      <c r="U684" s="1299"/>
      <c r="V684" s="1299"/>
      <c r="W684" s="1299"/>
      <c r="X684" s="1302"/>
      <c r="Y684" s="1295"/>
      <c r="Z684" s="1292"/>
      <c r="AA684" s="1292"/>
      <c r="AB684" s="1293"/>
      <c r="AC684" s="1544"/>
      <c r="AD684" s="1544"/>
      <c r="AE684" s="1544"/>
      <c r="AF684" s="1544"/>
      <c r="AI684" s="3056" t="str">
        <f>"52:sintaikousoku_code:" &amp; IF(I684="■",1,IF(M684="■",2,0))</f>
        <v>52:sintaikousoku_code:0</v>
      </c>
    </row>
    <row r="685" spans="1:36" s="3056" customFormat="1" ht="18.75" customHeight="1">
      <c r="A685" s="735"/>
      <c r="B685" s="1407"/>
      <c r="C685" s="1287"/>
      <c r="D685" s="1288"/>
      <c r="E685" s="1275"/>
      <c r="F685" s="1289"/>
      <c r="G685" s="1275"/>
      <c r="H685" s="1409" t="s">
        <v>753</v>
      </c>
      <c r="I685" s="3066" t="s">
        <v>121</v>
      </c>
      <c r="J685" s="1298" t="s">
        <v>1242</v>
      </c>
      <c r="K685" s="1299"/>
      <c r="L685" s="1300"/>
      <c r="M685" s="3065" t="s">
        <v>121</v>
      </c>
      <c r="N685" s="1298" t="s">
        <v>1243</v>
      </c>
      <c r="O685" s="1299"/>
      <c r="P685" s="1299"/>
      <c r="Q685" s="1299"/>
      <c r="R685" s="1299"/>
      <c r="S685" s="1299"/>
      <c r="T685" s="1299"/>
      <c r="U685" s="1299"/>
      <c r="V685" s="1299"/>
      <c r="W685" s="1299"/>
      <c r="X685" s="1302"/>
      <c r="Y685" s="1295"/>
      <c r="Z685" s="1292"/>
      <c r="AA685" s="1292"/>
      <c r="AB685" s="1293"/>
      <c r="AC685" s="1544"/>
      <c r="AD685" s="1544"/>
      <c r="AE685" s="1544"/>
      <c r="AF685" s="1544"/>
      <c r="AI685" s="3056" t="str">
        <f>"52:field208:" &amp; IF(I685="■",1,IF(M685="■",2,0))</f>
        <v>52:field208:0</v>
      </c>
    </row>
    <row r="686" spans="1:36" s="3056" customFormat="1" ht="19.5" customHeight="1">
      <c r="A686" s="735"/>
      <c r="B686" s="1407"/>
      <c r="C686" s="1303"/>
      <c r="D686" s="1304"/>
      <c r="E686" s="1275"/>
      <c r="F686" s="1289"/>
      <c r="G686" s="1305"/>
      <c r="H686" s="1306" t="s">
        <v>1244</v>
      </c>
      <c r="I686" s="3066" t="s">
        <v>121</v>
      </c>
      <c r="J686" s="1298" t="s">
        <v>1242</v>
      </c>
      <c r="K686" s="1299"/>
      <c r="L686" s="1300"/>
      <c r="M686" s="3065" t="s">
        <v>121</v>
      </c>
      <c r="N686" s="1298" t="s">
        <v>1245</v>
      </c>
      <c r="O686" s="1301"/>
      <c r="P686" s="1298"/>
      <c r="Q686" s="1307"/>
      <c r="R686" s="1307"/>
      <c r="S686" s="1307"/>
      <c r="T686" s="1307"/>
      <c r="U686" s="1307"/>
      <c r="V686" s="1307"/>
      <c r="W686" s="1307"/>
      <c r="X686" s="1308"/>
      <c r="Y686" s="1292"/>
      <c r="Z686" s="1292"/>
      <c r="AA686" s="1292"/>
      <c r="AB686" s="1293"/>
      <c r="AC686" s="1544"/>
      <c r="AD686" s="1544"/>
      <c r="AE686" s="1544"/>
      <c r="AF686" s="1544"/>
      <c r="AI686" s="3056" t="str">
        <f>"52:field223:" &amp; IF(I686="■",1,IF(M686="■",2,0))</f>
        <v>52:field223:0</v>
      </c>
    </row>
    <row r="687" spans="1:36" s="3056" customFormat="1" ht="19.5" customHeight="1">
      <c r="A687" s="735"/>
      <c r="B687" s="1407"/>
      <c r="C687" s="1303"/>
      <c r="D687" s="1304"/>
      <c r="E687" s="1275"/>
      <c r="F687" s="1289"/>
      <c r="G687" s="1305"/>
      <c r="H687" s="1306" t="s">
        <v>1246</v>
      </c>
      <c r="I687" s="3066" t="s">
        <v>121</v>
      </c>
      <c r="J687" s="1298" t="s">
        <v>1242</v>
      </c>
      <c r="K687" s="1299"/>
      <c r="L687" s="1300"/>
      <c r="M687" s="3065" t="s">
        <v>121</v>
      </c>
      <c r="N687" s="1298" t="s">
        <v>1245</v>
      </c>
      <c r="O687" s="1301"/>
      <c r="P687" s="1298"/>
      <c r="Q687" s="1307"/>
      <c r="R687" s="1307"/>
      <c r="S687" s="1307"/>
      <c r="T687" s="1307"/>
      <c r="U687" s="1307"/>
      <c r="V687" s="1307"/>
      <c r="W687" s="1307"/>
      <c r="X687" s="1308"/>
      <c r="Y687" s="1292"/>
      <c r="Z687" s="1292"/>
      <c r="AA687" s="1292"/>
      <c r="AB687" s="1293"/>
      <c r="AC687" s="1544"/>
      <c r="AD687" s="1544"/>
      <c r="AE687" s="1544"/>
      <c r="AF687" s="1544"/>
      <c r="AI687" s="3056" t="str">
        <f>"52:field232:" &amp; IF(I687="■",1,IF(M687="■",2,0))</f>
        <v>52:field232:0</v>
      </c>
    </row>
    <row r="688" spans="1:36" s="3056" customFormat="1" ht="37.5" customHeight="1">
      <c r="A688" s="735"/>
      <c r="B688" s="1407"/>
      <c r="C688" s="1287"/>
      <c r="D688" s="1288"/>
      <c r="E688" s="1275"/>
      <c r="F688" s="1289"/>
      <c r="G688" s="1275"/>
      <c r="H688" s="1410" t="s">
        <v>1247</v>
      </c>
      <c r="I688" s="3063" t="s">
        <v>121</v>
      </c>
      <c r="J688" s="1296" t="s">
        <v>1230</v>
      </c>
      <c r="K688" s="1309"/>
      <c r="L688" s="3062" t="s">
        <v>121</v>
      </c>
      <c r="M688" s="1296" t="s">
        <v>1248</v>
      </c>
      <c r="N688" s="1299"/>
      <c r="O688" s="1298"/>
      <c r="P688" s="1298"/>
      <c r="Q688" s="1298"/>
      <c r="R688" s="1298"/>
      <c r="S688" s="1298"/>
      <c r="T688" s="1298"/>
      <c r="U688" s="1298"/>
      <c r="V688" s="1298"/>
      <c r="W688" s="1298"/>
      <c r="X688" s="1310"/>
      <c r="Y688" s="1295"/>
      <c r="Z688" s="1292"/>
      <c r="AA688" s="1292"/>
      <c r="AB688" s="1293"/>
      <c r="AC688" s="1544"/>
      <c r="AD688" s="1544"/>
      <c r="AE688" s="1544"/>
      <c r="AF688" s="1544"/>
      <c r="AI688" s="3056" t="str">
        <f>"52:field206:" &amp; IF(I688="■",1,IF(L688="■",2,0))</f>
        <v>52:field206:0</v>
      </c>
    </row>
    <row r="689" spans="1:35" s="3056" customFormat="1" ht="18.75" customHeight="1">
      <c r="A689" s="735"/>
      <c r="B689" s="1407"/>
      <c r="C689" s="1287"/>
      <c r="D689" s="1288"/>
      <c r="E689" s="1275"/>
      <c r="F689" s="1289"/>
      <c r="G689" s="1275"/>
      <c r="H689" s="1409" t="s">
        <v>140</v>
      </c>
      <c r="I689" s="3063" t="s">
        <v>121</v>
      </c>
      <c r="J689" s="1296" t="s">
        <v>1230</v>
      </c>
      <c r="K689" s="1309"/>
      <c r="L689" s="3062" t="s">
        <v>121</v>
      </c>
      <c r="M689" s="1296" t="s">
        <v>1248</v>
      </c>
      <c r="N689" s="1299"/>
      <c r="O689" s="1298"/>
      <c r="P689" s="1298"/>
      <c r="Q689" s="1298"/>
      <c r="R689" s="1298"/>
      <c r="S689" s="1298"/>
      <c r="T689" s="1298"/>
      <c r="U689" s="1298"/>
      <c r="V689" s="1298"/>
      <c r="W689" s="1298"/>
      <c r="X689" s="1310"/>
      <c r="Y689" s="1295"/>
      <c r="Z689" s="1292"/>
      <c r="AA689" s="1292"/>
      <c r="AB689" s="1293"/>
      <c r="AC689" s="1544"/>
      <c r="AD689" s="1544"/>
      <c r="AE689" s="1544"/>
      <c r="AF689" s="1544"/>
      <c r="AI689" s="3056" t="str">
        <f>"52:yakinhaiti_code:" &amp; IF(I689="■",1,IF(L689="■",2,0))</f>
        <v>52:yakinhaiti_code:0</v>
      </c>
    </row>
    <row r="690" spans="1:35" s="3056" customFormat="1" ht="18.75" customHeight="1">
      <c r="A690" s="735"/>
      <c r="B690" s="1407"/>
      <c r="C690" s="1287"/>
      <c r="D690" s="1288"/>
      <c r="E690" s="1275"/>
      <c r="F690" s="1289"/>
      <c r="G690" s="1275"/>
      <c r="H690" s="1409" t="s">
        <v>1249</v>
      </c>
      <c r="I690" s="3063" t="s">
        <v>121</v>
      </c>
      <c r="J690" s="1296" t="s">
        <v>1230</v>
      </c>
      <c r="K690" s="1309"/>
      <c r="L690" s="3062" t="s">
        <v>121</v>
      </c>
      <c r="M690" s="1296" t="s">
        <v>1248</v>
      </c>
      <c r="N690" s="1299"/>
      <c r="O690" s="1298"/>
      <c r="P690" s="1298"/>
      <c r="Q690" s="1298"/>
      <c r="R690" s="1298"/>
      <c r="S690" s="1298"/>
      <c r="T690" s="1298"/>
      <c r="U690" s="1298"/>
      <c r="V690" s="1298"/>
      <c r="W690" s="1298"/>
      <c r="X690" s="1310"/>
      <c r="Y690" s="1295"/>
      <c r="Z690" s="1292"/>
      <c r="AA690" s="1292"/>
      <c r="AB690" s="1293"/>
      <c r="AC690" s="1544"/>
      <c r="AD690" s="1544"/>
      <c r="AE690" s="1544"/>
      <c r="AF690" s="1544"/>
      <c r="AI690" s="3056" t="str">
        <f>"52:ninti_riha_code:" &amp; IF(I690="■",1,IF(L690="■",2,0))</f>
        <v>52:ninti_riha_code:0</v>
      </c>
    </row>
    <row r="691" spans="1:35" s="3056" customFormat="1" ht="18.75" customHeight="1">
      <c r="A691" s="735"/>
      <c r="B691" s="1407"/>
      <c r="C691" s="1287"/>
      <c r="D691" s="1288"/>
      <c r="E691" s="1275"/>
      <c r="F691" s="1289"/>
      <c r="G691" s="1275"/>
      <c r="H691" s="1409" t="s">
        <v>1250</v>
      </c>
      <c r="I691" s="3063" t="s">
        <v>121</v>
      </c>
      <c r="J691" s="1296" t="s">
        <v>1230</v>
      </c>
      <c r="K691" s="1309"/>
      <c r="L691" s="3062" t="s">
        <v>121</v>
      </c>
      <c r="M691" s="1296" t="s">
        <v>1248</v>
      </c>
      <c r="N691" s="1299"/>
      <c r="O691" s="1299"/>
      <c r="P691" s="1299"/>
      <c r="Q691" s="1299"/>
      <c r="R691" s="1299"/>
      <c r="S691" s="1299"/>
      <c r="T691" s="1299"/>
      <c r="U691" s="1299"/>
      <c r="V691" s="1299"/>
      <c r="W691" s="1299"/>
      <c r="X691" s="1302"/>
      <c r="Y691" s="1295"/>
      <c r="Z691" s="1292"/>
      <c r="AA691" s="1292"/>
      <c r="AB691" s="1293"/>
      <c r="AC691" s="1544"/>
      <c r="AD691" s="1544"/>
      <c r="AE691" s="1544"/>
      <c r="AF691" s="1544"/>
      <c r="AI691" s="3056" t="str">
        <f>"52:ninticare_code:" &amp; IF(I691="■",1,IF(L691="■",2,0))</f>
        <v>52:ninticare_code:0</v>
      </c>
    </row>
    <row r="692" spans="1:35" s="3056" customFormat="1" ht="18.75" customHeight="1">
      <c r="A692" s="735"/>
      <c r="B692" s="1407"/>
      <c r="C692" s="1287"/>
      <c r="D692" s="1288"/>
      <c r="E692" s="1275"/>
      <c r="F692" s="1289"/>
      <c r="G692" s="1275"/>
      <c r="H692" s="1311" t="s">
        <v>1251</v>
      </c>
      <c r="I692" s="3063" t="s">
        <v>121</v>
      </c>
      <c r="J692" s="1296" t="s">
        <v>1230</v>
      </c>
      <c r="K692" s="1309"/>
      <c r="L692" s="3062" t="s">
        <v>121</v>
      </c>
      <c r="M692" s="1296" t="s">
        <v>1248</v>
      </c>
      <c r="N692" s="1299"/>
      <c r="O692" s="1299"/>
      <c r="P692" s="1299"/>
      <c r="Q692" s="1299"/>
      <c r="R692" s="1299"/>
      <c r="S692" s="1299"/>
      <c r="T692" s="1299"/>
      <c r="U692" s="1299"/>
      <c r="V692" s="1299"/>
      <c r="W692" s="1299"/>
      <c r="X692" s="1302"/>
      <c r="Y692" s="1295"/>
      <c r="Z692" s="1292"/>
      <c r="AA692" s="1292"/>
      <c r="AB692" s="1293"/>
      <c r="AC692" s="1544"/>
      <c r="AD692" s="1544"/>
      <c r="AE692" s="1544"/>
      <c r="AF692" s="1544"/>
      <c r="AI692" s="3056" t="str">
        <f>"52:jyakuninti_uke_code:" &amp; IF(I692="■",1,IF(L692="■",2,0))</f>
        <v>52:jyakuninti_uke_code:0</v>
      </c>
    </row>
    <row r="693" spans="1:35" s="3056" customFormat="1" ht="18.75" customHeight="1">
      <c r="A693" s="3069" t="s">
        <v>121</v>
      </c>
      <c r="B693" s="1407">
        <v>52</v>
      </c>
      <c r="C693" s="1287" t="s">
        <v>1252</v>
      </c>
      <c r="D693" s="3069" t="s">
        <v>121</v>
      </c>
      <c r="E693" s="1275" t="s">
        <v>1258</v>
      </c>
      <c r="F693" s="3069" t="s">
        <v>121</v>
      </c>
      <c r="G693" s="1275" t="s">
        <v>1254</v>
      </c>
      <c r="H693" s="1311" t="s">
        <v>1255</v>
      </c>
      <c r="I693" s="3066" t="s">
        <v>121</v>
      </c>
      <c r="J693" s="1298" t="s">
        <v>1230</v>
      </c>
      <c r="K693" s="1298"/>
      <c r="L693" s="3065" t="s">
        <v>121</v>
      </c>
      <c r="M693" s="1298" t="s">
        <v>1256</v>
      </c>
      <c r="N693" s="1298"/>
      <c r="O693" s="3065" t="s">
        <v>121</v>
      </c>
      <c r="P693" s="1298" t="s">
        <v>1257</v>
      </c>
      <c r="Q693" s="1299"/>
      <c r="R693" s="1299"/>
      <c r="S693" s="1298"/>
      <c r="T693" s="1298"/>
      <c r="U693" s="1298"/>
      <c r="V693" s="1298"/>
      <c r="W693" s="1298"/>
      <c r="X693" s="1310"/>
      <c r="Y693" s="1295"/>
      <c r="Z693" s="1292"/>
      <c r="AA693" s="1292"/>
      <c r="AB693" s="1293"/>
      <c r="AC693" s="1544"/>
      <c r="AD693" s="1544"/>
      <c r="AE693" s="1544"/>
      <c r="AF693" s="1544"/>
      <c r="AI693" s="3056" t="str">
        <f>"52:zaitaku_hukki_code:" &amp; IF(I693="■",1,IF(L693="■",2,IF(O693="■",3,0)))</f>
        <v>52:zaitaku_hukki_code:0</v>
      </c>
    </row>
    <row r="694" spans="1:35" s="3056" customFormat="1" ht="18.75" customHeight="1">
      <c r="A694" s="735"/>
      <c r="B694" s="1407"/>
      <c r="C694" s="1287"/>
      <c r="D694" s="1288"/>
      <c r="E694" s="1275"/>
      <c r="F694" s="3069" t="s">
        <v>121</v>
      </c>
      <c r="G694" s="1275" t="s">
        <v>1259</v>
      </c>
      <c r="H694" s="1409" t="s">
        <v>144</v>
      </c>
      <c r="I694" s="3063" t="s">
        <v>121</v>
      </c>
      <c r="J694" s="1296" t="s">
        <v>1230</v>
      </c>
      <c r="K694" s="1309"/>
      <c r="L694" s="3062" t="s">
        <v>121</v>
      </c>
      <c r="M694" s="1296" t="s">
        <v>1248</v>
      </c>
      <c r="N694" s="1299"/>
      <c r="O694" s="1299"/>
      <c r="P694" s="1299"/>
      <c r="Q694" s="1299"/>
      <c r="R694" s="1299"/>
      <c r="S694" s="1299"/>
      <c r="T694" s="1299"/>
      <c r="U694" s="1299"/>
      <c r="V694" s="1299"/>
      <c r="W694" s="1299"/>
      <c r="X694" s="1302"/>
      <c r="Y694" s="1295"/>
      <c r="Z694" s="1292"/>
      <c r="AA694" s="1292"/>
      <c r="AB694" s="1293"/>
      <c r="AC694" s="1544"/>
      <c r="AD694" s="1544"/>
      <c r="AE694" s="1544"/>
      <c r="AF694" s="1544"/>
      <c r="AI694" s="3056" t="str">
        <f>"52:terminal_code:" &amp; IF(I694="■",1,IF(L694="■",2,0))</f>
        <v>52:terminal_code:0</v>
      </c>
    </row>
    <row r="695" spans="1:35" s="3056" customFormat="1" ht="18.75" customHeight="1">
      <c r="A695" s="735"/>
      <c r="B695" s="1407"/>
      <c r="C695" s="1287"/>
      <c r="D695" s="1288"/>
      <c r="E695" s="1275"/>
      <c r="F695" s="1288"/>
      <c r="G695" s="1275"/>
      <c r="H695" s="1409" t="s">
        <v>755</v>
      </c>
      <c r="I695" s="3063" t="s">
        <v>121</v>
      </c>
      <c r="J695" s="1296" t="s">
        <v>1230</v>
      </c>
      <c r="K695" s="1309"/>
      <c r="L695" s="3062" t="s">
        <v>121</v>
      </c>
      <c r="M695" s="1296" t="s">
        <v>1248</v>
      </c>
      <c r="N695" s="1299"/>
      <c r="O695" s="1299"/>
      <c r="P695" s="1299"/>
      <c r="Q695" s="1299"/>
      <c r="R695" s="1299"/>
      <c r="S695" s="1299"/>
      <c r="T695" s="1299"/>
      <c r="U695" s="1299"/>
      <c r="V695" s="1299"/>
      <c r="W695" s="1299"/>
      <c r="X695" s="1302"/>
      <c r="Y695" s="1295"/>
      <c r="Z695" s="1292"/>
      <c r="AA695" s="1292"/>
      <c r="AB695" s="1293"/>
      <c r="AC695" s="1544"/>
      <c r="AD695" s="1544"/>
      <c r="AE695" s="1544"/>
      <c r="AF695" s="1544"/>
      <c r="AI695" s="3056" t="str">
        <f>"52:field207:" &amp; IF(I695="■",1,IF(L695="■",2,0))</f>
        <v>52:field207:0</v>
      </c>
    </row>
    <row r="696" spans="1:35" s="3056" customFormat="1" ht="18.75" customHeight="1">
      <c r="A696" s="735"/>
      <c r="B696" s="1407"/>
      <c r="C696" s="1287"/>
      <c r="D696" s="1288"/>
      <c r="E696" s="1275"/>
      <c r="F696" s="1288"/>
      <c r="G696" s="1275"/>
      <c r="H696" s="1409" t="s">
        <v>145</v>
      </c>
      <c r="I696" s="3063" t="s">
        <v>121</v>
      </c>
      <c r="J696" s="1296" t="s">
        <v>1230</v>
      </c>
      <c r="K696" s="1309"/>
      <c r="L696" s="3062" t="s">
        <v>121</v>
      </c>
      <c r="M696" s="1296" t="s">
        <v>1248</v>
      </c>
      <c r="N696" s="1299"/>
      <c r="O696" s="1298"/>
      <c r="P696" s="1298"/>
      <c r="Q696" s="1298"/>
      <c r="R696" s="1298"/>
      <c r="S696" s="1298"/>
      <c r="T696" s="1298"/>
      <c r="U696" s="1298"/>
      <c r="V696" s="1298"/>
      <c r="W696" s="1298"/>
      <c r="X696" s="1310"/>
      <c r="Y696" s="1295"/>
      <c r="Z696" s="1292"/>
      <c r="AA696" s="1292"/>
      <c r="AB696" s="1293"/>
      <c r="AC696" s="1544"/>
      <c r="AD696" s="1544"/>
      <c r="AE696" s="1544"/>
      <c r="AF696" s="1544"/>
      <c r="AI696" s="3056" t="str">
        <f>"52:ryouyoushoku_code:" &amp; IF(I696="■",1,IF(L696="■",2,0))</f>
        <v>52:ryouyoushoku_code:0</v>
      </c>
    </row>
    <row r="697" spans="1:35" s="3056" customFormat="1" ht="18.75" customHeight="1">
      <c r="A697" s="735"/>
      <c r="B697" s="1407"/>
      <c r="C697" s="1287"/>
      <c r="D697" s="1288"/>
      <c r="E697" s="1275"/>
      <c r="F697" s="1289"/>
      <c r="G697" s="1275"/>
      <c r="H697" s="1409" t="s">
        <v>1260</v>
      </c>
      <c r="I697" s="3066" t="s">
        <v>121</v>
      </c>
      <c r="J697" s="1298" t="s">
        <v>1230</v>
      </c>
      <c r="K697" s="1298"/>
      <c r="L697" s="3065" t="s">
        <v>121</v>
      </c>
      <c r="M697" s="1298" t="s">
        <v>1256</v>
      </c>
      <c r="N697" s="1298"/>
      <c r="O697" s="3065" t="s">
        <v>121</v>
      </c>
      <c r="P697" s="1298" t="s">
        <v>1257</v>
      </c>
      <c r="Q697" s="1299"/>
      <c r="R697" s="1299"/>
      <c r="S697" s="1298"/>
      <c r="T697" s="1298"/>
      <c r="U697" s="1298"/>
      <c r="V697" s="1298"/>
      <c r="W697" s="1298"/>
      <c r="X697" s="1310"/>
      <c r="Y697" s="1295"/>
      <c r="Z697" s="1292"/>
      <c r="AA697" s="1292"/>
      <c r="AB697" s="1293"/>
      <c r="AC697" s="1544"/>
      <c r="AD697" s="1544"/>
      <c r="AE697" s="1544"/>
      <c r="AF697" s="1544"/>
      <c r="AI697" s="3056" t="str">
        <f>"52:ninti_senmoncare_code:" &amp; IF(I697="■",1,IF(O697="■",3,IF(L697="■",2,0)))</f>
        <v>52:ninti_senmoncare_code:0</v>
      </c>
    </row>
    <row r="698" spans="1:35" s="3056" customFormat="1" ht="18.75" customHeight="1">
      <c r="A698" s="735"/>
      <c r="B698" s="1407"/>
      <c r="C698" s="1287"/>
      <c r="D698" s="1288"/>
      <c r="E698" s="1275"/>
      <c r="F698" s="1289"/>
      <c r="G698" s="1275"/>
      <c r="H698" s="1409" t="s">
        <v>1261</v>
      </c>
      <c r="I698" s="3066" t="s">
        <v>121</v>
      </c>
      <c r="J698" s="1298" t="s">
        <v>1230</v>
      </c>
      <c r="K698" s="1298"/>
      <c r="L698" s="3065" t="s">
        <v>121</v>
      </c>
      <c r="M698" s="1298" t="s">
        <v>1256</v>
      </c>
      <c r="N698" s="1298"/>
      <c r="O698" s="3065" t="s">
        <v>121</v>
      </c>
      <c r="P698" s="1298" t="s">
        <v>1257</v>
      </c>
      <c r="Q698" s="1299"/>
      <c r="R698" s="1299"/>
      <c r="S698" s="1299"/>
      <c r="T698" s="1299"/>
      <c r="U698" s="1299"/>
      <c r="V698" s="1299"/>
      <c r="W698" s="1299"/>
      <c r="X698" s="1302"/>
      <c r="Y698" s="1295"/>
      <c r="Z698" s="1292"/>
      <c r="AA698" s="1292"/>
      <c r="AB698" s="1293"/>
      <c r="AC698" s="1544"/>
      <c r="AD698" s="1544"/>
      <c r="AE698" s="1544"/>
      <c r="AF698" s="1544"/>
      <c r="AI698" s="3056" t="str">
        <f>"52:field228:" &amp; IF(I698="■",1,IF(L698="■",2,IF(O698="■",3,0)))</f>
        <v>52:field228:0</v>
      </c>
    </row>
    <row r="699" spans="1:35" s="3056" customFormat="1" ht="18.75" customHeight="1">
      <c r="A699" s="735"/>
      <c r="B699" s="1407"/>
      <c r="C699" s="1287"/>
      <c r="D699" s="1288"/>
      <c r="E699" s="1275"/>
      <c r="F699" s="1289"/>
      <c r="G699" s="1275"/>
      <c r="H699" s="1312" t="s">
        <v>1262</v>
      </c>
      <c r="I699" s="3063" t="s">
        <v>121</v>
      </c>
      <c r="J699" s="1296" t="s">
        <v>1230</v>
      </c>
      <c r="K699" s="1309"/>
      <c r="L699" s="3065" t="s">
        <v>121</v>
      </c>
      <c r="M699" s="1298" t="s">
        <v>1263</v>
      </c>
      <c r="N699" s="1298"/>
      <c r="O699" s="3065" t="s">
        <v>121</v>
      </c>
      <c r="P699" s="1298" t="s">
        <v>1287</v>
      </c>
      <c r="Q699" s="1299"/>
      <c r="R699" s="1299"/>
      <c r="S699" s="1299"/>
      <c r="T699" s="1299"/>
      <c r="U699" s="1299"/>
      <c r="V699" s="1299"/>
      <c r="W699" s="1299"/>
      <c r="X699" s="1302"/>
      <c r="Y699" s="1295"/>
      <c r="Z699" s="1292"/>
      <c r="AA699" s="1292"/>
      <c r="AB699" s="1293"/>
      <c r="AC699" s="1544"/>
      <c r="AD699" s="1544"/>
      <c r="AE699" s="1544"/>
      <c r="AF699" s="1544"/>
      <c r="AI699" s="3056" t="str">
        <f>"52:field216:" &amp; IF(I699="■",1,IF(L699="■",2,IF(O699="■",3,0)))</f>
        <v>52:field216:0</v>
      </c>
    </row>
    <row r="700" spans="1:35" s="3056" customFormat="1" ht="18.75" customHeight="1">
      <c r="A700" s="735"/>
      <c r="B700" s="1407"/>
      <c r="C700" s="1287"/>
      <c r="D700" s="1288"/>
      <c r="E700" s="1275"/>
      <c r="F700" s="1289"/>
      <c r="G700" s="1275"/>
      <c r="H700" s="1409" t="s">
        <v>1264</v>
      </c>
      <c r="I700" s="3063" t="s">
        <v>121</v>
      </c>
      <c r="J700" s="1296" t="s">
        <v>1230</v>
      </c>
      <c r="K700" s="1309"/>
      <c r="L700" s="3062" t="s">
        <v>121</v>
      </c>
      <c r="M700" s="1296" t="s">
        <v>1248</v>
      </c>
      <c r="N700" s="1299"/>
      <c r="O700" s="1299"/>
      <c r="P700" s="1299"/>
      <c r="Q700" s="1299"/>
      <c r="R700" s="1299"/>
      <c r="S700" s="1299"/>
      <c r="T700" s="1299"/>
      <c r="U700" s="1299"/>
      <c r="V700" s="1299"/>
      <c r="W700" s="1299"/>
      <c r="X700" s="1302"/>
      <c r="Y700" s="1295"/>
      <c r="Z700" s="1292"/>
      <c r="AA700" s="1292"/>
      <c r="AB700" s="1293"/>
      <c r="AC700" s="1544"/>
      <c r="AD700" s="1544"/>
      <c r="AE700" s="1544"/>
      <c r="AF700" s="1544"/>
      <c r="AI700" s="3056" t="str">
        <f>"52:field177:" &amp; IF(I700="■",1,IF(L700="■",2,0))</f>
        <v>52:field177:0</v>
      </c>
    </row>
    <row r="701" spans="1:35" s="3056" customFormat="1" ht="18.75" customHeight="1">
      <c r="A701" s="735"/>
      <c r="B701" s="1407"/>
      <c r="C701" s="1287"/>
      <c r="D701" s="1288"/>
      <c r="E701" s="1275"/>
      <c r="F701" s="1289"/>
      <c r="G701" s="1275"/>
      <c r="H701" s="1312" t="s">
        <v>757</v>
      </c>
      <c r="I701" s="3063" t="s">
        <v>121</v>
      </c>
      <c r="J701" s="1296" t="s">
        <v>1230</v>
      </c>
      <c r="K701" s="1309"/>
      <c r="L701" s="3062" t="s">
        <v>121</v>
      </c>
      <c r="M701" s="1296" t="s">
        <v>1248</v>
      </c>
      <c r="N701" s="1299"/>
      <c r="O701" s="1299"/>
      <c r="P701" s="1299"/>
      <c r="Q701" s="1299"/>
      <c r="R701" s="1299"/>
      <c r="S701" s="1299"/>
      <c r="T701" s="1299"/>
      <c r="U701" s="1299"/>
      <c r="V701" s="1299"/>
      <c r="W701" s="1299"/>
      <c r="X701" s="1302"/>
      <c r="Y701" s="1295"/>
      <c r="Z701" s="1292"/>
      <c r="AA701" s="1292"/>
      <c r="AB701" s="1293"/>
      <c r="AC701" s="1544"/>
      <c r="AD701" s="1544"/>
      <c r="AE701" s="1544"/>
      <c r="AF701" s="1544"/>
      <c r="AI701" s="3056" t="str">
        <f>"52:field210:" &amp; IF(I701="■",1,IF(L701="■",2,0))</f>
        <v>52:field210:0</v>
      </c>
    </row>
    <row r="702" spans="1:35" s="3056" customFormat="1" ht="18.75" customHeight="1">
      <c r="A702" s="735"/>
      <c r="B702" s="1407"/>
      <c r="C702" s="1287"/>
      <c r="D702" s="1288"/>
      <c r="E702" s="1275"/>
      <c r="F702" s="1289"/>
      <c r="G702" s="1275"/>
      <c r="H702" s="1409" t="s">
        <v>758</v>
      </c>
      <c r="I702" s="3063" t="s">
        <v>121</v>
      </c>
      <c r="J702" s="1296" t="s">
        <v>1230</v>
      </c>
      <c r="K702" s="1309"/>
      <c r="L702" s="3062" t="s">
        <v>121</v>
      </c>
      <c r="M702" s="1296" t="s">
        <v>1248</v>
      </c>
      <c r="N702" s="1299"/>
      <c r="O702" s="1299"/>
      <c r="P702" s="1299"/>
      <c r="Q702" s="1299"/>
      <c r="R702" s="1299"/>
      <c r="S702" s="1299"/>
      <c r="T702" s="1299"/>
      <c r="U702" s="1299"/>
      <c r="V702" s="1299"/>
      <c r="W702" s="1299"/>
      <c r="X702" s="1302"/>
      <c r="Y702" s="1295"/>
      <c r="Z702" s="1292"/>
      <c r="AA702" s="1292"/>
      <c r="AB702" s="1293"/>
      <c r="AC702" s="1544"/>
      <c r="AD702" s="1544"/>
      <c r="AE702" s="1544"/>
      <c r="AF702" s="1544"/>
      <c r="AI702" s="3056" t="str">
        <f>"52:field211:" &amp; IF(I702="■",1,IF(L702="■",2,0))</f>
        <v>52:field211:0</v>
      </c>
    </row>
    <row r="703" spans="1:35" s="3056" customFormat="1" ht="18.75" customHeight="1">
      <c r="A703" s="735"/>
      <c r="B703" s="1407"/>
      <c r="C703" s="1287"/>
      <c r="D703" s="1288"/>
      <c r="E703" s="1275"/>
      <c r="F703" s="1289"/>
      <c r="G703" s="1275"/>
      <c r="H703" s="1409" t="s">
        <v>764</v>
      </c>
      <c r="I703" s="3063" t="s">
        <v>121</v>
      </c>
      <c r="J703" s="1296" t="s">
        <v>1230</v>
      </c>
      <c r="K703" s="1309"/>
      <c r="L703" s="3062" t="s">
        <v>121</v>
      </c>
      <c r="M703" s="1296" t="s">
        <v>1248</v>
      </c>
      <c r="N703" s="1299"/>
      <c r="O703" s="1299"/>
      <c r="P703" s="1299"/>
      <c r="Q703" s="1299"/>
      <c r="R703" s="1299"/>
      <c r="S703" s="1299"/>
      <c r="T703" s="1299"/>
      <c r="U703" s="1299"/>
      <c r="V703" s="1299"/>
      <c r="W703" s="1299"/>
      <c r="X703" s="1302"/>
      <c r="Y703" s="1295"/>
      <c r="Z703" s="1292"/>
      <c r="AA703" s="1292"/>
      <c r="AB703" s="1293"/>
      <c r="AC703" s="1544"/>
      <c r="AD703" s="1544"/>
      <c r="AE703" s="1544"/>
      <c r="AF703" s="1544"/>
      <c r="AI703" s="3056" t="str">
        <f>"52:field212:" &amp; IF(I703="■",1,IF(L703="■",2,0))</f>
        <v>52:field212:0</v>
      </c>
    </row>
    <row r="704" spans="1:35" s="3056" customFormat="1" ht="18.75" customHeight="1">
      <c r="A704" s="735"/>
      <c r="B704" s="1407"/>
      <c r="C704" s="1287"/>
      <c r="D704" s="1288"/>
      <c r="E704" s="1275"/>
      <c r="F704" s="1289"/>
      <c r="G704" s="1275"/>
      <c r="H704" s="1409" t="s">
        <v>760</v>
      </c>
      <c r="I704" s="3063" t="s">
        <v>121</v>
      </c>
      <c r="J704" s="1296" t="s">
        <v>1230</v>
      </c>
      <c r="K704" s="1309"/>
      <c r="L704" s="3062" t="s">
        <v>121</v>
      </c>
      <c r="M704" s="1296" t="s">
        <v>1248</v>
      </c>
      <c r="N704" s="1299"/>
      <c r="O704" s="1299"/>
      <c r="P704" s="1299"/>
      <c r="Q704" s="1299"/>
      <c r="R704" s="1299"/>
      <c r="S704" s="1299"/>
      <c r="T704" s="1299"/>
      <c r="U704" s="1299"/>
      <c r="V704" s="1299"/>
      <c r="W704" s="1299"/>
      <c r="X704" s="1302"/>
      <c r="Y704" s="1295"/>
      <c r="Z704" s="1292"/>
      <c r="AA704" s="1292"/>
      <c r="AB704" s="1293"/>
      <c r="AC704" s="1544"/>
      <c r="AD704" s="1544"/>
      <c r="AE704" s="1544"/>
      <c r="AF704" s="1544"/>
      <c r="AI704" s="3056" t="str">
        <f>"52:field209:" &amp; IF(I704="■",1,IF(L704="■",2,0))</f>
        <v>52:field209:0</v>
      </c>
    </row>
    <row r="705" spans="1:36" s="3056" customFormat="1" ht="18.75" customHeight="1">
      <c r="A705" s="735"/>
      <c r="B705" s="1407"/>
      <c r="C705" s="1287"/>
      <c r="D705" s="1288"/>
      <c r="E705" s="1275"/>
      <c r="F705" s="1289"/>
      <c r="G705" s="1275"/>
      <c r="H705" s="1409" t="s">
        <v>1288</v>
      </c>
      <c r="I705" s="3066" t="s">
        <v>121</v>
      </c>
      <c r="J705" s="1298" t="s">
        <v>1230</v>
      </c>
      <c r="K705" s="1298"/>
      <c r="L705" s="3065" t="s">
        <v>121</v>
      </c>
      <c r="M705" s="1296" t="s">
        <v>1248</v>
      </c>
      <c r="N705" s="1298"/>
      <c r="O705" s="1298"/>
      <c r="P705" s="1298"/>
      <c r="Q705" s="1299"/>
      <c r="R705" s="1299"/>
      <c r="S705" s="1299"/>
      <c r="T705" s="1299"/>
      <c r="U705" s="1299"/>
      <c r="V705" s="1299"/>
      <c r="W705" s="1299"/>
      <c r="X705" s="1302"/>
      <c r="Y705" s="1295"/>
      <c r="Z705" s="1292"/>
      <c r="AA705" s="1292"/>
      <c r="AB705" s="1293"/>
      <c r="AC705" s="1544"/>
      <c r="AD705" s="1544"/>
      <c r="AE705" s="1544"/>
      <c r="AF705" s="1544"/>
      <c r="AI705" s="3056" t="str">
        <f>"52:field226:" &amp; IF(I705="■",1,IF(L705="■",2,0))</f>
        <v>52:field226:0</v>
      </c>
    </row>
    <row r="706" spans="1:36" s="3056" customFormat="1" ht="18.75" customHeight="1">
      <c r="A706" s="735"/>
      <c r="B706" s="1407"/>
      <c r="C706" s="1287"/>
      <c r="D706" s="1288"/>
      <c r="E706" s="1275"/>
      <c r="F706" s="1289"/>
      <c r="G706" s="1275"/>
      <c r="H706" s="1409" t="s">
        <v>1289</v>
      </c>
      <c r="I706" s="3066" t="s">
        <v>121</v>
      </c>
      <c r="J706" s="1298" t="s">
        <v>1230</v>
      </c>
      <c r="K706" s="1298"/>
      <c r="L706" s="3065" t="s">
        <v>121</v>
      </c>
      <c r="M706" s="1296" t="s">
        <v>1248</v>
      </c>
      <c r="N706" s="1298"/>
      <c r="O706" s="1298"/>
      <c r="P706" s="1298"/>
      <c r="Q706" s="1299"/>
      <c r="R706" s="1299"/>
      <c r="S706" s="1299"/>
      <c r="T706" s="1299"/>
      <c r="U706" s="1299"/>
      <c r="V706" s="1299"/>
      <c r="W706" s="1299"/>
      <c r="X706" s="1302"/>
      <c r="Y706" s="1295"/>
      <c r="Z706" s="1292"/>
      <c r="AA706" s="1292"/>
      <c r="AB706" s="1293"/>
      <c r="AC706" s="1544"/>
      <c r="AD706" s="1544"/>
      <c r="AE706" s="1544"/>
      <c r="AF706" s="1544"/>
      <c r="AI706" s="3056" t="str">
        <f>"52:field227:" &amp; IF(I706="■",1,IF(L706="■",2,0))</f>
        <v>52:field227:0</v>
      </c>
    </row>
    <row r="707" spans="1:36" s="3056" customFormat="1" ht="18.75" customHeight="1">
      <c r="A707" s="735"/>
      <c r="B707" s="1407"/>
      <c r="C707" s="1287"/>
      <c r="D707" s="1288"/>
      <c r="E707" s="1275"/>
      <c r="F707" s="1289"/>
      <c r="G707" s="1275"/>
      <c r="H707" s="1313" t="s">
        <v>1265</v>
      </c>
      <c r="I707" s="3066" t="s">
        <v>121</v>
      </c>
      <c r="J707" s="1298" t="s">
        <v>1230</v>
      </c>
      <c r="K707" s="1298"/>
      <c r="L707" s="3065" t="s">
        <v>121</v>
      </c>
      <c r="M707" s="1298" t="s">
        <v>1256</v>
      </c>
      <c r="N707" s="1298"/>
      <c r="O707" s="3065" t="s">
        <v>121</v>
      </c>
      <c r="P707" s="1298" t="s">
        <v>1257</v>
      </c>
      <c r="Q707" s="1307"/>
      <c r="R707" s="1307"/>
      <c r="S707" s="1307"/>
      <c r="T707" s="1307"/>
      <c r="U707" s="1314"/>
      <c r="V707" s="1314"/>
      <c r="W707" s="1314"/>
      <c r="X707" s="1315"/>
      <c r="Y707" s="1295"/>
      <c r="Z707" s="1292"/>
      <c r="AA707" s="1292"/>
      <c r="AB707" s="1293"/>
      <c r="AC707" s="1544"/>
      <c r="AD707" s="1544"/>
      <c r="AE707" s="1544"/>
      <c r="AF707" s="1544"/>
      <c r="AI707" s="3056" t="str">
        <f>"52:field225:" &amp; IF(I707="■",1,IF(L707="■",2,IF(O707="■",3,0)))</f>
        <v>52:field225:0</v>
      </c>
    </row>
    <row r="708" spans="1:36" s="3056" customFormat="1" ht="18.75" customHeight="1">
      <c r="A708" s="735"/>
      <c r="B708" s="1407"/>
      <c r="C708" s="1287"/>
      <c r="D708" s="1288"/>
      <c r="E708" s="1275"/>
      <c r="F708" s="1289"/>
      <c r="G708" s="1275"/>
      <c r="H708" s="1409" t="s">
        <v>1266</v>
      </c>
      <c r="I708" s="3066" t="s">
        <v>121</v>
      </c>
      <c r="J708" s="1298" t="s">
        <v>1230</v>
      </c>
      <c r="K708" s="1298"/>
      <c r="L708" s="3065" t="s">
        <v>121</v>
      </c>
      <c r="M708" s="1298" t="s">
        <v>1267</v>
      </c>
      <c r="N708" s="1298"/>
      <c r="O708" s="3065" t="s">
        <v>121</v>
      </c>
      <c r="P708" s="1298" t="s">
        <v>1268</v>
      </c>
      <c r="Q708" s="1326"/>
      <c r="R708" s="3065" t="s">
        <v>121</v>
      </c>
      <c r="S708" s="1298" t="s">
        <v>1269</v>
      </c>
      <c r="T708" s="1298"/>
      <c r="U708" s="1298"/>
      <c r="V708" s="1298"/>
      <c r="W708" s="1298"/>
      <c r="X708" s="1310"/>
      <c r="Y708" s="1295"/>
      <c r="Z708" s="1292"/>
      <c r="AA708" s="1292"/>
      <c r="AB708" s="1293"/>
      <c r="AC708" s="1544"/>
      <c r="AD708" s="1544"/>
      <c r="AE708" s="1544"/>
      <c r="AF708" s="1544"/>
      <c r="AI708" s="3056" t="str">
        <f>"52:serteikyo_kyoka_code:" &amp; IF(I708="■",1,IF(L708="■",6,IF(O708="■",5,IF(R708="■",7,0))))</f>
        <v>52:serteikyo_kyoka_code:0</v>
      </c>
    </row>
    <row r="709" spans="1:36" s="3056" customFormat="1" ht="18.75" customHeight="1">
      <c r="A709" s="736"/>
      <c r="B709" s="1316"/>
      <c r="C709" s="1346"/>
      <c r="D709" s="1348"/>
      <c r="E709" s="1317"/>
      <c r="F709" s="1318"/>
      <c r="G709" s="1361"/>
      <c r="H709" s="3134" t="s">
        <v>2288</v>
      </c>
      <c r="I709" s="3060" t="s">
        <v>121</v>
      </c>
      <c r="J709" s="3130" t="s">
        <v>1230</v>
      </c>
      <c r="K709" s="3130"/>
      <c r="L709" s="3059" t="s">
        <v>121</v>
      </c>
      <c r="M709" s="3130" t="s">
        <v>2287</v>
      </c>
      <c r="N709" s="3133"/>
      <c r="O709" s="3059" t="s">
        <v>121</v>
      </c>
      <c r="P709" s="3132" t="s">
        <v>2286</v>
      </c>
      <c r="Q709" s="3131"/>
      <c r="R709" s="3059" t="s">
        <v>121</v>
      </c>
      <c r="S709" s="3130" t="s">
        <v>2285</v>
      </c>
      <c r="T709" s="3131"/>
      <c r="U709" s="3059" t="s">
        <v>121</v>
      </c>
      <c r="V709" s="3130" t="s">
        <v>2284</v>
      </c>
      <c r="W709" s="3129"/>
      <c r="X709" s="3128"/>
      <c r="Y709" s="1323"/>
      <c r="Z709" s="1323"/>
      <c r="AA709" s="1323"/>
      <c r="AB709" s="1324"/>
      <c r="AC709" s="1558"/>
      <c r="AD709" s="1558"/>
      <c r="AE709" s="1558"/>
      <c r="AF709" s="1558"/>
      <c r="AI709" s="3056" t="str">
        <f>"52:shoguukaizen_code:"&amp;IF(I709="■",1,IF(L709="■",7,IF(O709="■",8,IF(R709="■",9,IF(U709="■","A",0)))))</f>
        <v>52:shoguukaizen_code:0</v>
      </c>
    </row>
    <row r="710" spans="1:36" s="3056" customFormat="1" ht="18.75" customHeight="1">
      <c r="A710" s="1276"/>
      <c r="B710" s="1405"/>
      <c r="C710" s="1277"/>
      <c r="D710" s="1278"/>
      <c r="E710" s="1272"/>
      <c r="F710" s="1279"/>
      <c r="G710" s="1272"/>
      <c r="H710" s="1408" t="s">
        <v>1226</v>
      </c>
      <c r="I710" s="3074" t="s">
        <v>121</v>
      </c>
      <c r="J710" s="1280" t="s">
        <v>1227</v>
      </c>
      <c r="K710" s="1281"/>
      <c r="L710" s="1282"/>
      <c r="M710" s="3073" t="s">
        <v>121</v>
      </c>
      <c r="N710" s="1280" t="s">
        <v>1228</v>
      </c>
      <c r="O710" s="1284"/>
      <c r="P710" s="1284"/>
      <c r="Q710" s="1284"/>
      <c r="R710" s="1284"/>
      <c r="S710" s="1284"/>
      <c r="T710" s="1284"/>
      <c r="U710" s="1284"/>
      <c r="V710" s="1284"/>
      <c r="W710" s="1284"/>
      <c r="X710" s="1325"/>
      <c r="Y710" s="3119" t="s">
        <v>121</v>
      </c>
      <c r="Z710" s="1270" t="s">
        <v>1229</v>
      </c>
      <c r="AA710" s="1270"/>
      <c r="AB710" s="1286"/>
      <c r="AC710" s="1543"/>
      <c r="AD710" s="1543"/>
      <c r="AE710" s="1543"/>
      <c r="AF710" s="1543"/>
      <c r="AG710" s="3056" t="str">
        <f>"ser_code = '" &amp; IF(A727="■",52,"") &amp; "'"</f>
        <v>ser_code = ''</v>
      </c>
      <c r="AI710" s="3056" t="str">
        <f>"52:yakan_kinmu_code:" &amp; IF(I710="■",1,IF(M710="■",6,0))</f>
        <v>52:yakan_kinmu_code:0</v>
      </c>
      <c r="AJ710" s="3056" t="str">
        <f>"52:field203:" &amp; IF(Y710="■",1,IF(Y711="■",2,0))</f>
        <v>52:field203:0</v>
      </c>
    </row>
    <row r="711" spans="1:36" s="3056" customFormat="1" ht="18.75" customHeight="1">
      <c r="A711" s="735"/>
      <c r="B711" s="1407"/>
      <c r="C711" s="1287"/>
      <c r="D711" s="1288"/>
      <c r="E711" s="1275"/>
      <c r="F711" s="1289"/>
      <c r="G711" s="1275"/>
      <c r="H711" s="1541" t="s">
        <v>90</v>
      </c>
      <c r="I711" s="3137" t="s">
        <v>121</v>
      </c>
      <c r="J711" s="1290" t="s">
        <v>1230</v>
      </c>
      <c r="K711" s="1290"/>
      <c r="L711" s="1402"/>
      <c r="M711" s="3136" t="s">
        <v>121</v>
      </c>
      <c r="N711" s="1290" t="s">
        <v>1231</v>
      </c>
      <c r="O711" s="1290"/>
      <c r="P711" s="1402"/>
      <c r="Q711" s="3136" t="s">
        <v>121</v>
      </c>
      <c r="R711" s="1402" t="s">
        <v>1232</v>
      </c>
      <c r="S711" s="1402"/>
      <c r="T711" s="1402"/>
      <c r="U711" s="3136" t="s">
        <v>121</v>
      </c>
      <c r="V711" s="1402" t="s">
        <v>1233</v>
      </c>
      <c r="W711" s="1402"/>
      <c r="X711" s="1291"/>
      <c r="Y711" s="3069" t="s">
        <v>121</v>
      </c>
      <c r="Z711" s="1273" t="s">
        <v>1234</v>
      </c>
      <c r="AA711" s="1292"/>
      <c r="AB711" s="1293"/>
      <c r="AC711" s="1544"/>
      <c r="AD711" s="1544"/>
      <c r="AE711" s="1544"/>
      <c r="AF711" s="1544"/>
      <c r="AG711" s="3056" t="str">
        <f>"52:sisetukbn_code:" &amp; IF(D726="■",5,IF(D727="■",7,0))</f>
        <v>52:sisetukbn_code:0</v>
      </c>
      <c r="AI711" s="3056" t="str">
        <f>"52:"&amp;IF(AND(I711="□",M711="□",Q711="□",U711="□",I712="□",M712="□",Q712="□",I713="□"),"ketu_doctor_code:0",IF(I711="■","ketu_doctor_code:1:ketu_kangos_code:1:ketu_kshoku_code:1:ketu_rryoho_code:1:ketu_sryoho_code:1:ketu_ksiensou_code:1:ketu_gengo_code:1",IF(M711="■","ketu_doctor_code:2","ketu_doctor_code:1")
&amp;IF(Q711="■",":ketu_kangos_code:2",":ketu_kangos_code:1")
&amp;IF(U711="■",":ketu_kshoku_code:2",":ketu_kshoku_code:1")
&amp;IF(I712="■",":ketu_rryoho_code:2",":ketu_rryoho_code:1")
&amp;IF(M712="■",":ketu_sryoho_code:2",":ketu_sryoho_code:1")
&amp;IF(Q712="■",":ketu_ksiensou_code:2",":ketu_ksiensou_code:1")
&amp;IF(I713="■",":ketu_gengo_code:2",":ketu_gengo_code:1")))</f>
        <v>52:ketu_doctor_code:0</v>
      </c>
    </row>
    <row r="712" spans="1:36" s="3056" customFormat="1" ht="18.75" customHeight="1">
      <c r="A712" s="735"/>
      <c r="B712" s="1407"/>
      <c r="C712" s="1287"/>
      <c r="D712" s="1288"/>
      <c r="E712" s="1275"/>
      <c r="F712" s="1289"/>
      <c r="G712" s="1275"/>
      <c r="H712" s="1546"/>
      <c r="I712" s="3069" t="s">
        <v>121</v>
      </c>
      <c r="J712" s="1273" t="s">
        <v>1235</v>
      </c>
      <c r="K712" s="1273"/>
      <c r="L712" s="1412"/>
      <c r="M712" s="3122" t="s">
        <v>121</v>
      </c>
      <c r="N712" s="1273" t="s">
        <v>1236</v>
      </c>
      <c r="O712" s="1273"/>
      <c r="P712" s="1412"/>
      <c r="Q712" s="3122" t="s">
        <v>121</v>
      </c>
      <c r="R712" s="1412" t="s">
        <v>1237</v>
      </c>
      <c r="S712" s="1412"/>
      <c r="T712" s="1412"/>
      <c r="U712" s="1412"/>
      <c r="V712" s="1412"/>
      <c r="W712" s="1412"/>
      <c r="X712" s="1294"/>
      <c r="Y712" s="1295"/>
      <c r="Z712" s="1292"/>
      <c r="AA712" s="1292"/>
      <c r="AB712" s="1293"/>
      <c r="AC712" s="1544"/>
      <c r="AD712" s="1544"/>
      <c r="AE712" s="1544"/>
      <c r="AF712" s="1544"/>
    </row>
    <row r="713" spans="1:36" s="3056" customFormat="1" ht="18.75" customHeight="1">
      <c r="A713" s="735"/>
      <c r="B713" s="1407"/>
      <c r="C713" s="1287"/>
      <c r="D713" s="1288"/>
      <c r="E713" s="1275"/>
      <c r="F713" s="1289"/>
      <c r="G713" s="1275"/>
      <c r="H713" s="1542"/>
      <c r="I713" s="3063" t="s">
        <v>121</v>
      </c>
      <c r="J713" s="1296" t="s">
        <v>1238</v>
      </c>
      <c r="K713" s="1296"/>
      <c r="L713" s="1403"/>
      <c r="M713" s="1296"/>
      <c r="N713" s="1296"/>
      <c r="O713" s="1296"/>
      <c r="P713" s="1403"/>
      <c r="Q713" s="1296"/>
      <c r="R713" s="1403"/>
      <c r="S713" s="1403"/>
      <c r="T713" s="1403"/>
      <c r="U713" s="1403"/>
      <c r="V713" s="1403"/>
      <c r="W713" s="1403"/>
      <c r="X713" s="1297"/>
      <c r="Y713" s="1295"/>
      <c r="Z713" s="1292"/>
      <c r="AA713" s="1292"/>
      <c r="AB713" s="1293"/>
      <c r="AC713" s="1544"/>
      <c r="AD713" s="1544"/>
      <c r="AE713" s="1544"/>
      <c r="AF713" s="1544"/>
    </row>
    <row r="714" spans="1:36" s="3056" customFormat="1" ht="18.75" customHeight="1">
      <c r="A714" s="735"/>
      <c r="B714" s="1407"/>
      <c r="C714" s="1287"/>
      <c r="D714" s="1288"/>
      <c r="E714" s="1275"/>
      <c r="F714" s="1289"/>
      <c r="G714" s="1275"/>
      <c r="H714" s="1409" t="s">
        <v>91</v>
      </c>
      <c r="I714" s="3066" t="s">
        <v>121</v>
      </c>
      <c r="J714" s="1298" t="s">
        <v>1239</v>
      </c>
      <c r="K714" s="1299"/>
      <c r="L714" s="1300"/>
      <c r="M714" s="3065" t="s">
        <v>121</v>
      </c>
      <c r="N714" s="1298" t="s">
        <v>1240</v>
      </c>
      <c r="O714" s="1299"/>
      <c r="P714" s="1299"/>
      <c r="Q714" s="1307"/>
      <c r="R714" s="1307"/>
      <c r="S714" s="1307"/>
      <c r="T714" s="1307"/>
      <c r="U714" s="1307"/>
      <c r="V714" s="1307"/>
      <c r="W714" s="1307"/>
      <c r="X714" s="1308"/>
      <c r="Y714" s="1295"/>
      <c r="Z714" s="1292"/>
      <c r="AA714" s="1292"/>
      <c r="AB714" s="1293"/>
      <c r="AC714" s="1544"/>
      <c r="AD714" s="1544"/>
      <c r="AE714" s="1544"/>
      <c r="AF714" s="1544"/>
      <c r="AI714" s="3056" t="str">
        <f>"52:unitcare_code:" &amp; IF(I714="■",1,IF(M714="■",2,0))</f>
        <v>52:unitcare_code:0</v>
      </c>
    </row>
    <row r="715" spans="1:36" s="3056" customFormat="1" ht="18.75" customHeight="1">
      <c r="A715" s="735"/>
      <c r="B715" s="1407"/>
      <c r="C715" s="1287"/>
      <c r="D715" s="1288"/>
      <c r="E715" s="1275"/>
      <c r="F715" s="1289"/>
      <c r="G715" s="1275"/>
      <c r="H715" s="1409" t="s">
        <v>1241</v>
      </c>
      <c r="I715" s="3066" t="s">
        <v>121</v>
      </c>
      <c r="J715" s="1298" t="s">
        <v>1242</v>
      </c>
      <c r="K715" s="1299"/>
      <c r="L715" s="1300"/>
      <c r="M715" s="3065" t="s">
        <v>121</v>
      </c>
      <c r="N715" s="1298" t="s">
        <v>1243</v>
      </c>
      <c r="O715" s="1299"/>
      <c r="P715" s="1299"/>
      <c r="Q715" s="1307"/>
      <c r="R715" s="1307"/>
      <c r="S715" s="1307"/>
      <c r="T715" s="1307"/>
      <c r="U715" s="1307"/>
      <c r="V715" s="1307"/>
      <c r="W715" s="1307"/>
      <c r="X715" s="1308"/>
      <c r="Y715" s="1295"/>
      <c r="Z715" s="1292"/>
      <c r="AA715" s="1292"/>
      <c r="AB715" s="1293"/>
      <c r="AC715" s="1544"/>
      <c r="AD715" s="1544"/>
      <c r="AE715" s="1544"/>
      <c r="AF715" s="1544"/>
      <c r="AI715" s="3056" t="str">
        <f>"52:sintaikousoku_code:" &amp; IF(I715="■",1,IF(M715="■",2,0))</f>
        <v>52:sintaikousoku_code:0</v>
      </c>
    </row>
    <row r="716" spans="1:36" s="3056" customFormat="1" ht="18.75" customHeight="1">
      <c r="A716" s="735"/>
      <c r="B716" s="1407"/>
      <c r="C716" s="1287"/>
      <c r="D716" s="1288"/>
      <c r="E716" s="1275"/>
      <c r="F716" s="1289"/>
      <c r="G716" s="1275"/>
      <c r="H716" s="1409" t="s">
        <v>753</v>
      </c>
      <c r="I716" s="3066" t="s">
        <v>121</v>
      </c>
      <c r="J716" s="1298" t="s">
        <v>1242</v>
      </c>
      <c r="K716" s="1299"/>
      <c r="L716" s="1300"/>
      <c r="M716" s="3065" t="s">
        <v>121</v>
      </c>
      <c r="N716" s="1298" t="s">
        <v>1243</v>
      </c>
      <c r="O716" s="1299"/>
      <c r="P716" s="1299"/>
      <c r="Q716" s="1307"/>
      <c r="R716" s="1307"/>
      <c r="S716" s="1307"/>
      <c r="T716" s="1307"/>
      <c r="U716" s="1307"/>
      <c r="V716" s="1307"/>
      <c r="W716" s="1307"/>
      <c r="X716" s="1308"/>
      <c r="Y716" s="1295"/>
      <c r="Z716" s="1292"/>
      <c r="AA716" s="1292"/>
      <c r="AB716" s="1293"/>
      <c r="AC716" s="1544"/>
      <c r="AD716" s="1544"/>
      <c r="AE716" s="1544"/>
      <c r="AF716" s="1544"/>
      <c r="AI716" s="3056" t="str">
        <f>"52:field208:" &amp; IF(I716="■",1,IF(M716="■",2,0))</f>
        <v>52:field208:0</v>
      </c>
    </row>
    <row r="717" spans="1:36" s="3056" customFormat="1" ht="19.5" customHeight="1">
      <c r="A717" s="735"/>
      <c r="B717" s="1407"/>
      <c r="C717" s="1303"/>
      <c r="D717" s="1304"/>
      <c r="E717" s="1275"/>
      <c r="F717" s="1289"/>
      <c r="G717" s="1305"/>
      <c r="H717" s="1306" t="s">
        <v>1244</v>
      </c>
      <c r="I717" s="3066" t="s">
        <v>121</v>
      </c>
      <c r="J717" s="1298" t="s">
        <v>1242</v>
      </c>
      <c r="K717" s="1299"/>
      <c r="L717" s="1300"/>
      <c r="M717" s="3065" t="s">
        <v>121</v>
      </c>
      <c r="N717" s="1298" t="s">
        <v>1245</v>
      </c>
      <c r="O717" s="1301"/>
      <c r="P717" s="1298"/>
      <c r="Q717" s="1307"/>
      <c r="R717" s="1307"/>
      <c r="S717" s="1307"/>
      <c r="T717" s="1307"/>
      <c r="U717" s="1307"/>
      <c r="V717" s="1307"/>
      <c r="W717" s="1307"/>
      <c r="X717" s="1308"/>
      <c r="Y717" s="1292"/>
      <c r="Z717" s="1292"/>
      <c r="AA717" s="1292"/>
      <c r="AB717" s="1293"/>
      <c r="AC717" s="1544"/>
      <c r="AD717" s="1544"/>
      <c r="AE717" s="1544"/>
      <c r="AF717" s="1544"/>
      <c r="AI717" s="3056" t="str">
        <f>"52:field223:" &amp; IF(I717="■",1,IF(M717="■",2,0))</f>
        <v>52:field223:0</v>
      </c>
    </row>
    <row r="718" spans="1:36" s="3056" customFormat="1" ht="19.5" customHeight="1">
      <c r="A718" s="735"/>
      <c r="B718" s="1407"/>
      <c r="C718" s="1303"/>
      <c r="D718" s="1304"/>
      <c r="E718" s="1275"/>
      <c r="F718" s="1289"/>
      <c r="G718" s="1305"/>
      <c r="H718" s="1306" t="s">
        <v>1246</v>
      </c>
      <c r="I718" s="3066" t="s">
        <v>121</v>
      </c>
      <c r="J718" s="1298" t="s">
        <v>1242</v>
      </c>
      <c r="K718" s="1299"/>
      <c r="L718" s="1300"/>
      <c r="M718" s="3065" t="s">
        <v>121</v>
      </c>
      <c r="N718" s="1298" t="s">
        <v>1245</v>
      </c>
      <c r="O718" s="1301"/>
      <c r="P718" s="1298"/>
      <c r="Q718" s="1307"/>
      <c r="R718" s="1307"/>
      <c r="S718" s="1307"/>
      <c r="T718" s="1307"/>
      <c r="U718" s="1307"/>
      <c r="V718" s="1307"/>
      <c r="W718" s="1307"/>
      <c r="X718" s="1308"/>
      <c r="Y718" s="1292"/>
      <c r="Z718" s="1292"/>
      <c r="AA718" s="1292"/>
      <c r="AB718" s="1293"/>
      <c r="AC718" s="1544"/>
      <c r="AD718" s="1544"/>
      <c r="AE718" s="1544"/>
      <c r="AF718" s="1544"/>
      <c r="AI718" s="3056" t="str">
        <f>"52:field232:" &amp; IF(I718="■",1,IF(M718="■",2,0))</f>
        <v>52:field232:0</v>
      </c>
    </row>
    <row r="719" spans="1:36" s="3056" customFormat="1" ht="37.5" customHeight="1">
      <c r="A719" s="735"/>
      <c r="B719" s="1407"/>
      <c r="C719" s="1287"/>
      <c r="D719" s="1288"/>
      <c r="E719" s="1275"/>
      <c r="F719" s="1289"/>
      <c r="G719" s="1275"/>
      <c r="H719" s="1410" t="s">
        <v>1247</v>
      </c>
      <c r="I719" s="3063" t="s">
        <v>121</v>
      </c>
      <c r="J719" s="1296" t="s">
        <v>1230</v>
      </c>
      <c r="K719" s="1309"/>
      <c r="L719" s="3062" t="s">
        <v>121</v>
      </c>
      <c r="M719" s="1296" t="s">
        <v>1248</v>
      </c>
      <c r="N719" s="1299"/>
      <c r="O719" s="1326"/>
      <c r="P719" s="1326"/>
      <c r="Q719" s="1326"/>
      <c r="R719" s="1326"/>
      <c r="S719" s="1326"/>
      <c r="T719" s="1326"/>
      <c r="U719" s="1326"/>
      <c r="V719" s="1326"/>
      <c r="W719" s="1326"/>
      <c r="X719" s="1327"/>
      <c r="Y719" s="1295"/>
      <c r="Z719" s="1292"/>
      <c r="AA719" s="1292"/>
      <c r="AB719" s="1293"/>
      <c r="AC719" s="1544"/>
      <c r="AD719" s="1544"/>
      <c r="AE719" s="1544"/>
      <c r="AF719" s="1544"/>
      <c r="AI719" s="3056" t="str">
        <f>"52:field206:" &amp; IF(I719="■",1,IF(L719="■",2,0))</f>
        <v>52:field206:0</v>
      </c>
    </row>
    <row r="720" spans="1:36" s="1418" customFormat="1" ht="19.5" customHeight="1">
      <c r="A720" s="625"/>
      <c r="B720" s="1416"/>
      <c r="C720" s="629"/>
      <c r="D720" s="1417"/>
      <c r="E720" s="1420"/>
      <c r="F720" s="1415"/>
      <c r="G720" s="617"/>
      <c r="H720" s="3148" t="s">
        <v>2328</v>
      </c>
      <c r="I720" s="3066" t="s">
        <v>121</v>
      </c>
      <c r="J720" s="3144" t="s">
        <v>2326</v>
      </c>
      <c r="K720" s="3147"/>
      <c r="L720" s="3146"/>
      <c r="M720" s="3065" t="s">
        <v>121</v>
      </c>
      <c r="N720" s="3144" t="s">
        <v>2325</v>
      </c>
      <c r="O720" s="3145"/>
      <c r="P720" s="3144"/>
      <c r="Q720" s="3143"/>
      <c r="R720" s="3143"/>
      <c r="S720" s="3143"/>
      <c r="T720" s="3143"/>
      <c r="U720" s="3143"/>
      <c r="V720" s="3143"/>
      <c r="W720" s="3143"/>
      <c r="X720" s="3142"/>
      <c r="Y720" s="1421"/>
      <c r="Z720" s="2"/>
      <c r="AA720" s="626"/>
      <c r="AB720" s="627"/>
      <c r="AC720" s="1544"/>
      <c r="AD720" s="1544"/>
      <c r="AE720" s="1544"/>
      <c r="AF720" s="1544"/>
      <c r="AI720" s="3056" t="str">
        <f>"52:field242:" &amp; IF(I720="■",1,IF(M720="■",2,0))</f>
        <v>52:field242:0</v>
      </c>
    </row>
    <row r="721" spans="1:35" s="3056" customFormat="1" ht="18.75" customHeight="1">
      <c r="A721" s="735"/>
      <c r="B721" s="1407"/>
      <c r="C721" s="1287"/>
      <c r="D721" s="1288"/>
      <c r="E721" s="1275"/>
      <c r="F721" s="1289"/>
      <c r="G721" s="1275"/>
      <c r="H721" s="1409" t="s">
        <v>140</v>
      </c>
      <c r="I721" s="3063" t="s">
        <v>121</v>
      </c>
      <c r="J721" s="1296" t="s">
        <v>1230</v>
      </c>
      <c r="K721" s="1309"/>
      <c r="L721" s="3062" t="s">
        <v>121</v>
      </c>
      <c r="M721" s="1296" t="s">
        <v>1248</v>
      </c>
      <c r="N721" s="1299"/>
      <c r="O721" s="1307"/>
      <c r="P721" s="1307"/>
      <c r="Q721" s="1307"/>
      <c r="R721" s="1307"/>
      <c r="S721" s="1307"/>
      <c r="T721" s="1307"/>
      <c r="U721" s="1307"/>
      <c r="V721" s="1307"/>
      <c r="W721" s="1307"/>
      <c r="X721" s="1308"/>
      <c r="Y721" s="1295"/>
      <c r="Z721" s="1292"/>
      <c r="AA721" s="1292"/>
      <c r="AB721" s="1293"/>
      <c r="AC721" s="1544"/>
      <c r="AD721" s="1544"/>
      <c r="AE721" s="1544"/>
      <c r="AF721" s="1544"/>
      <c r="AI721" s="3056" t="str">
        <f>"52:yakinhaiti_code:" &amp; IF(I721="■",1,IF(L721="■",2,0))</f>
        <v>52:yakinhaiti_code:0</v>
      </c>
    </row>
    <row r="722" spans="1:35" s="3056" customFormat="1" ht="18.75" customHeight="1">
      <c r="A722" s="735"/>
      <c r="B722" s="1407"/>
      <c r="C722" s="1287"/>
      <c r="D722" s="1288"/>
      <c r="E722" s="1275"/>
      <c r="F722" s="1289"/>
      <c r="G722" s="1275"/>
      <c r="H722" s="1409" t="s">
        <v>1249</v>
      </c>
      <c r="I722" s="3063" t="s">
        <v>121</v>
      </c>
      <c r="J722" s="1296" t="s">
        <v>1230</v>
      </c>
      <c r="K722" s="1309"/>
      <c r="L722" s="3062" t="s">
        <v>121</v>
      </c>
      <c r="M722" s="1296" t="s">
        <v>1248</v>
      </c>
      <c r="N722" s="1299"/>
      <c r="O722" s="1298"/>
      <c r="P722" s="1298"/>
      <c r="Q722" s="1298"/>
      <c r="R722" s="1298"/>
      <c r="S722" s="1298"/>
      <c r="T722" s="1298"/>
      <c r="U722" s="1298"/>
      <c r="V722" s="1298"/>
      <c r="W722" s="1298"/>
      <c r="X722" s="1310"/>
      <c r="Y722" s="1295"/>
      <c r="Z722" s="1292"/>
      <c r="AA722" s="1292"/>
      <c r="AB722" s="1293"/>
      <c r="AC722" s="1544"/>
      <c r="AD722" s="1544"/>
      <c r="AE722" s="1544"/>
      <c r="AF722" s="1544"/>
      <c r="AI722" s="3056" t="str">
        <f>"52:ninti_riha_code:" &amp; IF(I722="■",1,IF(L722="■",2,0))</f>
        <v>52:ninti_riha_code:0</v>
      </c>
    </row>
    <row r="723" spans="1:35" s="3056" customFormat="1" ht="18.75" customHeight="1">
      <c r="A723" s="735"/>
      <c r="B723" s="1407"/>
      <c r="C723" s="1287"/>
      <c r="D723" s="1288"/>
      <c r="E723" s="1275"/>
      <c r="F723" s="1289"/>
      <c r="G723" s="1275"/>
      <c r="H723" s="1409" t="s">
        <v>1250</v>
      </c>
      <c r="I723" s="3063" t="s">
        <v>121</v>
      </c>
      <c r="J723" s="1296" t="s">
        <v>1230</v>
      </c>
      <c r="K723" s="1309"/>
      <c r="L723" s="3062" t="s">
        <v>121</v>
      </c>
      <c r="M723" s="1296" t="s">
        <v>1248</v>
      </c>
      <c r="N723" s="1299"/>
      <c r="O723" s="1307"/>
      <c r="P723" s="1307"/>
      <c r="Q723" s="1307"/>
      <c r="R723" s="1307"/>
      <c r="S723" s="1307"/>
      <c r="T723" s="1307"/>
      <c r="U723" s="1307"/>
      <c r="V723" s="1307"/>
      <c r="W723" s="1307"/>
      <c r="X723" s="1308"/>
      <c r="Y723" s="1295"/>
      <c r="Z723" s="1292"/>
      <c r="AA723" s="1292"/>
      <c r="AB723" s="1293"/>
      <c r="AC723" s="1544"/>
      <c r="AD723" s="1544"/>
      <c r="AE723" s="1544"/>
      <c r="AF723" s="1544"/>
      <c r="AI723" s="3056" t="str">
        <f>"52:ninticare_code:" &amp; IF(I723="■",1,IF(L723="■",2,0))</f>
        <v>52:ninticare_code:0</v>
      </c>
    </row>
    <row r="724" spans="1:35" s="3056" customFormat="1" ht="18.75" customHeight="1">
      <c r="A724" s="735"/>
      <c r="B724" s="1407"/>
      <c r="C724" s="1287"/>
      <c r="D724" s="1288"/>
      <c r="E724" s="1275"/>
      <c r="F724" s="1289"/>
      <c r="G724" s="1275"/>
      <c r="H724" s="1311" t="s">
        <v>1251</v>
      </c>
      <c r="I724" s="3063" t="s">
        <v>121</v>
      </c>
      <c r="J724" s="1296" t="s">
        <v>1230</v>
      </c>
      <c r="K724" s="1309"/>
      <c r="L724" s="3062" t="s">
        <v>121</v>
      </c>
      <c r="M724" s="1296" t="s">
        <v>1248</v>
      </c>
      <c r="N724" s="1299"/>
      <c r="O724" s="1307"/>
      <c r="P724" s="1307"/>
      <c r="Q724" s="1307"/>
      <c r="R724" s="1307"/>
      <c r="S724" s="1307"/>
      <c r="T724" s="1307"/>
      <c r="U724" s="1307"/>
      <c r="V724" s="1307"/>
      <c r="W724" s="1307"/>
      <c r="X724" s="1308"/>
      <c r="Y724" s="1295"/>
      <c r="Z724" s="1292"/>
      <c r="AA724" s="1292"/>
      <c r="AB724" s="1293"/>
      <c r="AC724" s="1544"/>
      <c r="AD724" s="1544"/>
      <c r="AE724" s="1544"/>
      <c r="AF724" s="1544"/>
      <c r="AI724" s="3056" t="str">
        <f>"52:jyakuninti_uke_code:" &amp; IF(I724="■",1,IF(L724="■",2,0))</f>
        <v>52:jyakuninti_uke_code:0</v>
      </c>
    </row>
    <row r="725" spans="1:35" s="3056" customFormat="1" ht="18.75" customHeight="1">
      <c r="A725" s="735"/>
      <c r="B725" s="1407"/>
      <c r="C725" s="1287"/>
      <c r="D725" s="1288"/>
      <c r="E725" s="1275"/>
      <c r="F725" s="1289"/>
      <c r="G725" s="1275"/>
      <c r="H725" s="1409" t="s">
        <v>144</v>
      </c>
      <c r="I725" s="3063" t="s">
        <v>121</v>
      </c>
      <c r="J725" s="1296" t="s">
        <v>1230</v>
      </c>
      <c r="K725" s="1309"/>
      <c r="L725" s="3062" t="s">
        <v>121</v>
      </c>
      <c r="M725" s="1296" t="s">
        <v>1248</v>
      </c>
      <c r="N725" s="1299"/>
      <c r="O725" s="1307"/>
      <c r="P725" s="1307"/>
      <c r="Q725" s="1307"/>
      <c r="R725" s="1307"/>
      <c r="S725" s="1307"/>
      <c r="T725" s="1307"/>
      <c r="U725" s="1307"/>
      <c r="V725" s="1307"/>
      <c r="W725" s="1307"/>
      <c r="X725" s="1308"/>
      <c r="Y725" s="1295"/>
      <c r="Z725" s="1292"/>
      <c r="AA725" s="1292"/>
      <c r="AB725" s="1293"/>
      <c r="AC725" s="1544"/>
      <c r="AD725" s="1544"/>
      <c r="AE725" s="1544"/>
      <c r="AF725" s="1544"/>
      <c r="AI725" s="3056" t="str">
        <f>"52:terminal_code:" &amp; IF(I725="■",1,IF(L725="■",2,0))</f>
        <v>52:terminal_code:0</v>
      </c>
    </row>
    <row r="726" spans="1:35" s="3056" customFormat="1" ht="18.75" customHeight="1">
      <c r="A726" s="735"/>
      <c r="B726" s="1407"/>
      <c r="C726" s="1287"/>
      <c r="D726" s="3069" t="s">
        <v>121</v>
      </c>
      <c r="E726" s="1275" t="s">
        <v>1270</v>
      </c>
      <c r="F726" s="1289"/>
      <c r="G726" s="1275"/>
      <c r="H726" s="1409" t="s">
        <v>1272</v>
      </c>
      <c r="I726" s="3066" t="s">
        <v>121</v>
      </c>
      <c r="J726" s="1298" t="s">
        <v>1273</v>
      </c>
      <c r="K726" s="1298"/>
      <c r="L726" s="1307"/>
      <c r="M726" s="1307"/>
      <c r="N726" s="1307"/>
      <c r="O726" s="1307"/>
      <c r="P726" s="3065" t="s">
        <v>121</v>
      </c>
      <c r="Q726" s="1298" t="s">
        <v>1274</v>
      </c>
      <c r="R726" s="1307"/>
      <c r="S726" s="1307"/>
      <c r="T726" s="1307"/>
      <c r="U726" s="1307"/>
      <c r="V726" s="1307"/>
      <c r="W726" s="1307"/>
      <c r="X726" s="1308"/>
      <c r="Y726" s="1295"/>
      <c r="Z726" s="1292"/>
      <c r="AA726" s="1292"/>
      <c r="AB726" s="1293"/>
      <c r="AC726" s="1544"/>
      <c r="AD726" s="1544"/>
      <c r="AE726" s="1544"/>
      <c r="AF726" s="1544"/>
      <c r="AI726" s="3056" t="str">
        <f>"52:" &amp; IF(AND(I726="□",P726="□"),"tokusin_jyusho_code:0:tokusin_yakuzai_code:0",IF(I726="■","tokusin_jyusho_code:2","tokusin_jyusho_code:1")
&amp;IF(P726="■",":tokusin_yakuzai_code:2",":tokusin_yakuzai_code:1"))</f>
        <v>52:tokusin_jyusho_code:0:tokusin_yakuzai_code:0</v>
      </c>
    </row>
    <row r="727" spans="1:35" s="3056" customFormat="1" ht="18.75" customHeight="1">
      <c r="A727" s="3069" t="s">
        <v>121</v>
      </c>
      <c r="B727" s="1407">
        <v>52</v>
      </c>
      <c r="C727" s="1287" t="s">
        <v>1275</v>
      </c>
      <c r="D727" s="3069" t="s">
        <v>121</v>
      </c>
      <c r="E727" s="1275" t="s">
        <v>1276</v>
      </c>
      <c r="F727" s="1289"/>
      <c r="G727" s="1275"/>
      <c r="H727" s="1409" t="s">
        <v>1277</v>
      </c>
      <c r="I727" s="3063" t="s">
        <v>121</v>
      </c>
      <c r="J727" s="1296" t="s">
        <v>1230</v>
      </c>
      <c r="K727" s="1309"/>
      <c r="L727" s="3062" t="s">
        <v>121</v>
      </c>
      <c r="M727" s="1296" t="s">
        <v>1248</v>
      </c>
      <c r="N727" s="1299"/>
      <c r="O727" s="1326"/>
      <c r="P727" s="1326"/>
      <c r="Q727" s="1326"/>
      <c r="R727" s="1326"/>
      <c r="S727" s="1326"/>
      <c r="T727" s="1326"/>
      <c r="U727" s="1326"/>
      <c r="V727" s="1326"/>
      <c r="W727" s="1326"/>
      <c r="X727" s="1327"/>
      <c r="Y727" s="1295"/>
      <c r="Z727" s="1292"/>
      <c r="AA727" s="1292"/>
      <c r="AB727" s="1293"/>
      <c r="AC727" s="1544"/>
      <c r="AD727" s="1544"/>
      <c r="AE727" s="1544"/>
      <c r="AF727" s="1544"/>
      <c r="AI727" s="3056" t="str">
        <f>"52:field198:" &amp; IF(I727="■",1,IF(L727="■",2,0))</f>
        <v>52:field198:0</v>
      </c>
    </row>
    <row r="728" spans="1:35" s="3056" customFormat="1" ht="18.75" customHeight="1">
      <c r="A728" s="735"/>
      <c r="B728" s="1407"/>
      <c r="C728" s="1287"/>
      <c r="D728" s="735"/>
      <c r="E728" s="1275"/>
      <c r="F728" s="1289"/>
      <c r="G728" s="1275"/>
      <c r="H728" s="1409" t="s">
        <v>1279</v>
      </c>
      <c r="I728" s="3063" t="s">
        <v>121</v>
      </c>
      <c r="J728" s="1296" t="s">
        <v>1230</v>
      </c>
      <c r="K728" s="1309"/>
      <c r="L728" s="3062" t="s">
        <v>121</v>
      </c>
      <c r="M728" s="1296" t="s">
        <v>1248</v>
      </c>
      <c r="N728" s="1299"/>
      <c r="O728" s="1326"/>
      <c r="P728" s="1326"/>
      <c r="Q728" s="1326"/>
      <c r="R728" s="1326"/>
      <c r="S728" s="1326"/>
      <c r="T728" s="1326"/>
      <c r="U728" s="1326"/>
      <c r="V728" s="1326"/>
      <c r="W728" s="1326"/>
      <c r="X728" s="1327"/>
      <c r="Y728" s="1295"/>
      <c r="Z728" s="1292"/>
      <c r="AA728" s="1292"/>
      <c r="AB728" s="1293"/>
      <c r="AC728" s="1544"/>
      <c r="AD728" s="1544"/>
      <c r="AE728" s="1544"/>
      <c r="AF728" s="1544"/>
      <c r="AI728" s="3056" t="str">
        <f>"52:field199:" &amp; IF(I728="■",1,IF(L728="■",2,0))</f>
        <v>52:field199:0</v>
      </c>
    </row>
    <row r="729" spans="1:35" s="3056" customFormat="1" ht="18.75" customHeight="1">
      <c r="A729" s="735"/>
      <c r="B729" s="1407"/>
      <c r="C729" s="1287"/>
      <c r="D729" s="1288"/>
      <c r="E729" s="1275"/>
      <c r="F729" s="1289"/>
      <c r="G729" s="1275"/>
      <c r="H729" s="1409" t="s">
        <v>755</v>
      </c>
      <c r="I729" s="3063" t="s">
        <v>121</v>
      </c>
      <c r="J729" s="1296" t="s">
        <v>1230</v>
      </c>
      <c r="K729" s="1309"/>
      <c r="L729" s="3062" t="s">
        <v>121</v>
      </c>
      <c r="M729" s="1296" t="s">
        <v>1248</v>
      </c>
      <c r="N729" s="1299"/>
      <c r="O729" s="1307"/>
      <c r="P729" s="1307"/>
      <c r="Q729" s="1307"/>
      <c r="R729" s="1307"/>
      <c r="S729" s="1307"/>
      <c r="T729" s="1307"/>
      <c r="U729" s="1307"/>
      <c r="V729" s="1307"/>
      <c r="W729" s="1307"/>
      <c r="X729" s="1308"/>
      <c r="Y729" s="1295"/>
      <c r="Z729" s="1292"/>
      <c r="AA729" s="1292"/>
      <c r="AB729" s="1293"/>
      <c r="AC729" s="1544"/>
      <c r="AD729" s="1544"/>
      <c r="AE729" s="1544"/>
      <c r="AF729" s="1544"/>
      <c r="AI729" s="3056" t="str">
        <f>"52:field207:" &amp; IF(I729="■",1,IF(L729="■",2,0))</f>
        <v>52:field207:0</v>
      </c>
    </row>
    <row r="730" spans="1:35" s="3056" customFormat="1" ht="18.75" customHeight="1">
      <c r="A730" s="735"/>
      <c r="B730" s="1407"/>
      <c r="C730" s="1287"/>
      <c r="D730" s="735"/>
      <c r="E730" s="1275"/>
      <c r="F730" s="1289"/>
      <c r="G730" s="1275"/>
      <c r="H730" s="1409" t="s">
        <v>145</v>
      </c>
      <c r="I730" s="3063" t="s">
        <v>121</v>
      </c>
      <c r="J730" s="1296" t="s">
        <v>1230</v>
      </c>
      <c r="K730" s="1309"/>
      <c r="L730" s="3062" t="s">
        <v>121</v>
      </c>
      <c r="M730" s="1296" t="s">
        <v>1248</v>
      </c>
      <c r="N730" s="1299"/>
      <c r="O730" s="1307"/>
      <c r="P730" s="1307"/>
      <c r="Q730" s="1307"/>
      <c r="R730" s="1307"/>
      <c r="S730" s="1307"/>
      <c r="T730" s="1307"/>
      <c r="U730" s="1307"/>
      <c r="V730" s="1307"/>
      <c r="W730" s="1307"/>
      <c r="X730" s="1308"/>
      <c r="Y730" s="1295"/>
      <c r="Z730" s="1292"/>
      <c r="AA730" s="1292"/>
      <c r="AB730" s="1293"/>
      <c r="AC730" s="1544"/>
      <c r="AD730" s="1544"/>
      <c r="AE730" s="1544"/>
      <c r="AF730" s="1544"/>
      <c r="AI730" s="3056" t="str">
        <f>"52:ryouyoushoku_code:" &amp; IF(I730="■",1,IF(L730="■",2,0))</f>
        <v>52:ryouyoushoku_code:0</v>
      </c>
    </row>
    <row r="731" spans="1:35" s="3056" customFormat="1" ht="18.75" customHeight="1">
      <c r="A731" s="735"/>
      <c r="B731" s="1407"/>
      <c r="C731" s="1287"/>
      <c r="D731" s="1288"/>
      <c r="E731" s="1275"/>
      <c r="F731" s="1289"/>
      <c r="G731" s="1275"/>
      <c r="H731" s="1409" t="s">
        <v>1260</v>
      </c>
      <c r="I731" s="3066" t="s">
        <v>121</v>
      </c>
      <c r="J731" s="1298" t="s">
        <v>1230</v>
      </c>
      <c r="K731" s="1298"/>
      <c r="L731" s="3065" t="s">
        <v>121</v>
      </c>
      <c r="M731" s="1298" t="s">
        <v>1256</v>
      </c>
      <c r="N731" s="1298"/>
      <c r="O731" s="3065" t="s">
        <v>121</v>
      </c>
      <c r="P731" s="1298" t="s">
        <v>1257</v>
      </c>
      <c r="Q731" s="1307"/>
      <c r="R731" s="1307"/>
      <c r="S731" s="1307"/>
      <c r="T731" s="1307"/>
      <c r="U731" s="1307"/>
      <c r="V731" s="1307"/>
      <c r="W731" s="1307"/>
      <c r="X731" s="1308"/>
      <c r="Y731" s="1295"/>
      <c r="Z731" s="1292"/>
      <c r="AA731" s="1292"/>
      <c r="AB731" s="1293"/>
      <c r="AC731" s="1544"/>
      <c r="AD731" s="1544"/>
      <c r="AE731" s="1544"/>
      <c r="AF731" s="1544"/>
      <c r="AI731" s="3056" t="str">
        <f>"52:ninti_senmoncare_code:" &amp; IF(I731="■",1,IF(O731="■",3,IF(L731="■",2,0)))</f>
        <v>52:ninti_senmoncare_code:0</v>
      </c>
    </row>
    <row r="732" spans="1:35" s="3056" customFormat="1" ht="18.75" customHeight="1">
      <c r="A732" s="735"/>
      <c r="B732" s="1407"/>
      <c r="C732" s="1287"/>
      <c r="D732" s="1288"/>
      <c r="E732" s="1275"/>
      <c r="F732" s="1289"/>
      <c r="G732" s="1275"/>
      <c r="H732" s="1409" t="s">
        <v>1261</v>
      </c>
      <c r="I732" s="3066" t="s">
        <v>121</v>
      </c>
      <c r="J732" s="1298" t="s">
        <v>1230</v>
      </c>
      <c r="K732" s="1298"/>
      <c r="L732" s="3065" t="s">
        <v>121</v>
      </c>
      <c r="M732" s="1298" t="s">
        <v>1256</v>
      </c>
      <c r="N732" s="1298"/>
      <c r="O732" s="3065" t="s">
        <v>121</v>
      </c>
      <c r="P732" s="1298" t="s">
        <v>1257</v>
      </c>
      <c r="Q732" s="1299"/>
      <c r="R732" s="1299"/>
      <c r="S732" s="1299"/>
      <c r="T732" s="1299"/>
      <c r="U732" s="1299"/>
      <c r="V732" s="1299"/>
      <c r="W732" s="1299"/>
      <c r="X732" s="1302"/>
      <c r="Y732" s="1295"/>
      <c r="Z732" s="1292"/>
      <c r="AA732" s="1292"/>
      <c r="AB732" s="1293"/>
      <c r="AC732" s="1544"/>
      <c r="AD732" s="1544"/>
      <c r="AE732" s="1544"/>
      <c r="AF732" s="1544"/>
      <c r="AI732" s="3056" t="str">
        <f>"52:field228:" &amp; IF(I732="■",1,IF(L732="■",2,IF(O732="■",3,0)))</f>
        <v>52:field228:0</v>
      </c>
    </row>
    <row r="733" spans="1:35" s="3056" customFormat="1" ht="18.75" customHeight="1">
      <c r="A733" s="735"/>
      <c r="B733" s="1407"/>
      <c r="C733" s="1287"/>
      <c r="D733" s="1288"/>
      <c r="E733" s="1275"/>
      <c r="F733" s="1289"/>
      <c r="G733" s="1275"/>
      <c r="H733" s="1541" t="s">
        <v>1280</v>
      </c>
      <c r="I733" s="3137" t="s">
        <v>121</v>
      </c>
      <c r="J733" s="1290" t="s">
        <v>1281</v>
      </c>
      <c r="K733" s="1328"/>
      <c r="L733" s="1290"/>
      <c r="M733" s="1290"/>
      <c r="N733" s="1290"/>
      <c r="O733" s="1314"/>
      <c r="P733" s="1314"/>
      <c r="Q733" s="3136" t="s">
        <v>121</v>
      </c>
      <c r="R733" s="1290" t="s">
        <v>1282</v>
      </c>
      <c r="S733" s="1402"/>
      <c r="T733" s="1402"/>
      <c r="U733" s="1402"/>
      <c r="V733" s="1402"/>
      <c r="W733" s="1402"/>
      <c r="X733" s="1291"/>
      <c r="Y733" s="1295"/>
      <c r="Z733" s="1292"/>
      <c r="AA733" s="1292"/>
      <c r="AB733" s="1293"/>
      <c r="AC733" s="1544"/>
      <c r="AD733" s="1544"/>
      <c r="AE733" s="1544"/>
      <c r="AF733" s="1544"/>
      <c r="AI733" s="3056" t="str">
        <f>"52:"&amp;IF(AND(I733="□",Q733="□",I734="□",Q734="□"),"koriha_rihasido_code:0:koriha_gengo_code:0:riha_seisin_code:0:koriha_other_code:0",IF(I733="■","koriha_rihasido_code:2","koriha_rihasido_code:1")
&amp;IF(Q733="■",":koriha_gengo_code:2",":koriha_gengo_code:1")
&amp;IF(I734="■",":riha_seisin_code:2",":riha_seisin_code:1")
&amp;IF(Q734="■",":koriha_other_code:2",":koriha_other_code:1"))</f>
        <v>52:koriha_rihasido_code:0:koriha_gengo_code:0:riha_seisin_code:0:koriha_other_code:0</v>
      </c>
    </row>
    <row r="734" spans="1:35" s="3056" customFormat="1" ht="18.75" customHeight="1">
      <c r="A734" s="735"/>
      <c r="B734" s="1407"/>
      <c r="C734" s="1287"/>
      <c r="D734" s="1288"/>
      <c r="E734" s="1275"/>
      <c r="F734" s="1289"/>
      <c r="G734" s="1275"/>
      <c r="H734" s="1542"/>
      <c r="I734" s="3063" t="s">
        <v>121</v>
      </c>
      <c r="J734" s="1296" t="s">
        <v>1283</v>
      </c>
      <c r="K734" s="1330"/>
      <c r="L734" s="1290"/>
      <c r="M734" s="1330"/>
      <c r="N734" s="1330"/>
      <c r="O734" s="1330"/>
      <c r="P734" s="1330"/>
      <c r="Q734" s="3062" t="s">
        <v>121</v>
      </c>
      <c r="R734" s="1296" t="s">
        <v>1284</v>
      </c>
      <c r="S734" s="1403"/>
      <c r="T734" s="1403"/>
      <c r="U734" s="1403"/>
      <c r="V734" s="1403"/>
      <c r="W734" s="1403"/>
      <c r="X734" s="1297"/>
      <c r="Y734" s="1295"/>
      <c r="Z734" s="1292"/>
      <c r="AA734" s="1292"/>
      <c r="AB734" s="1293"/>
      <c r="AC734" s="1544"/>
      <c r="AD734" s="1544"/>
      <c r="AE734" s="1544"/>
      <c r="AF734" s="1544"/>
    </row>
    <row r="735" spans="1:35" s="3056" customFormat="1" ht="18.75" customHeight="1">
      <c r="A735" s="735"/>
      <c r="B735" s="1407"/>
      <c r="C735" s="1287"/>
      <c r="D735" s="1288"/>
      <c r="E735" s="1275"/>
      <c r="F735" s="1289"/>
      <c r="G735" s="1275"/>
      <c r="H735" s="1312" t="s">
        <v>1262</v>
      </c>
      <c r="I735" s="3063" t="s">
        <v>121</v>
      </c>
      <c r="J735" s="1296" t="s">
        <v>1230</v>
      </c>
      <c r="K735" s="1309"/>
      <c r="L735" s="3065" t="s">
        <v>121</v>
      </c>
      <c r="M735" s="1298" t="s">
        <v>1263</v>
      </c>
      <c r="N735" s="1298"/>
      <c r="O735" s="3065" t="s">
        <v>121</v>
      </c>
      <c r="P735" s="1298" t="s">
        <v>1287</v>
      </c>
      <c r="Q735" s="1299"/>
      <c r="R735" s="1299"/>
      <c r="S735" s="1299"/>
      <c r="T735" s="1299"/>
      <c r="U735" s="1299"/>
      <c r="V735" s="1299"/>
      <c r="W735" s="1299"/>
      <c r="X735" s="1302"/>
      <c r="Y735" s="1295"/>
      <c r="Z735" s="1292"/>
      <c r="AA735" s="1292"/>
      <c r="AB735" s="1293"/>
      <c r="AC735" s="1544"/>
      <c r="AD735" s="1544"/>
      <c r="AE735" s="1544"/>
      <c r="AF735" s="1544"/>
      <c r="AI735" s="3056" t="str">
        <f>"52:field216:" &amp; IF(I735="■",1,IF(L735="■",3,IF(O735="■",2,0)))</f>
        <v>52:field216:0</v>
      </c>
    </row>
    <row r="736" spans="1:35" s="3056" customFormat="1" ht="18.75" customHeight="1">
      <c r="A736" s="735"/>
      <c r="B736" s="1407"/>
      <c r="C736" s="1287"/>
      <c r="D736" s="1288"/>
      <c r="E736" s="1275"/>
      <c r="F736" s="1289"/>
      <c r="G736" s="1275"/>
      <c r="H736" s="1312" t="s">
        <v>757</v>
      </c>
      <c r="I736" s="3063" t="s">
        <v>121</v>
      </c>
      <c r="J736" s="1296" t="s">
        <v>1230</v>
      </c>
      <c r="K736" s="1309"/>
      <c r="L736" s="3062" t="s">
        <v>121</v>
      </c>
      <c r="M736" s="1296" t="s">
        <v>1248</v>
      </c>
      <c r="N736" s="1299"/>
      <c r="O736" s="1307"/>
      <c r="P736" s="1307"/>
      <c r="Q736" s="1307"/>
      <c r="R736" s="1307"/>
      <c r="S736" s="1307"/>
      <c r="T736" s="1307"/>
      <c r="U736" s="1307"/>
      <c r="V736" s="1307"/>
      <c r="W736" s="1307"/>
      <c r="X736" s="1308"/>
      <c r="Y736" s="1295"/>
      <c r="Z736" s="1292"/>
      <c r="AA736" s="1292"/>
      <c r="AB736" s="1293"/>
      <c r="AC736" s="1544"/>
      <c r="AD736" s="1544"/>
      <c r="AE736" s="1544"/>
      <c r="AF736" s="1544"/>
      <c r="AI736" s="3056" t="str">
        <f>"52:field210:" &amp; IF(I736="■",1,IF(L736="■",2,0))</f>
        <v>52:field210:0</v>
      </c>
    </row>
    <row r="737" spans="1:36" s="3056" customFormat="1" ht="18.75" customHeight="1">
      <c r="A737" s="735"/>
      <c r="B737" s="1407"/>
      <c r="C737" s="1287"/>
      <c r="D737" s="1288"/>
      <c r="E737" s="1275"/>
      <c r="F737" s="1289"/>
      <c r="G737" s="1275"/>
      <c r="H737" s="1409" t="s">
        <v>758</v>
      </c>
      <c r="I737" s="3063" t="s">
        <v>121</v>
      </c>
      <c r="J737" s="1296" t="s">
        <v>1230</v>
      </c>
      <c r="K737" s="1309"/>
      <c r="L737" s="3062" t="s">
        <v>121</v>
      </c>
      <c r="M737" s="1296" t="s">
        <v>1248</v>
      </c>
      <c r="N737" s="1299"/>
      <c r="O737" s="1307"/>
      <c r="P737" s="1307"/>
      <c r="Q737" s="1307"/>
      <c r="R737" s="1307"/>
      <c r="S737" s="1307"/>
      <c r="T737" s="1307"/>
      <c r="U737" s="1307"/>
      <c r="V737" s="1307"/>
      <c r="W737" s="1307"/>
      <c r="X737" s="1308"/>
      <c r="Y737" s="1295"/>
      <c r="Z737" s="1292"/>
      <c r="AA737" s="1292"/>
      <c r="AB737" s="1293"/>
      <c r="AC737" s="1544"/>
      <c r="AD737" s="1544"/>
      <c r="AE737" s="1544"/>
      <c r="AF737" s="1544"/>
      <c r="AI737" s="3056" t="str">
        <f>"52:field211:" &amp; IF(I737="■",1,IF(L737="■",2,0))</f>
        <v>52:field211:0</v>
      </c>
    </row>
    <row r="738" spans="1:36" s="3056" customFormat="1" ht="18.75" customHeight="1">
      <c r="A738" s="735"/>
      <c r="B738" s="1407"/>
      <c r="C738" s="1287"/>
      <c r="D738" s="1288"/>
      <c r="E738" s="1275"/>
      <c r="F738" s="1289"/>
      <c r="G738" s="1275"/>
      <c r="H738" s="1409" t="s">
        <v>764</v>
      </c>
      <c r="I738" s="3063" t="s">
        <v>121</v>
      </c>
      <c r="J738" s="1296" t="s">
        <v>1230</v>
      </c>
      <c r="K738" s="1309"/>
      <c r="L738" s="3062" t="s">
        <v>121</v>
      </c>
      <c r="M738" s="1296" t="s">
        <v>1248</v>
      </c>
      <c r="N738" s="1299"/>
      <c r="O738" s="1307"/>
      <c r="P738" s="1307"/>
      <c r="Q738" s="1307"/>
      <c r="R738" s="1307"/>
      <c r="S738" s="1307"/>
      <c r="T738" s="1307"/>
      <c r="U738" s="1307"/>
      <c r="V738" s="1307"/>
      <c r="W738" s="1307"/>
      <c r="X738" s="1308"/>
      <c r="Y738" s="1295"/>
      <c r="Z738" s="1292"/>
      <c r="AA738" s="1292"/>
      <c r="AB738" s="1293"/>
      <c r="AC738" s="1544"/>
      <c r="AD738" s="1544"/>
      <c r="AE738" s="1544"/>
      <c r="AF738" s="1544"/>
      <c r="AI738" s="3056" t="str">
        <f>"52:field212:" &amp; IF(I738="■",1,IF(L738="■",2,0))</f>
        <v>52:field212:0</v>
      </c>
    </row>
    <row r="739" spans="1:36" s="3056" customFormat="1" ht="18.75" customHeight="1">
      <c r="A739" s="735"/>
      <c r="B739" s="1407"/>
      <c r="C739" s="1287"/>
      <c r="D739" s="1288"/>
      <c r="E739" s="1275"/>
      <c r="F739" s="1289"/>
      <c r="G739" s="1275"/>
      <c r="H739" s="1409" t="s">
        <v>760</v>
      </c>
      <c r="I739" s="3063" t="s">
        <v>121</v>
      </c>
      <c r="J739" s="1296" t="s">
        <v>1230</v>
      </c>
      <c r="K739" s="1309"/>
      <c r="L739" s="3062" t="s">
        <v>121</v>
      </c>
      <c r="M739" s="1296" t="s">
        <v>1248</v>
      </c>
      <c r="N739" s="1299"/>
      <c r="O739" s="1307"/>
      <c r="P739" s="1307"/>
      <c r="Q739" s="1307"/>
      <c r="R739" s="1307"/>
      <c r="S739" s="1307"/>
      <c r="T739" s="1307"/>
      <c r="U739" s="1307"/>
      <c r="V739" s="1307"/>
      <c r="W739" s="1307"/>
      <c r="X739" s="1308"/>
      <c r="Y739" s="1295"/>
      <c r="Z739" s="1292"/>
      <c r="AA739" s="1292"/>
      <c r="AB739" s="1293"/>
      <c r="AC739" s="1544"/>
      <c r="AD739" s="1544"/>
      <c r="AE739" s="1544"/>
      <c r="AF739" s="1544"/>
      <c r="AI739" s="3056" t="str">
        <f>"52:field209:" &amp; IF(I739="■",1,IF(L739="■",2,0))</f>
        <v>52:field209:0</v>
      </c>
    </row>
    <row r="740" spans="1:36" s="3056" customFormat="1" ht="18.75" customHeight="1">
      <c r="A740" s="735"/>
      <c r="B740" s="1407"/>
      <c r="C740" s="1287"/>
      <c r="D740" s="1288"/>
      <c r="E740" s="1275"/>
      <c r="F740" s="1289"/>
      <c r="G740" s="1275"/>
      <c r="H740" s="1409" t="s">
        <v>1288</v>
      </c>
      <c r="I740" s="3066" t="s">
        <v>121</v>
      </c>
      <c r="J740" s="1298" t="s">
        <v>1230</v>
      </c>
      <c r="K740" s="1298"/>
      <c r="L740" s="3065" t="s">
        <v>121</v>
      </c>
      <c r="M740" s="1296" t="s">
        <v>1248</v>
      </c>
      <c r="N740" s="1298"/>
      <c r="O740" s="1298"/>
      <c r="P740" s="1298"/>
      <c r="Q740" s="1299"/>
      <c r="R740" s="1299"/>
      <c r="S740" s="1299"/>
      <c r="T740" s="1299"/>
      <c r="U740" s="1299"/>
      <c r="V740" s="1299"/>
      <c r="W740" s="1299"/>
      <c r="X740" s="1302"/>
      <c r="Y740" s="1295"/>
      <c r="Z740" s="1292"/>
      <c r="AA740" s="1292"/>
      <c r="AB740" s="1293"/>
      <c r="AC740" s="1544"/>
      <c r="AD740" s="1544"/>
      <c r="AE740" s="1544"/>
      <c r="AF740" s="1544"/>
      <c r="AI740" s="3056" t="str">
        <f>"52:field226:" &amp; IF(I740="■",1,IF(L740="■",2,0))</f>
        <v>52:field226:0</v>
      </c>
    </row>
    <row r="741" spans="1:36" s="3056" customFormat="1" ht="18.75" customHeight="1">
      <c r="A741" s="735"/>
      <c r="B741" s="1407"/>
      <c r="C741" s="1287"/>
      <c r="D741" s="1288"/>
      <c r="E741" s="1275"/>
      <c r="F741" s="1289"/>
      <c r="G741" s="1275"/>
      <c r="H741" s="1409" t="s">
        <v>1289</v>
      </c>
      <c r="I741" s="3066" t="s">
        <v>121</v>
      </c>
      <c r="J741" s="1298" t="s">
        <v>1230</v>
      </c>
      <c r="K741" s="1298"/>
      <c r="L741" s="3065" t="s">
        <v>121</v>
      </c>
      <c r="M741" s="1296" t="s">
        <v>1248</v>
      </c>
      <c r="N741" s="1298"/>
      <c r="O741" s="1298"/>
      <c r="P741" s="1298"/>
      <c r="Q741" s="1299"/>
      <c r="R741" s="1299"/>
      <c r="S741" s="1299"/>
      <c r="T741" s="1299"/>
      <c r="U741" s="1299"/>
      <c r="V741" s="1299"/>
      <c r="W741" s="1299"/>
      <c r="X741" s="1302"/>
      <c r="Y741" s="1295"/>
      <c r="Z741" s="1292"/>
      <c r="AA741" s="1292"/>
      <c r="AB741" s="1293"/>
      <c r="AC741" s="1544"/>
      <c r="AD741" s="1544"/>
      <c r="AE741" s="1544"/>
      <c r="AF741" s="1544"/>
      <c r="AI741" s="3056" t="str">
        <f>"52:field227:" &amp; IF(I741="■",1,IF(L741="■",2,0))</f>
        <v>52:field227:0</v>
      </c>
    </row>
    <row r="742" spans="1:36" s="3056" customFormat="1" ht="18.75" customHeight="1">
      <c r="A742" s="735"/>
      <c r="B742" s="1407"/>
      <c r="C742" s="1287"/>
      <c r="D742" s="1288"/>
      <c r="E742" s="1275"/>
      <c r="F742" s="1289"/>
      <c r="G742" s="1275"/>
      <c r="H742" s="1313" t="s">
        <v>1265</v>
      </c>
      <c r="I742" s="3066" t="s">
        <v>121</v>
      </c>
      <c r="J742" s="1298" t="s">
        <v>1230</v>
      </c>
      <c r="K742" s="1298"/>
      <c r="L742" s="3065" t="s">
        <v>121</v>
      </c>
      <c r="M742" s="1298" t="s">
        <v>1256</v>
      </c>
      <c r="N742" s="1298"/>
      <c r="O742" s="3065" t="s">
        <v>121</v>
      </c>
      <c r="P742" s="1298" t="s">
        <v>1257</v>
      </c>
      <c r="Q742" s="1307"/>
      <c r="R742" s="1307"/>
      <c r="S742" s="1307"/>
      <c r="T742" s="1307"/>
      <c r="U742" s="1314"/>
      <c r="V742" s="1314"/>
      <c r="W742" s="1314"/>
      <c r="X742" s="1315"/>
      <c r="Y742" s="1295"/>
      <c r="Z742" s="1292"/>
      <c r="AA742" s="1292"/>
      <c r="AB742" s="1293"/>
      <c r="AC742" s="1544"/>
      <c r="AD742" s="1544"/>
      <c r="AE742" s="1544"/>
      <c r="AF742" s="1544"/>
      <c r="AI742" s="3056" t="str">
        <f>"52:field225:" &amp; IF(I742="■",1,IF(L742="■",2,IF(O742="■",3,0)))</f>
        <v>52:field225:0</v>
      </c>
    </row>
    <row r="743" spans="1:36" s="3056" customFormat="1" ht="18.75" customHeight="1">
      <c r="A743" s="735"/>
      <c r="B743" s="1407"/>
      <c r="C743" s="1287"/>
      <c r="D743" s="1288"/>
      <c r="E743" s="1275"/>
      <c r="F743" s="1289"/>
      <c r="G743" s="1275"/>
      <c r="H743" s="1409" t="s">
        <v>1266</v>
      </c>
      <c r="I743" s="3066" t="s">
        <v>121</v>
      </c>
      <c r="J743" s="1298" t="s">
        <v>1230</v>
      </c>
      <c r="K743" s="1298"/>
      <c r="L743" s="3065" t="s">
        <v>121</v>
      </c>
      <c r="M743" s="1298" t="s">
        <v>1267</v>
      </c>
      <c r="N743" s="1298"/>
      <c r="O743" s="3065" t="s">
        <v>121</v>
      </c>
      <c r="P743" s="1298" t="s">
        <v>1268</v>
      </c>
      <c r="Q743" s="1326"/>
      <c r="R743" s="3065" t="s">
        <v>121</v>
      </c>
      <c r="S743" s="1298" t="s">
        <v>1269</v>
      </c>
      <c r="T743" s="1298"/>
      <c r="U743" s="1326"/>
      <c r="V743" s="1326"/>
      <c r="W743" s="1326"/>
      <c r="X743" s="1327"/>
      <c r="Y743" s="1295"/>
      <c r="Z743" s="1292"/>
      <c r="AA743" s="1292"/>
      <c r="AB743" s="1293"/>
      <c r="AC743" s="1544"/>
      <c r="AD743" s="1544"/>
      <c r="AE743" s="1544"/>
      <c r="AF743" s="1544"/>
      <c r="AI743" s="3056" t="str">
        <f>"52:serteikyo_kyoka_code:" &amp; IF(I743="■",1,IF(L743="■",6,IF(O743="■",5,IF(R743="■",7,0))))</f>
        <v>52:serteikyo_kyoka_code:0</v>
      </c>
    </row>
    <row r="744" spans="1:36" s="3056" customFormat="1" ht="18.75" customHeight="1">
      <c r="A744" s="736"/>
      <c r="B744" s="1316"/>
      <c r="C744" s="1346"/>
      <c r="D744" s="1348"/>
      <c r="E744" s="1317"/>
      <c r="F744" s="1318"/>
      <c r="G744" s="1361"/>
      <c r="H744" s="3134" t="s">
        <v>2288</v>
      </c>
      <c r="I744" s="3060" t="s">
        <v>121</v>
      </c>
      <c r="J744" s="3130" t="s">
        <v>1230</v>
      </c>
      <c r="K744" s="3130"/>
      <c r="L744" s="3059" t="s">
        <v>121</v>
      </c>
      <c r="M744" s="3130" t="s">
        <v>2287</v>
      </c>
      <c r="N744" s="3133"/>
      <c r="O744" s="3059" t="s">
        <v>121</v>
      </c>
      <c r="P744" s="3132" t="s">
        <v>2286</v>
      </c>
      <c r="Q744" s="3131"/>
      <c r="R744" s="3059" t="s">
        <v>121</v>
      </c>
      <c r="S744" s="3130" t="s">
        <v>2285</v>
      </c>
      <c r="T744" s="3131"/>
      <c r="U744" s="3059" t="s">
        <v>121</v>
      </c>
      <c r="V744" s="3130" t="s">
        <v>2284</v>
      </c>
      <c r="W744" s="3129"/>
      <c r="X744" s="3128"/>
      <c r="Y744" s="1323"/>
      <c r="Z744" s="1323"/>
      <c r="AA744" s="1323"/>
      <c r="AB744" s="1324"/>
      <c r="AC744" s="1558"/>
      <c r="AD744" s="1558"/>
      <c r="AE744" s="1558"/>
      <c r="AF744" s="1558"/>
      <c r="AI744" s="3056" t="str">
        <f>"52:shoguukaizen_code:"&amp;IF(I744="■",1,IF(L744="■",7,IF(O744="■",8,IF(R744="■",9,IF(U744="■","A",0)))))</f>
        <v>52:shoguukaizen_code:0</v>
      </c>
    </row>
    <row r="745" spans="1:36" s="3056" customFormat="1" ht="18.75" customHeight="1">
      <c r="A745" s="1276"/>
      <c r="B745" s="1405"/>
      <c r="C745" s="1277"/>
      <c r="D745" s="1278"/>
      <c r="E745" s="1272"/>
      <c r="F745" s="1279"/>
      <c r="G745" s="1272"/>
      <c r="H745" s="1408" t="s">
        <v>1226</v>
      </c>
      <c r="I745" s="3074" t="s">
        <v>121</v>
      </c>
      <c r="J745" s="1280" t="s">
        <v>1227</v>
      </c>
      <c r="K745" s="1281"/>
      <c r="L745" s="1282"/>
      <c r="M745" s="3073" t="s">
        <v>121</v>
      </c>
      <c r="N745" s="1280" t="s">
        <v>1228</v>
      </c>
      <c r="O745" s="1284"/>
      <c r="P745" s="1284"/>
      <c r="Q745" s="1284"/>
      <c r="R745" s="1284"/>
      <c r="S745" s="1284"/>
      <c r="T745" s="1284"/>
      <c r="U745" s="1284"/>
      <c r="V745" s="1284"/>
      <c r="W745" s="1284"/>
      <c r="X745" s="1325"/>
      <c r="Y745" s="3119" t="s">
        <v>121</v>
      </c>
      <c r="Z745" s="1270" t="s">
        <v>1229</v>
      </c>
      <c r="AA745" s="1270"/>
      <c r="AB745" s="1286"/>
      <c r="AC745" s="1543"/>
      <c r="AD745" s="1543"/>
      <c r="AE745" s="1543"/>
      <c r="AF745" s="1543"/>
      <c r="AG745" s="3056" t="str">
        <f>"ser_code = '" &amp; IF(A761="■",52,"") &amp; "'"</f>
        <v>ser_code = ''</v>
      </c>
      <c r="AI745" s="3056" t="str">
        <f>"52:yakan_kinmu_code:" &amp; IF(I745="■",1,IF(M745="■",6,0))</f>
        <v>52:yakan_kinmu_code:0</v>
      </c>
      <c r="AJ745" s="3056" t="str">
        <f>"52:field203:" &amp; IF(Y745="■",1,IF(Y746="■",2,0))</f>
        <v>52:field203:0</v>
      </c>
    </row>
    <row r="746" spans="1:36" s="3056" customFormat="1" ht="18.75" customHeight="1">
      <c r="A746" s="735"/>
      <c r="B746" s="1407"/>
      <c r="C746" s="1287"/>
      <c r="D746" s="1288"/>
      <c r="E746" s="1275"/>
      <c r="F746" s="1289"/>
      <c r="G746" s="1275"/>
      <c r="H746" s="1541" t="s">
        <v>90</v>
      </c>
      <c r="I746" s="3137" t="s">
        <v>121</v>
      </c>
      <c r="J746" s="1290" t="s">
        <v>1230</v>
      </c>
      <c r="K746" s="1290"/>
      <c r="L746" s="1402"/>
      <c r="M746" s="3136" t="s">
        <v>121</v>
      </c>
      <c r="N746" s="1290" t="s">
        <v>1231</v>
      </c>
      <c r="O746" s="1290"/>
      <c r="P746" s="1402"/>
      <c r="Q746" s="3136" t="s">
        <v>121</v>
      </c>
      <c r="R746" s="1402" t="s">
        <v>1232</v>
      </c>
      <c r="S746" s="1402"/>
      <c r="T746" s="1402"/>
      <c r="U746" s="3136" t="s">
        <v>121</v>
      </c>
      <c r="V746" s="1402" t="s">
        <v>1233</v>
      </c>
      <c r="W746" s="1402"/>
      <c r="X746" s="1291"/>
      <c r="Y746" s="3069" t="s">
        <v>121</v>
      </c>
      <c r="Z746" s="1273" t="s">
        <v>1234</v>
      </c>
      <c r="AA746" s="1292"/>
      <c r="AB746" s="1293"/>
      <c r="AC746" s="1544"/>
      <c r="AD746" s="1544"/>
      <c r="AE746" s="1544"/>
      <c r="AF746" s="1544"/>
      <c r="AG746" s="3056" t="str">
        <f>"52:sisetukbn_code:" &amp; IF(D760="■",6,IF(D761="■",8,0))</f>
        <v>52:sisetukbn_code:0</v>
      </c>
      <c r="AI746" s="3056" t="str">
        <f>"52:"&amp;IF(AND(I746="□",M746="□",Q746="□",U746="□",I747="□",M747="□",Q747="□",I748="□"),"ketu_doctor_code:0",IF(I746="■","ketu_doctor_code:1:ketu_kangos_code:1:ketu_kshoku_code:1:ketu_rryoho_code:1:ketu_sryoho_code:1:ketu_ksiensou_code:1:ketu_gengo_code:1",IF(M746="■","ketu_doctor_code:2","ketu_doctor_code:1")
&amp;IF(Q746="■",":ketu_kangos_code:2",":ketu_kangos_code:1")
&amp;IF(U746="■",":ketu_kshoku_code:2",":ketu_kshoku_code:1")
&amp;IF(I747="■",":ketu_rryoho_code:2",":ketu_rryoho_code:1")
&amp;IF(M747="■",":ketu_sryoho_code:2",":ketu_sryoho_code:1")
&amp;IF(Q747="■",":ketu_ksiensou_code:2",":ketu_ksiensou_code:1")
&amp;IF(I748="■",":ketu_gengo_code:2",":ketu_gengo_code:1")))</f>
        <v>52:ketu_doctor_code:0</v>
      </c>
    </row>
    <row r="747" spans="1:36" s="3056" customFormat="1" ht="18.75" customHeight="1">
      <c r="A747" s="735"/>
      <c r="B747" s="1407"/>
      <c r="C747" s="1287"/>
      <c r="D747" s="1288"/>
      <c r="E747" s="1275"/>
      <c r="F747" s="1289"/>
      <c r="G747" s="1275"/>
      <c r="H747" s="1546"/>
      <c r="I747" s="3069" t="s">
        <v>121</v>
      </c>
      <c r="J747" s="1273" t="s">
        <v>1235</v>
      </c>
      <c r="K747" s="1273"/>
      <c r="L747" s="1412"/>
      <c r="M747" s="3122" t="s">
        <v>121</v>
      </c>
      <c r="N747" s="1273" t="s">
        <v>1236</v>
      </c>
      <c r="O747" s="1273"/>
      <c r="P747" s="1412"/>
      <c r="Q747" s="3122" t="s">
        <v>121</v>
      </c>
      <c r="R747" s="1412" t="s">
        <v>1237</v>
      </c>
      <c r="S747" s="1412"/>
      <c r="T747" s="1412"/>
      <c r="U747" s="1412"/>
      <c r="V747" s="1412"/>
      <c r="W747" s="1412"/>
      <c r="X747" s="1294"/>
      <c r="Y747" s="1295"/>
      <c r="Z747" s="1292"/>
      <c r="AA747" s="1292"/>
      <c r="AB747" s="1293"/>
      <c r="AC747" s="1544"/>
      <c r="AD747" s="1544"/>
      <c r="AE747" s="1544"/>
      <c r="AF747" s="1544"/>
    </row>
    <row r="748" spans="1:36" s="3056" customFormat="1" ht="18.75" customHeight="1">
      <c r="A748" s="735"/>
      <c r="B748" s="1407"/>
      <c r="C748" s="1287"/>
      <c r="D748" s="1288"/>
      <c r="E748" s="1275"/>
      <c r="F748" s="1289"/>
      <c r="G748" s="1275"/>
      <c r="H748" s="1542"/>
      <c r="I748" s="3063" t="s">
        <v>121</v>
      </c>
      <c r="J748" s="1296" t="s">
        <v>1238</v>
      </c>
      <c r="K748" s="1296"/>
      <c r="L748" s="1403"/>
      <c r="M748" s="1296"/>
      <c r="N748" s="1296"/>
      <c r="O748" s="1296"/>
      <c r="P748" s="1403"/>
      <c r="Q748" s="1296"/>
      <c r="R748" s="1403"/>
      <c r="S748" s="1403"/>
      <c r="T748" s="1403"/>
      <c r="U748" s="1403"/>
      <c r="V748" s="1403"/>
      <c r="W748" s="1403"/>
      <c r="X748" s="1297"/>
      <c r="Y748" s="1295"/>
      <c r="Z748" s="1292"/>
      <c r="AA748" s="1292"/>
      <c r="AB748" s="1293"/>
      <c r="AC748" s="1544"/>
      <c r="AD748" s="1544"/>
      <c r="AE748" s="1544"/>
      <c r="AF748" s="1544"/>
    </row>
    <row r="749" spans="1:36" s="3056" customFormat="1" ht="18.75" customHeight="1">
      <c r="A749" s="735"/>
      <c r="B749" s="1407"/>
      <c r="C749" s="1287"/>
      <c r="D749" s="1288"/>
      <c r="E749" s="1275"/>
      <c r="F749" s="1289"/>
      <c r="G749" s="1275"/>
      <c r="H749" s="1409" t="s">
        <v>91</v>
      </c>
      <c r="I749" s="3066" t="s">
        <v>121</v>
      </c>
      <c r="J749" s="1298" t="s">
        <v>1239</v>
      </c>
      <c r="K749" s="1299"/>
      <c r="L749" s="1300"/>
      <c r="M749" s="3065" t="s">
        <v>121</v>
      </c>
      <c r="N749" s="1298" t="s">
        <v>1240</v>
      </c>
      <c r="O749" s="1299"/>
      <c r="P749" s="1299"/>
      <c r="Q749" s="1307"/>
      <c r="R749" s="1307"/>
      <c r="S749" s="1307"/>
      <c r="T749" s="1307"/>
      <c r="U749" s="1307"/>
      <c r="V749" s="1307"/>
      <c r="W749" s="1307"/>
      <c r="X749" s="1308"/>
      <c r="Y749" s="1295"/>
      <c r="Z749" s="1292"/>
      <c r="AA749" s="1292"/>
      <c r="AB749" s="1293"/>
      <c r="AC749" s="1544"/>
      <c r="AD749" s="1544"/>
      <c r="AE749" s="1544"/>
      <c r="AF749" s="1544"/>
      <c r="AI749" s="3056" t="str">
        <f>"52:unitcare_code:" &amp; IF(I749="■",1,IF(M749="■",2,0))</f>
        <v>52:unitcare_code:0</v>
      </c>
    </row>
    <row r="750" spans="1:36" s="3056" customFormat="1" ht="18.75" customHeight="1">
      <c r="A750" s="735"/>
      <c r="B750" s="1407"/>
      <c r="C750" s="1287"/>
      <c r="D750" s="1288"/>
      <c r="E750" s="1275"/>
      <c r="F750" s="1289"/>
      <c r="G750" s="1275"/>
      <c r="H750" s="1409" t="s">
        <v>1241</v>
      </c>
      <c r="I750" s="3066" t="s">
        <v>121</v>
      </c>
      <c r="J750" s="1298" t="s">
        <v>1242</v>
      </c>
      <c r="K750" s="1299"/>
      <c r="L750" s="1300"/>
      <c r="M750" s="3065" t="s">
        <v>121</v>
      </c>
      <c r="N750" s="1298" t="s">
        <v>1243</v>
      </c>
      <c r="O750" s="1299"/>
      <c r="P750" s="1299"/>
      <c r="Q750" s="1307"/>
      <c r="R750" s="1307"/>
      <c r="S750" s="1307"/>
      <c r="T750" s="1307"/>
      <c r="U750" s="1307"/>
      <c r="V750" s="1307"/>
      <c r="W750" s="1307"/>
      <c r="X750" s="1308"/>
      <c r="Y750" s="1295"/>
      <c r="Z750" s="1292"/>
      <c r="AA750" s="1292"/>
      <c r="AB750" s="1293"/>
      <c r="AC750" s="1544"/>
      <c r="AD750" s="1544"/>
      <c r="AE750" s="1544"/>
      <c r="AF750" s="1544"/>
      <c r="AI750" s="3056" t="str">
        <f>"52:sintaikousoku_code:" &amp; IF(I750="■",1,IF(M750="■",2,0))</f>
        <v>52:sintaikousoku_code:0</v>
      </c>
    </row>
    <row r="751" spans="1:36" s="3056" customFormat="1" ht="18.75" customHeight="1">
      <c r="A751" s="735"/>
      <c r="B751" s="1407"/>
      <c r="C751" s="1287"/>
      <c r="D751" s="1288"/>
      <c r="E751" s="1275"/>
      <c r="F751" s="1289"/>
      <c r="G751" s="1275"/>
      <c r="H751" s="1409" t="s">
        <v>753</v>
      </c>
      <c r="I751" s="3066" t="s">
        <v>121</v>
      </c>
      <c r="J751" s="1298" t="s">
        <v>1242</v>
      </c>
      <c r="K751" s="1299"/>
      <c r="L751" s="1300"/>
      <c r="M751" s="3065" t="s">
        <v>121</v>
      </c>
      <c r="N751" s="1298" t="s">
        <v>1243</v>
      </c>
      <c r="O751" s="1299"/>
      <c r="P751" s="1299"/>
      <c r="Q751" s="1307"/>
      <c r="R751" s="1307"/>
      <c r="S751" s="1307"/>
      <c r="T751" s="1307"/>
      <c r="U751" s="1307"/>
      <c r="V751" s="1307"/>
      <c r="W751" s="1307"/>
      <c r="X751" s="1308"/>
      <c r="Y751" s="1295"/>
      <c r="Z751" s="1292"/>
      <c r="AA751" s="1292"/>
      <c r="AB751" s="1293"/>
      <c r="AC751" s="1544"/>
      <c r="AD751" s="1544"/>
      <c r="AE751" s="1544"/>
      <c r="AF751" s="1544"/>
      <c r="AI751" s="3056" t="str">
        <f>"52:field208:" &amp; IF(I751="■",1,IF(M751="■",2,0))</f>
        <v>52:field208:0</v>
      </c>
    </row>
    <row r="752" spans="1:36" s="3056" customFormat="1" ht="19.5" customHeight="1">
      <c r="A752" s="735"/>
      <c r="B752" s="1407"/>
      <c r="C752" s="1303"/>
      <c r="D752" s="1304"/>
      <c r="E752" s="1275"/>
      <c r="F752" s="1289"/>
      <c r="G752" s="1305"/>
      <c r="H752" s="1306" t="s">
        <v>1244</v>
      </c>
      <c r="I752" s="3066" t="s">
        <v>121</v>
      </c>
      <c r="J752" s="1298" t="s">
        <v>1242</v>
      </c>
      <c r="K752" s="1299"/>
      <c r="L752" s="1300"/>
      <c r="M752" s="3065" t="s">
        <v>121</v>
      </c>
      <c r="N752" s="1298" t="s">
        <v>1245</v>
      </c>
      <c r="O752" s="1301"/>
      <c r="P752" s="1298"/>
      <c r="Q752" s="1307"/>
      <c r="R752" s="1307"/>
      <c r="S752" s="1307"/>
      <c r="T752" s="1307"/>
      <c r="U752" s="1307"/>
      <c r="V752" s="1307"/>
      <c r="W752" s="1307"/>
      <c r="X752" s="1308"/>
      <c r="Y752" s="1292"/>
      <c r="Z752" s="1292"/>
      <c r="AA752" s="1292"/>
      <c r="AB752" s="1293"/>
      <c r="AC752" s="1544"/>
      <c r="AD752" s="1544"/>
      <c r="AE752" s="1544"/>
      <c r="AF752" s="1544"/>
      <c r="AI752" s="3056" t="str">
        <f>"52:field223:" &amp; IF(I752="■",1,IF(M752="■",2,0))</f>
        <v>52:field223:0</v>
      </c>
    </row>
    <row r="753" spans="1:35" s="3056" customFormat="1" ht="19.5" customHeight="1">
      <c r="A753" s="735"/>
      <c r="B753" s="1407"/>
      <c r="C753" s="1303"/>
      <c r="D753" s="1304"/>
      <c r="E753" s="1275"/>
      <c r="F753" s="1289"/>
      <c r="G753" s="1305"/>
      <c r="H753" s="1306" t="s">
        <v>1246</v>
      </c>
      <c r="I753" s="3066" t="s">
        <v>121</v>
      </c>
      <c r="J753" s="1298" t="s">
        <v>1242</v>
      </c>
      <c r="K753" s="1299"/>
      <c r="L753" s="1300"/>
      <c r="M753" s="3065" t="s">
        <v>121</v>
      </c>
      <c r="N753" s="1298" t="s">
        <v>1245</v>
      </c>
      <c r="O753" s="1301"/>
      <c r="P753" s="1298"/>
      <c r="Q753" s="1307"/>
      <c r="R753" s="1307"/>
      <c r="S753" s="1307"/>
      <c r="T753" s="1307"/>
      <c r="U753" s="1307"/>
      <c r="V753" s="1307"/>
      <c r="W753" s="1307"/>
      <c r="X753" s="1308"/>
      <c r="Y753" s="1292"/>
      <c r="Z753" s="1292"/>
      <c r="AA753" s="1292"/>
      <c r="AB753" s="1293"/>
      <c r="AC753" s="1544"/>
      <c r="AD753" s="1544"/>
      <c r="AE753" s="1544"/>
      <c r="AF753" s="1544"/>
      <c r="AI753" s="3056" t="str">
        <f>"52:field232:" &amp; IF(I753="■",1,IF(M753="■",2,0))</f>
        <v>52:field232:0</v>
      </c>
    </row>
    <row r="754" spans="1:35" s="3056" customFormat="1" ht="37.5" customHeight="1">
      <c r="A754" s="735"/>
      <c r="B754" s="1407"/>
      <c r="C754" s="1287"/>
      <c r="D754" s="1288"/>
      <c r="E754" s="1275"/>
      <c r="F754" s="1289"/>
      <c r="G754" s="1275"/>
      <c r="H754" s="1410" t="s">
        <v>1247</v>
      </c>
      <c r="I754" s="3063" t="s">
        <v>121</v>
      </c>
      <c r="J754" s="1296" t="s">
        <v>1230</v>
      </c>
      <c r="K754" s="1309"/>
      <c r="L754" s="3062" t="s">
        <v>121</v>
      </c>
      <c r="M754" s="1296" t="s">
        <v>1248</v>
      </c>
      <c r="N754" s="1299"/>
      <c r="O754" s="1326"/>
      <c r="P754" s="1326"/>
      <c r="Q754" s="1326"/>
      <c r="R754" s="1326"/>
      <c r="S754" s="1326"/>
      <c r="T754" s="1326"/>
      <c r="U754" s="1326"/>
      <c r="V754" s="1326"/>
      <c r="W754" s="1326"/>
      <c r="X754" s="1327"/>
      <c r="Y754" s="1295"/>
      <c r="Z754" s="1292"/>
      <c r="AA754" s="1292"/>
      <c r="AB754" s="1293"/>
      <c r="AC754" s="1544"/>
      <c r="AD754" s="1544"/>
      <c r="AE754" s="1544"/>
      <c r="AF754" s="1544"/>
      <c r="AI754" s="3056" t="str">
        <f>"52:field206:" &amp; IF(I754="■",1,IF(L754="■",2,0))</f>
        <v>52:field206:0</v>
      </c>
    </row>
    <row r="755" spans="1:35" s="3056" customFormat="1" ht="18.75" customHeight="1">
      <c r="A755" s="735"/>
      <c r="B755" s="1407"/>
      <c r="C755" s="1287"/>
      <c r="D755" s="1288"/>
      <c r="E755" s="1275"/>
      <c r="F755" s="1289"/>
      <c r="G755" s="1275"/>
      <c r="H755" s="1409" t="s">
        <v>140</v>
      </c>
      <c r="I755" s="3063" t="s">
        <v>121</v>
      </c>
      <c r="J755" s="1296" t="s">
        <v>1230</v>
      </c>
      <c r="K755" s="1309"/>
      <c r="L755" s="3062" t="s">
        <v>121</v>
      </c>
      <c r="M755" s="1296" t="s">
        <v>1248</v>
      </c>
      <c r="N755" s="1299"/>
      <c r="O755" s="1307"/>
      <c r="P755" s="1307"/>
      <c r="Q755" s="1307"/>
      <c r="R755" s="1307"/>
      <c r="S755" s="1307"/>
      <c r="T755" s="1307"/>
      <c r="U755" s="1307"/>
      <c r="V755" s="1307"/>
      <c r="W755" s="1307"/>
      <c r="X755" s="1308"/>
      <c r="Y755" s="1295"/>
      <c r="Z755" s="1292"/>
      <c r="AA755" s="1292"/>
      <c r="AB755" s="1293"/>
      <c r="AC755" s="1544"/>
      <c r="AD755" s="1544"/>
      <c r="AE755" s="1544"/>
      <c r="AF755" s="1544"/>
      <c r="AI755" s="3056" t="str">
        <f>"52:yakinhaiti_code:" &amp; IF(I755="■",1,IF(L755="■",2,0))</f>
        <v>52:yakinhaiti_code:0</v>
      </c>
    </row>
    <row r="756" spans="1:35" s="3056" customFormat="1" ht="18.75" customHeight="1">
      <c r="A756" s="735"/>
      <c r="B756" s="1407"/>
      <c r="C756" s="1287"/>
      <c r="D756" s="1288"/>
      <c r="E756" s="1275"/>
      <c r="F756" s="1289"/>
      <c r="G756" s="1275"/>
      <c r="H756" s="1409" t="s">
        <v>1249</v>
      </c>
      <c r="I756" s="3063" t="s">
        <v>121</v>
      </c>
      <c r="J756" s="1296" t="s">
        <v>1230</v>
      </c>
      <c r="K756" s="1309"/>
      <c r="L756" s="3062" t="s">
        <v>121</v>
      </c>
      <c r="M756" s="1296" t="s">
        <v>1248</v>
      </c>
      <c r="N756" s="1299"/>
      <c r="O756" s="1298"/>
      <c r="P756" s="1298"/>
      <c r="Q756" s="1298"/>
      <c r="R756" s="1298"/>
      <c r="S756" s="1298"/>
      <c r="T756" s="1298"/>
      <c r="U756" s="1298"/>
      <c r="V756" s="1298"/>
      <c r="W756" s="1298"/>
      <c r="X756" s="1310"/>
      <c r="Y756" s="1295"/>
      <c r="Z756" s="1292"/>
      <c r="AA756" s="1292"/>
      <c r="AB756" s="1293"/>
      <c r="AC756" s="1544"/>
      <c r="AD756" s="1544"/>
      <c r="AE756" s="1544"/>
      <c r="AF756" s="1544"/>
      <c r="AI756" s="3056" t="str">
        <f>"52:ninti_riha_code:" &amp; IF(I756="■",1,IF(L756="■",2,0))</f>
        <v>52:ninti_riha_code:0</v>
      </c>
    </row>
    <row r="757" spans="1:35" s="3056" customFormat="1" ht="18.75" customHeight="1">
      <c r="A757" s="735"/>
      <c r="B757" s="1407"/>
      <c r="C757" s="1287"/>
      <c r="D757" s="1288"/>
      <c r="E757" s="1275"/>
      <c r="F757" s="1289"/>
      <c r="G757" s="1275"/>
      <c r="H757" s="1409" t="s">
        <v>1250</v>
      </c>
      <c r="I757" s="3063" t="s">
        <v>121</v>
      </c>
      <c r="J757" s="1296" t="s">
        <v>1230</v>
      </c>
      <c r="K757" s="1309"/>
      <c r="L757" s="3062" t="s">
        <v>121</v>
      </c>
      <c r="M757" s="1296" t="s">
        <v>1248</v>
      </c>
      <c r="N757" s="1299"/>
      <c r="O757" s="1307"/>
      <c r="P757" s="1307"/>
      <c r="Q757" s="1307"/>
      <c r="R757" s="1307"/>
      <c r="S757" s="1307"/>
      <c r="T757" s="1307"/>
      <c r="U757" s="1307"/>
      <c r="V757" s="1307"/>
      <c r="W757" s="1307"/>
      <c r="X757" s="1308"/>
      <c r="Y757" s="1295"/>
      <c r="Z757" s="1292"/>
      <c r="AA757" s="1292"/>
      <c r="AB757" s="1293"/>
      <c r="AC757" s="1544"/>
      <c r="AD757" s="1544"/>
      <c r="AE757" s="1544"/>
      <c r="AF757" s="1544"/>
      <c r="AI757" s="3056" t="str">
        <f>"52:ninticare_code:" &amp; IF(I757="■",1,IF(L757="■",2,0))</f>
        <v>52:ninticare_code:0</v>
      </c>
    </row>
    <row r="758" spans="1:35" s="3056" customFormat="1" ht="18.75" customHeight="1">
      <c r="A758" s="735"/>
      <c r="B758" s="1407"/>
      <c r="C758" s="1287"/>
      <c r="D758" s="1288"/>
      <c r="E758" s="1275"/>
      <c r="F758" s="1289"/>
      <c r="G758" s="1275"/>
      <c r="H758" s="1311" t="s">
        <v>1251</v>
      </c>
      <c r="I758" s="3063" t="s">
        <v>121</v>
      </c>
      <c r="J758" s="1296" t="s">
        <v>1230</v>
      </c>
      <c r="K758" s="1309"/>
      <c r="L758" s="3062" t="s">
        <v>121</v>
      </c>
      <c r="M758" s="1296" t="s">
        <v>1248</v>
      </c>
      <c r="N758" s="1299"/>
      <c r="O758" s="1307"/>
      <c r="P758" s="1307"/>
      <c r="Q758" s="1307"/>
      <c r="R758" s="1307"/>
      <c r="S758" s="1307"/>
      <c r="T758" s="1307"/>
      <c r="U758" s="1307"/>
      <c r="V758" s="1307"/>
      <c r="W758" s="1307"/>
      <c r="X758" s="1308"/>
      <c r="Y758" s="1295"/>
      <c r="Z758" s="1292"/>
      <c r="AA758" s="1292"/>
      <c r="AB758" s="1293"/>
      <c r="AC758" s="1544"/>
      <c r="AD758" s="1544"/>
      <c r="AE758" s="1544"/>
      <c r="AF758" s="1544"/>
      <c r="AI758" s="3056" t="str">
        <f>"52:jyakuninti_uke_code:" &amp; IF(I758="■",1,IF(L758="■",2,0))</f>
        <v>52:jyakuninti_uke_code:0</v>
      </c>
    </row>
    <row r="759" spans="1:35" s="3056" customFormat="1" ht="18.75" customHeight="1">
      <c r="A759" s="735"/>
      <c r="B759" s="1407"/>
      <c r="C759" s="1287"/>
      <c r="D759" s="1288"/>
      <c r="E759" s="1275"/>
      <c r="F759" s="1289"/>
      <c r="G759" s="1275"/>
      <c r="H759" s="1409" t="s">
        <v>144</v>
      </c>
      <c r="I759" s="3063" t="s">
        <v>121</v>
      </c>
      <c r="J759" s="1296" t="s">
        <v>1230</v>
      </c>
      <c r="K759" s="1309"/>
      <c r="L759" s="3062" t="s">
        <v>121</v>
      </c>
      <c r="M759" s="1296" t="s">
        <v>1248</v>
      </c>
      <c r="N759" s="1299"/>
      <c r="O759" s="1307"/>
      <c r="P759" s="1307"/>
      <c r="Q759" s="1307"/>
      <c r="R759" s="1307"/>
      <c r="S759" s="1307"/>
      <c r="T759" s="1307"/>
      <c r="U759" s="1307"/>
      <c r="V759" s="1307"/>
      <c r="W759" s="1307"/>
      <c r="X759" s="1308"/>
      <c r="Y759" s="1295"/>
      <c r="Z759" s="1292"/>
      <c r="AA759" s="1292"/>
      <c r="AB759" s="1293"/>
      <c r="AC759" s="1544"/>
      <c r="AD759" s="1544"/>
      <c r="AE759" s="1544"/>
      <c r="AF759" s="1544"/>
      <c r="AI759" s="3056" t="str">
        <f>"52:terminal_code:" &amp; IF(I759="■",1,IF(L759="■",2,0))</f>
        <v>52:terminal_code:0</v>
      </c>
    </row>
    <row r="760" spans="1:35" s="3056" customFormat="1" ht="18.75" customHeight="1">
      <c r="A760" s="735"/>
      <c r="B760" s="1407"/>
      <c r="C760" s="1287"/>
      <c r="D760" s="3069" t="s">
        <v>121</v>
      </c>
      <c r="E760" s="1275" t="s">
        <v>1271</v>
      </c>
      <c r="F760" s="1289"/>
      <c r="G760" s="1275"/>
      <c r="H760" s="1409" t="s">
        <v>1272</v>
      </c>
      <c r="I760" s="3066" t="s">
        <v>121</v>
      </c>
      <c r="J760" s="1298" t="s">
        <v>1273</v>
      </c>
      <c r="K760" s="1298"/>
      <c r="L760" s="1307"/>
      <c r="M760" s="1307"/>
      <c r="N760" s="1307"/>
      <c r="O760" s="1307"/>
      <c r="P760" s="3065" t="s">
        <v>121</v>
      </c>
      <c r="Q760" s="1298" t="s">
        <v>1274</v>
      </c>
      <c r="R760" s="1307"/>
      <c r="S760" s="1307"/>
      <c r="T760" s="1307"/>
      <c r="U760" s="1307"/>
      <c r="V760" s="1307"/>
      <c r="W760" s="1307"/>
      <c r="X760" s="1308"/>
      <c r="Y760" s="1295"/>
      <c r="Z760" s="1292"/>
      <c r="AA760" s="1292"/>
      <c r="AB760" s="1293"/>
      <c r="AC760" s="1544"/>
      <c r="AD760" s="1544"/>
      <c r="AE760" s="1544"/>
      <c r="AF760" s="1544"/>
      <c r="AI760" s="3056" t="str">
        <f>"52:" &amp; IF(AND(I760="□",P760="□"),"tokusin_jyusho_code:0:tokusin_yakuzai_code:0",IF(I760="■","tokusin_jyusho_code:2","tokusin_jyusho_code:1")
&amp;IF(P760="■",":tokusin_yakuzai_code:2",":tokusin_yakuzai_code:1"))</f>
        <v>52:tokusin_jyusho_code:0:tokusin_yakuzai_code:0</v>
      </c>
    </row>
    <row r="761" spans="1:35" s="3056" customFormat="1" ht="18.75" customHeight="1">
      <c r="A761" s="3069" t="s">
        <v>121</v>
      </c>
      <c r="B761" s="1407">
        <v>52</v>
      </c>
      <c r="C761" s="1287" t="s">
        <v>1275</v>
      </c>
      <c r="D761" s="3069" t="s">
        <v>121</v>
      </c>
      <c r="E761" s="1275" t="s">
        <v>1278</v>
      </c>
      <c r="F761" s="1289"/>
      <c r="G761" s="1275"/>
      <c r="H761" s="1409" t="s">
        <v>1277</v>
      </c>
      <c r="I761" s="3063" t="s">
        <v>121</v>
      </c>
      <c r="J761" s="1296" t="s">
        <v>1230</v>
      </c>
      <c r="K761" s="1309"/>
      <c r="L761" s="3062" t="s">
        <v>121</v>
      </c>
      <c r="M761" s="1296" t="s">
        <v>1248</v>
      </c>
      <c r="N761" s="1299"/>
      <c r="O761" s="1326"/>
      <c r="P761" s="1326"/>
      <c r="Q761" s="1326"/>
      <c r="R761" s="1326"/>
      <c r="S761" s="1326"/>
      <c r="T761" s="1326"/>
      <c r="U761" s="1326"/>
      <c r="V761" s="1326"/>
      <c r="W761" s="1326"/>
      <c r="X761" s="1327"/>
      <c r="Y761" s="1295"/>
      <c r="Z761" s="1292"/>
      <c r="AA761" s="1292"/>
      <c r="AB761" s="1293"/>
      <c r="AC761" s="1544"/>
      <c r="AD761" s="1544"/>
      <c r="AE761" s="1544"/>
      <c r="AF761" s="1544"/>
      <c r="AI761" s="3056" t="str">
        <f>"52:field198:" &amp; IF(I761="■",1,IF(L761="■",2,0))</f>
        <v>52:field198:0</v>
      </c>
    </row>
    <row r="762" spans="1:35" s="3056" customFormat="1" ht="18.75" customHeight="1">
      <c r="A762" s="735"/>
      <c r="B762" s="1407"/>
      <c r="C762" s="1287"/>
      <c r="D762" s="735"/>
      <c r="E762" s="1275"/>
      <c r="F762" s="1289"/>
      <c r="G762" s="1275"/>
      <c r="H762" s="1409" t="s">
        <v>1279</v>
      </c>
      <c r="I762" s="3063" t="s">
        <v>121</v>
      </c>
      <c r="J762" s="1296" t="s">
        <v>1230</v>
      </c>
      <c r="K762" s="1309"/>
      <c r="L762" s="3062" t="s">
        <v>121</v>
      </c>
      <c r="M762" s="1296" t="s">
        <v>1248</v>
      </c>
      <c r="N762" s="1299"/>
      <c r="O762" s="1326"/>
      <c r="P762" s="1326"/>
      <c r="Q762" s="1326"/>
      <c r="R762" s="1326"/>
      <c r="S762" s="1326"/>
      <c r="T762" s="1326"/>
      <c r="U762" s="1326"/>
      <c r="V762" s="1326"/>
      <c r="W762" s="1326"/>
      <c r="X762" s="1327"/>
      <c r="Y762" s="1295"/>
      <c r="Z762" s="1292"/>
      <c r="AA762" s="1292"/>
      <c r="AB762" s="1293"/>
      <c r="AC762" s="1544"/>
      <c r="AD762" s="1544"/>
      <c r="AE762" s="1544"/>
      <c r="AF762" s="1544"/>
      <c r="AI762" s="3056" t="str">
        <f>"52:field199:" &amp; IF(I762="■",1,IF(L762="■",2,0))</f>
        <v>52:field199:0</v>
      </c>
    </row>
    <row r="763" spans="1:35" s="3056" customFormat="1" ht="18.75" customHeight="1">
      <c r="A763" s="735"/>
      <c r="B763" s="1407"/>
      <c r="C763" s="1287"/>
      <c r="D763" s="735"/>
      <c r="E763" s="1275"/>
      <c r="F763" s="1289"/>
      <c r="G763" s="1275"/>
      <c r="H763" s="1409" t="s">
        <v>755</v>
      </c>
      <c r="I763" s="3063" t="s">
        <v>121</v>
      </c>
      <c r="J763" s="1296" t="s">
        <v>1230</v>
      </c>
      <c r="K763" s="1309"/>
      <c r="L763" s="3062" t="s">
        <v>121</v>
      </c>
      <c r="M763" s="1296" t="s">
        <v>1248</v>
      </c>
      <c r="N763" s="1299"/>
      <c r="O763" s="1307"/>
      <c r="P763" s="1307"/>
      <c r="Q763" s="1307"/>
      <c r="R763" s="1307"/>
      <c r="S763" s="1307"/>
      <c r="T763" s="1307"/>
      <c r="U763" s="1307"/>
      <c r="V763" s="1307"/>
      <c r="W763" s="1307"/>
      <c r="X763" s="1308"/>
      <c r="Y763" s="1295"/>
      <c r="Z763" s="1292"/>
      <c r="AA763" s="1292"/>
      <c r="AB763" s="1293"/>
      <c r="AC763" s="1544"/>
      <c r="AD763" s="1544"/>
      <c r="AE763" s="1544"/>
      <c r="AF763" s="1544"/>
      <c r="AI763" s="3056" t="str">
        <f>"52:field207:" &amp; IF(I763="■",1,IF(L763="■",2,0))</f>
        <v>52:field207:0</v>
      </c>
    </row>
    <row r="764" spans="1:35" s="3056" customFormat="1" ht="18.75" customHeight="1">
      <c r="A764" s="735"/>
      <c r="B764" s="1407"/>
      <c r="C764" s="1287"/>
      <c r="D764" s="735"/>
      <c r="E764" s="1275"/>
      <c r="F764" s="1289"/>
      <c r="G764" s="1275"/>
      <c r="H764" s="1409" t="s">
        <v>145</v>
      </c>
      <c r="I764" s="3063" t="s">
        <v>121</v>
      </c>
      <c r="J764" s="1296" t="s">
        <v>1230</v>
      </c>
      <c r="K764" s="1309"/>
      <c r="L764" s="3062" t="s">
        <v>121</v>
      </c>
      <c r="M764" s="1296" t="s">
        <v>1248</v>
      </c>
      <c r="N764" s="1299"/>
      <c r="O764" s="1307"/>
      <c r="P764" s="1307"/>
      <c r="Q764" s="1307"/>
      <c r="R764" s="1307"/>
      <c r="S764" s="1307"/>
      <c r="T764" s="1307"/>
      <c r="U764" s="1307"/>
      <c r="V764" s="1307"/>
      <c r="W764" s="1307"/>
      <c r="X764" s="1308"/>
      <c r="Y764" s="1295"/>
      <c r="Z764" s="1292"/>
      <c r="AA764" s="1292"/>
      <c r="AB764" s="1293"/>
      <c r="AC764" s="1544"/>
      <c r="AD764" s="1544"/>
      <c r="AE764" s="1544"/>
      <c r="AF764" s="1544"/>
      <c r="AI764" s="3056" t="str">
        <f>"52:ryouyoushoku_code:" &amp; IF(I764="■",1,IF(L764="■",2,0))</f>
        <v>52:ryouyoushoku_code:0</v>
      </c>
    </row>
    <row r="765" spans="1:35" s="3056" customFormat="1" ht="18.75" customHeight="1">
      <c r="A765" s="735"/>
      <c r="B765" s="1407"/>
      <c r="C765" s="1287"/>
      <c r="D765" s="1288"/>
      <c r="E765" s="1275"/>
      <c r="F765" s="1289"/>
      <c r="G765" s="1275"/>
      <c r="H765" s="1409" t="s">
        <v>1260</v>
      </c>
      <c r="I765" s="3066" t="s">
        <v>121</v>
      </c>
      <c r="J765" s="1298" t="s">
        <v>1230</v>
      </c>
      <c r="K765" s="1298"/>
      <c r="L765" s="3065" t="s">
        <v>121</v>
      </c>
      <c r="M765" s="1298" t="s">
        <v>1256</v>
      </c>
      <c r="N765" s="1298"/>
      <c r="O765" s="3065" t="s">
        <v>121</v>
      </c>
      <c r="P765" s="1298" t="s">
        <v>1257</v>
      </c>
      <c r="Q765" s="1307"/>
      <c r="R765" s="1307"/>
      <c r="S765" s="1307"/>
      <c r="T765" s="1307"/>
      <c r="U765" s="1307"/>
      <c r="V765" s="1307"/>
      <c r="W765" s="1307"/>
      <c r="X765" s="1308"/>
      <c r="Y765" s="1295"/>
      <c r="Z765" s="1292"/>
      <c r="AA765" s="1292"/>
      <c r="AB765" s="1293"/>
      <c r="AC765" s="1544"/>
      <c r="AD765" s="1544"/>
      <c r="AE765" s="1544"/>
      <c r="AF765" s="1544"/>
      <c r="AI765" s="3056" t="str">
        <f>"52:ninti_senmoncare_code:" &amp; IF(I765="■",1,IF(O765="■",3,IF(L765="■",2,0)))</f>
        <v>52:ninti_senmoncare_code:0</v>
      </c>
    </row>
    <row r="766" spans="1:35" s="3056" customFormat="1" ht="18.75" customHeight="1">
      <c r="A766" s="735"/>
      <c r="B766" s="1407"/>
      <c r="C766" s="1287"/>
      <c r="D766" s="1288"/>
      <c r="E766" s="1275"/>
      <c r="F766" s="1289"/>
      <c r="G766" s="1275"/>
      <c r="H766" s="1409" t="s">
        <v>1261</v>
      </c>
      <c r="I766" s="3066" t="s">
        <v>121</v>
      </c>
      <c r="J766" s="1298" t="s">
        <v>1230</v>
      </c>
      <c r="K766" s="1298"/>
      <c r="L766" s="3065" t="s">
        <v>121</v>
      </c>
      <c r="M766" s="1298" t="s">
        <v>1256</v>
      </c>
      <c r="N766" s="1298"/>
      <c r="O766" s="3065" t="s">
        <v>121</v>
      </c>
      <c r="P766" s="1298" t="s">
        <v>1257</v>
      </c>
      <c r="Q766" s="1299"/>
      <c r="R766" s="1299"/>
      <c r="S766" s="1299"/>
      <c r="T766" s="1299"/>
      <c r="U766" s="1299"/>
      <c r="V766" s="1299"/>
      <c r="W766" s="1299"/>
      <c r="X766" s="1302"/>
      <c r="Y766" s="1295"/>
      <c r="Z766" s="1292"/>
      <c r="AA766" s="1292"/>
      <c r="AB766" s="1293"/>
      <c r="AC766" s="1544"/>
      <c r="AD766" s="1544"/>
      <c r="AE766" s="1544"/>
      <c r="AF766" s="1544"/>
      <c r="AI766" s="3056" t="str">
        <f>"52:field228:" &amp; IF(I766="■",1,IF(L766="■",2,IF(O766="■",3,0)))</f>
        <v>52:field228:0</v>
      </c>
    </row>
    <row r="767" spans="1:35" s="3056" customFormat="1" ht="18.75" customHeight="1">
      <c r="A767" s="735"/>
      <c r="B767" s="1407"/>
      <c r="C767" s="1287"/>
      <c r="D767" s="1288"/>
      <c r="E767" s="1275"/>
      <c r="F767" s="1289"/>
      <c r="G767" s="1275"/>
      <c r="H767" s="1541" t="s">
        <v>1280</v>
      </c>
      <c r="I767" s="3137" t="s">
        <v>121</v>
      </c>
      <c r="J767" s="1290" t="s">
        <v>1281</v>
      </c>
      <c r="K767" s="1328"/>
      <c r="L767" s="1290"/>
      <c r="M767" s="1290"/>
      <c r="N767" s="1290"/>
      <c r="O767" s="1314"/>
      <c r="P767" s="1314"/>
      <c r="Q767" s="3136" t="s">
        <v>121</v>
      </c>
      <c r="R767" s="1290" t="s">
        <v>1282</v>
      </c>
      <c r="S767" s="1402"/>
      <c r="T767" s="1402"/>
      <c r="U767" s="1402"/>
      <c r="V767" s="1402"/>
      <c r="W767" s="1402"/>
      <c r="X767" s="1291"/>
      <c r="Y767" s="1295"/>
      <c r="Z767" s="1292"/>
      <c r="AA767" s="1292"/>
      <c r="AB767" s="1293"/>
      <c r="AC767" s="1544"/>
      <c r="AD767" s="1544"/>
      <c r="AE767" s="1544"/>
      <c r="AF767" s="1544"/>
      <c r="AI767" s="3056" t="str">
        <f>"52:"&amp;IF(AND(I767="□",Q767="□",I768="□",Q768="□"),"koriha_rihasido_code:0:koriha_gengo_code:0:riha_seisin_code:0:koriha_other_code:0",IF(I767="■","koriha_rihasido_code:2","koriha_rihasido_code:1")
&amp;IF(Q767="■",":koriha_gengo_code:2",":koriha_gengo_code:1")
&amp;IF(I768="■",":riha_seisin_code:2",":riha_seisin_code:1")
&amp;IF(Q768="■",":koriha_other_code:2",":koriha_other_code:1"))</f>
        <v>52:koriha_rihasido_code:0:koriha_gengo_code:0:riha_seisin_code:0:koriha_other_code:0</v>
      </c>
    </row>
    <row r="768" spans="1:35" s="3056" customFormat="1" ht="18.75" customHeight="1">
      <c r="A768" s="735"/>
      <c r="B768" s="1407"/>
      <c r="C768" s="1287"/>
      <c r="D768" s="1288"/>
      <c r="E768" s="1275"/>
      <c r="F768" s="1289"/>
      <c r="G768" s="1275"/>
      <c r="H768" s="1542"/>
      <c r="I768" s="3063" t="s">
        <v>121</v>
      </c>
      <c r="J768" s="1296" t="s">
        <v>1283</v>
      </c>
      <c r="K768" s="1330"/>
      <c r="L768" s="1290"/>
      <c r="M768" s="1330"/>
      <c r="N768" s="1330"/>
      <c r="O768" s="1330"/>
      <c r="P768" s="1330"/>
      <c r="Q768" s="3062" t="s">
        <v>121</v>
      </c>
      <c r="R768" s="1296" t="s">
        <v>1284</v>
      </c>
      <c r="S768" s="1403"/>
      <c r="T768" s="1403"/>
      <c r="U768" s="1403"/>
      <c r="V768" s="1403"/>
      <c r="W768" s="1403"/>
      <c r="X768" s="1297"/>
      <c r="Y768" s="1295"/>
      <c r="Z768" s="1292"/>
      <c r="AA768" s="1292"/>
      <c r="AB768" s="1293"/>
      <c r="AC768" s="1544"/>
      <c r="AD768" s="1544"/>
      <c r="AE768" s="1544"/>
      <c r="AF768" s="1544"/>
    </row>
    <row r="769" spans="1:36" s="3056" customFormat="1" ht="18.75" customHeight="1">
      <c r="A769" s="735"/>
      <c r="B769" s="1407"/>
      <c r="C769" s="1287"/>
      <c r="D769" s="1288"/>
      <c r="E769" s="1275"/>
      <c r="F769" s="1289"/>
      <c r="G769" s="1275"/>
      <c r="H769" s="1312" t="s">
        <v>1262</v>
      </c>
      <c r="I769" s="3063" t="s">
        <v>121</v>
      </c>
      <c r="J769" s="1296" t="s">
        <v>1230</v>
      </c>
      <c r="K769" s="1309"/>
      <c r="L769" s="3065" t="s">
        <v>121</v>
      </c>
      <c r="M769" s="1298" t="s">
        <v>1263</v>
      </c>
      <c r="N769" s="1298"/>
      <c r="O769" s="3065" t="s">
        <v>121</v>
      </c>
      <c r="P769" s="1298" t="s">
        <v>1287</v>
      </c>
      <c r="Q769" s="1299"/>
      <c r="R769" s="1299"/>
      <c r="S769" s="1299"/>
      <c r="T769" s="1299"/>
      <c r="U769" s="1299"/>
      <c r="V769" s="1299"/>
      <c r="W769" s="1299"/>
      <c r="X769" s="1302"/>
      <c r="Y769" s="1295"/>
      <c r="Z769" s="1292"/>
      <c r="AA769" s="1292"/>
      <c r="AB769" s="1293"/>
      <c r="AC769" s="1544"/>
      <c r="AD769" s="1544"/>
      <c r="AE769" s="1544"/>
      <c r="AF769" s="1544"/>
      <c r="AI769" s="3056" t="str">
        <f>"52:field216:" &amp; IF(I769="■",1,IF(L769="■",3,IF(O769="■",2,0)))</f>
        <v>52:field216:0</v>
      </c>
    </row>
    <row r="770" spans="1:36" s="3056" customFormat="1" ht="18.75" customHeight="1">
      <c r="A770" s="735"/>
      <c r="B770" s="1407"/>
      <c r="C770" s="1287"/>
      <c r="D770" s="1288"/>
      <c r="E770" s="1275"/>
      <c r="F770" s="1289"/>
      <c r="G770" s="1275"/>
      <c r="H770" s="1312" t="s">
        <v>757</v>
      </c>
      <c r="I770" s="3063" t="s">
        <v>121</v>
      </c>
      <c r="J770" s="1296" t="s">
        <v>1230</v>
      </c>
      <c r="K770" s="1309"/>
      <c r="L770" s="3062" t="s">
        <v>121</v>
      </c>
      <c r="M770" s="1296" t="s">
        <v>1248</v>
      </c>
      <c r="N770" s="1299"/>
      <c r="O770" s="1307"/>
      <c r="P770" s="1307"/>
      <c r="Q770" s="1307"/>
      <c r="R770" s="1307"/>
      <c r="S770" s="1307"/>
      <c r="T770" s="1307"/>
      <c r="U770" s="1307"/>
      <c r="V770" s="1307"/>
      <c r="W770" s="1307"/>
      <c r="X770" s="1308"/>
      <c r="Y770" s="1295"/>
      <c r="Z770" s="1292"/>
      <c r="AA770" s="1292"/>
      <c r="AB770" s="1293"/>
      <c r="AC770" s="1544"/>
      <c r="AD770" s="1544"/>
      <c r="AE770" s="1544"/>
      <c r="AF770" s="1544"/>
      <c r="AI770" s="3056" t="str">
        <f>"52:field210:" &amp; IF(I770="■",1,IF(L770="■",2,0))</f>
        <v>52:field210:0</v>
      </c>
    </row>
    <row r="771" spans="1:36" s="3056" customFormat="1" ht="18.75" customHeight="1">
      <c r="A771" s="735"/>
      <c r="B771" s="1407"/>
      <c r="C771" s="1287"/>
      <c r="D771" s="1288"/>
      <c r="E771" s="1275"/>
      <c r="F771" s="1289"/>
      <c r="G771" s="1275"/>
      <c r="H771" s="1409" t="s">
        <v>758</v>
      </c>
      <c r="I771" s="3063" t="s">
        <v>121</v>
      </c>
      <c r="J771" s="1296" t="s">
        <v>1230</v>
      </c>
      <c r="K771" s="1309"/>
      <c r="L771" s="3062" t="s">
        <v>121</v>
      </c>
      <c r="M771" s="1296" t="s">
        <v>1248</v>
      </c>
      <c r="N771" s="1299"/>
      <c r="O771" s="1307"/>
      <c r="P771" s="1307"/>
      <c r="Q771" s="1307"/>
      <c r="R771" s="1307"/>
      <c r="S771" s="1307"/>
      <c r="T771" s="1307"/>
      <c r="U771" s="1307"/>
      <c r="V771" s="1307"/>
      <c r="W771" s="1307"/>
      <c r="X771" s="1308"/>
      <c r="Y771" s="1295"/>
      <c r="Z771" s="1292"/>
      <c r="AA771" s="1292"/>
      <c r="AB771" s="1293"/>
      <c r="AC771" s="1544"/>
      <c r="AD771" s="1544"/>
      <c r="AE771" s="1544"/>
      <c r="AF771" s="1544"/>
      <c r="AI771" s="3056" t="str">
        <f>"52:field211:" &amp; IF(I771="■",1,IF(L771="■",2,0))</f>
        <v>52:field211:0</v>
      </c>
    </row>
    <row r="772" spans="1:36" s="3056" customFormat="1" ht="18.75" customHeight="1">
      <c r="A772" s="735"/>
      <c r="B772" s="1407"/>
      <c r="C772" s="1287"/>
      <c r="D772" s="1288"/>
      <c r="E772" s="1275"/>
      <c r="F772" s="1289"/>
      <c r="G772" s="1275"/>
      <c r="H772" s="1409" t="s">
        <v>764</v>
      </c>
      <c r="I772" s="3063" t="s">
        <v>121</v>
      </c>
      <c r="J772" s="1296" t="s">
        <v>1230</v>
      </c>
      <c r="K772" s="1309"/>
      <c r="L772" s="3062" t="s">
        <v>121</v>
      </c>
      <c r="M772" s="1296" t="s">
        <v>1248</v>
      </c>
      <c r="N772" s="1299"/>
      <c r="O772" s="1307"/>
      <c r="P772" s="1307"/>
      <c r="Q772" s="1307"/>
      <c r="R772" s="1307"/>
      <c r="S772" s="1307"/>
      <c r="T772" s="1307"/>
      <c r="U772" s="1307"/>
      <c r="V772" s="1307"/>
      <c r="W772" s="1307"/>
      <c r="X772" s="1308"/>
      <c r="Y772" s="1295"/>
      <c r="Z772" s="1292"/>
      <c r="AA772" s="1292"/>
      <c r="AB772" s="1293"/>
      <c r="AC772" s="1544"/>
      <c r="AD772" s="1544"/>
      <c r="AE772" s="1544"/>
      <c r="AF772" s="1544"/>
      <c r="AI772" s="3056" t="str">
        <f>"52:field212:" &amp; IF(I772="■",1,IF(L772="■",2,0))</f>
        <v>52:field212:0</v>
      </c>
    </row>
    <row r="773" spans="1:36" s="3056" customFormat="1" ht="18.75" customHeight="1">
      <c r="A773" s="735"/>
      <c r="B773" s="1407"/>
      <c r="C773" s="1287"/>
      <c r="D773" s="1288"/>
      <c r="E773" s="1275"/>
      <c r="F773" s="1289"/>
      <c r="G773" s="1275"/>
      <c r="H773" s="1409" t="s">
        <v>760</v>
      </c>
      <c r="I773" s="3063" t="s">
        <v>121</v>
      </c>
      <c r="J773" s="1296" t="s">
        <v>1230</v>
      </c>
      <c r="K773" s="1309"/>
      <c r="L773" s="3062" t="s">
        <v>121</v>
      </c>
      <c r="M773" s="1296" t="s">
        <v>1248</v>
      </c>
      <c r="N773" s="1299"/>
      <c r="O773" s="1307"/>
      <c r="P773" s="1307"/>
      <c r="Q773" s="1307"/>
      <c r="R773" s="1307"/>
      <c r="S773" s="1307"/>
      <c r="T773" s="1307"/>
      <c r="U773" s="1307"/>
      <c r="V773" s="1307"/>
      <c r="W773" s="1307"/>
      <c r="X773" s="1308"/>
      <c r="Y773" s="1295"/>
      <c r="Z773" s="1292"/>
      <c r="AA773" s="1292"/>
      <c r="AB773" s="1293"/>
      <c r="AC773" s="1544"/>
      <c r="AD773" s="1544"/>
      <c r="AE773" s="1544"/>
      <c r="AF773" s="1544"/>
      <c r="AI773" s="3056" t="str">
        <f>"52:field209:" &amp; IF(I773="■",1,IF(L773="■",2,0))</f>
        <v>52:field209:0</v>
      </c>
    </row>
    <row r="774" spans="1:36" s="3056" customFormat="1" ht="18.75" customHeight="1">
      <c r="A774" s="735"/>
      <c r="B774" s="1407"/>
      <c r="C774" s="1287"/>
      <c r="D774" s="1288"/>
      <c r="E774" s="1275"/>
      <c r="F774" s="1289"/>
      <c r="G774" s="1275"/>
      <c r="H774" s="1409" t="s">
        <v>1288</v>
      </c>
      <c r="I774" s="3066" t="s">
        <v>121</v>
      </c>
      <c r="J774" s="1298" t="s">
        <v>1230</v>
      </c>
      <c r="K774" s="1298"/>
      <c r="L774" s="3065" t="s">
        <v>121</v>
      </c>
      <c r="M774" s="1296" t="s">
        <v>1248</v>
      </c>
      <c r="N774" s="1298"/>
      <c r="O774" s="1298"/>
      <c r="P774" s="1298"/>
      <c r="Q774" s="1299"/>
      <c r="R774" s="1299"/>
      <c r="S774" s="1299"/>
      <c r="T774" s="1299"/>
      <c r="U774" s="1299"/>
      <c r="V774" s="1299"/>
      <c r="W774" s="1299"/>
      <c r="X774" s="1302"/>
      <c r="Y774" s="1295"/>
      <c r="Z774" s="1292"/>
      <c r="AA774" s="1292"/>
      <c r="AB774" s="1293"/>
      <c r="AC774" s="1544"/>
      <c r="AD774" s="1544"/>
      <c r="AE774" s="1544"/>
      <c r="AF774" s="1544"/>
      <c r="AI774" s="3056" t="str">
        <f>"52:field226:" &amp; IF(I774="■",1,IF(L774="■",2,0))</f>
        <v>52:field226:0</v>
      </c>
    </row>
    <row r="775" spans="1:36" s="3056" customFormat="1" ht="18.75" customHeight="1">
      <c r="A775" s="735"/>
      <c r="B775" s="1407"/>
      <c r="C775" s="1287"/>
      <c r="D775" s="1288"/>
      <c r="E775" s="1275"/>
      <c r="F775" s="1289"/>
      <c r="G775" s="1275"/>
      <c r="H775" s="1409" t="s">
        <v>1289</v>
      </c>
      <c r="I775" s="3066" t="s">
        <v>121</v>
      </c>
      <c r="J775" s="1298" t="s">
        <v>1230</v>
      </c>
      <c r="K775" s="1298"/>
      <c r="L775" s="3065" t="s">
        <v>121</v>
      </c>
      <c r="M775" s="1296" t="s">
        <v>1248</v>
      </c>
      <c r="N775" s="1298"/>
      <c r="O775" s="1298"/>
      <c r="P775" s="1298"/>
      <c r="Q775" s="1299"/>
      <c r="R775" s="1299"/>
      <c r="S775" s="1299"/>
      <c r="T775" s="1299"/>
      <c r="U775" s="1299"/>
      <c r="V775" s="1299"/>
      <c r="W775" s="1299"/>
      <c r="X775" s="1302"/>
      <c r="Y775" s="1295"/>
      <c r="Z775" s="1292"/>
      <c r="AA775" s="1292"/>
      <c r="AB775" s="1293"/>
      <c r="AC775" s="1544"/>
      <c r="AD775" s="1544"/>
      <c r="AE775" s="1544"/>
      <c r="AF775" s="1544"/>
      <c r="AI775" s="3056" t="str">
        <f>"52:field227:" &amp; IF(I775="■",1,IF(L775="■",2,0))</f>
        <v>52:field227:0</v>
      </c>
    </row>
    <row r="776" spans="1:36" s="3056" customFormat="1" ht="18.75" customHeight="1">
      <c r="A776" s="735"/>
      <c r="B776" s="1407"/>
      <c r="C776" s="1287"/>
      <c r="D776" s="1288"/>
      <c r="E776" s="1275"/>
      <c r="F776" s="1289"/>
      <c r="G776" s="1275"/>
      <c r="H776" s="1313" t="s">
        <v>1265</v>
      </c>
      <c r="I776" s="3066" t="s">
        <v>121</v>
      </c>
      <c r="J776" s="1298" t="s">
        <v>1230</v>
      </c>
      <c r="K776" s="1298"/>
      <c r="L776" s="3065" t="s">
        <v>121</v>
      </c>
      <c r="M776" s="1298" t="s">
        <v>1256</v>
      </c>
      <c r="N776" s="1298"/>
      <c r="O776" s="3065" t="s">
        <v>121</v>
      </c>
      <c r="P776" s="1298" t="s">
        <v>1257</v>
      </c>
      <c r="Q776" s="1307"/>
      <c r="R776" s="1307"/>
      <c r="S776" s="1307"/>
      <c r="T776" s="1307"/>
      <c r="U776" s="1314"/>
      <c r="V776" s="1314"/>
      <c r="W776" s="1314"/>
      <c r="X776" s="1315"/>
      <c r="Y776" s="1295"/>
      <c r="Z776" s="1292"/>
      <c r="AA776" s="1292"/>
      <c r="AB776" s="1293"/>
      <c r="AC776" s="1544"/>
      <c r="AD776" s="1544"/>
      <c r="AE776" s="1544"/>
      <c r="AF776" s="1544"/>
      <c r="AI776" s="3056" t="str">
        <f>"52:field225:" &amp; IF(I776="■",1,IF(L776="■",2,IF(O776="■",3,0)))</f>
        <v>52:field225:0</v>
      </c>
    </row>
    <row r="777" spans="1:36" s="3056" customFormat="1" ht="18.75" customHeight="1">
      <c r="A777" s="735"/>
      <c r="B777" s="1407"/>
      <c r="C777" s="1287"/>
      <c r="D777" s="1288"/>
      <c r="E777" s="1275"/>
      <c r="F777" s="1289"/>
      <c r="G777" s="1275"/>
      <c r="H777" s="1409" t="s">
        <v>1266</v>
      </c>
      <c r="I777" s="3066" t="s">
        <v>121</v>
      </c>
      <c r="J777" s="1298" t="s">
        <v>1230</v>
      </c>
      <c r="K777" s="1298"/>
      <c r="L777" s="3065" t="s">
        <v>121</v>
      </c>
      <c r="M777" s="1298" t="s">
        <v>1267</v>
      </c>
      <c r="N777" s="1298"/>
      <c r="O777" s="3065" t="s">
        <v>121</v>
      </c>
      <c r="P777" s="1298" t="s">
        <v>1268</v>
      </c>
      <c r="Q777" s="1326"/>
      <c r="R777" s="3065" t="s">
        <v>121</v>
      </c>
      <c r="S777" s="1298" t="s">
        <v>1269</v>
      </c>
      <c r="T777" s="1298"/>
      <c r="U777" s="1326"/>
      <c r="V777" s="1326"/>
      <c r="W777" s="1326"/>
      <c r="X777" s="1327"/>
      <c r="Y777" s="1295"/>
      <c r="Z777" s="1292"/>
      <c r="AA777" s="1292"/>
      <c r="AB777" s="1293"/>
      <c r="AC777" s="1544"/>
      <c r="AD777" s="1544"/>
      <c r="AE777" s="1544"/>
      <c r="AF777" s="1544"/>
      <c r="AI777" s="3056" t="str">
        <f>"52:serteikyo_kyoka_code:" &amp; IF(I777="■",1,IF(L777="■",6,IF(O777="■",5,IF(R777="■",7,0))))</f>
        <v>52:serteikyo_kyoka_code:0</v>
      </c>
    </row>
    <row r="778" spans="1:36" s="3056" customFormat="1" ht="18.75" customHeight="1">
      <c r="A778" s="736"/>
      <c r="B778" s="1316"/>
      <c r="C778" s="1346"/>
      <c r="D778" s="1348"/>
      <c r="E778" s="1317"/>
      <c r="F778" s="1318"/>
      <c r="G778" s="1361"/>
      <c r="H778" s="3134" t="s">
        <v>2288</v>
      </c>
      <c r="I778" s="3060" t="s">
        <v>121</v>
      </c>
      <c r="J778" s="3130" t="s">
        <v>1230</v>
      </c>
      <c r="K778" s="3130"/>
      <c r="L778" s="3059" t="s">
        <v>121</v>
      </c>
      <c r="M778" s="3130" t="s">
        <v>2287</v>
      </c>
      <c r="N778" s="3133"/>
      <c r="O778" s="3059" t="s">
        <v>121</v>
      </c>
      <c r="P778" s="3132" t="s">
        <v>2286</v>
      </c>
      <c r="Q778" s="3131"/>
      <c r="R778" s="3059" t="s">
        <v>121</v>
      </c>
      <c r="S778" s="3130" t="s">
        <v>2285</v>
      </c>
      <c r="T778" s="3131"/>
      <c r="U778" s="3059" t="s">
        <v>121</v>
      </c>
      <c r="V778" s="3130" t="s">
        <v>2284</v>
      </c>
      <c r="W778" s="3129"/>
      <c r="X778" s="3128"/>
      <c r="Y778" s="1323"/>
      <c r="Z778" s="1323"/>
      <c r="AA778" s="1323"/>
      <c r="AB778" s="1324"/>
      <c r="AC778" s="1558"/>
      <c r="AD778" s="1558"/>
      <c r="AE778" s="1558"/>
      <c r="AF778" s="1558"/>
      <c r="AI778" s="3056" t="str">
        <f>"52:shoguukaizen_code:"&amp;IF(I778="■",1,IF(L778="■",7,IF(O778="■",8,IF(R778="■",9,IF(U778="■","A",0)))))</f>
        <v>52:shoguukaizen_code:0</v>
      </c>
    </row>
    <row r="779" spans="1:36" s="3056" customFormat="1" ht="18.75" customHeight="1">
      <c r="A779" s="1276"/>
      <c r="B779" s="1405"/>
      <c r="C779" s="1277"/>
      <c r="D779" s="1278"/>
      <c r="E779" s="1272"/>
      <c r="F779" s="1279"/>
      <c r="G779" s="1272"/>
      <c r="H779" s="1408" t="s">
        <v>1226</v>
      </c>
      <c r="I779" s="3074" t="s">
        <v>121</v>
      </c>
      <c r="J779" s="1280" t="s">
        <v>1227</v>
      </c>
      <c r="K779" s="1281"/>
      <c r="L779" s="1282"/>
      <c r="M779" s="3073" t="s">
        <v>121</v>
      </c>
      <c r="N779" s="1280" t="s">
        <v>1228</v>
      </c>
      <c r="O779" s="1284"/>
      <c r="P779" s="1284"/>
      <c r="Q779" s="1284"/>
      <c r="R779" s="1284"/>
      <c r="S779" s="1284"/>
      <c r="T779" s="1284"/>
      <c r="U779" s="1284"/>
      <c r="V779" s="1284"/>
      <c r="W779" s="1284"/>
      <c r="X779" s="1325"/>
      <c r="Y779" s="3119" t="s">
        <v>121</v>
      </c>
      <c r="Z779" s="1270" t="s">
        <v>1229</v>
      </c>
      <c r="AA779" s="1270"/>
      <c r="AB779" s="1286"/>
      <c r="AC779" s="1543"/>
      <c r="AD779" s="1543"/>
      <c r="AE779" s="1543"/>
      <c r="AF779" s="1543"/>
      <c r="AG779" s="3056" t="str">
        <f>"ser_code = '" &amp; IF(A790="■",52,"") &amp; "'"</f>
        <v>ser_code = ''</v>
      </c>
      <c r="AI779" s="3056" t="str">
        <f>"52:yakan_kinmu_code:" &amp; IF(I779="■",1,IF(M779="■",6,0))</f>
        <v>52:yakan_kinmu_code:0</v>
      </c>
      <c r="AJ779" s="3056" t="str">
        <f>"52:field203:" &amp; IF(Y779="■",1,IF(Y780="■",2,0))</f>
        <v>52:field203:0</v>
      </c>
    </row>
    <row r="780" spans="1:36" s="3056" customFormat="1" ht="18.75" customHeight="1">
      <c r="A780" s="735"/>
      <c r="B780" s="1407"/>
      <c r="C780" s="1287"/>
      <c r="D780" s="1288"/>
      <c r="E780" s="1275"/>
      <c r="F780" s="1289"/>
      <c r="G780" s="1275"/>
      <c r="H780" s="1541" t="s">
        <v>90</v>
      </c>
      <c r="I780" s="3137" t="s">
        <v>121</v>
      </c>
      <c r="J780" s="1290" t="s">
        <v>1230</v>
      </c>
      <c r="K780" s="1290"/>
      <c r="L780" s="1402"/>
      <c r="M780" s="3136" t="s">
        <v>121</v>
      </c>
      <c r="N780" s="1290" t="s">
        <v>1231</v>
      </c>
      <c r="O780" s="1290"/>
      <c r="P780" s="1402"/>
      <c r="Q780" s="3136" t="s">
        <v>121</v>
      </c>
      <c r="R780" s="1402" t="s">
        <v>1232</v>
      </c>
      <c r="S780" s="1402"/>
      <c r="T780" s="1402"/>
      <c r="U780" s="3136" t="s">
        <v>121</v>
      </c>
      <c r="V780" s="1402" t="s">
        <v>1233</v>
      </c>
      <c r="W780" s="1402"/>
      <c r="X780" s="1291"/>
      <c r="Y780" s="3069" t="s">
        <v>121</v>
      </c>
      <c r="Z780" s="1273" t="s">
        <v>1234</v>
      </c>
      <c r="AA780" s="1292"/>
      <c r="AB780" s="1293"/>
      <c r="AC780" s="1544"/>
      <c r="AD780" s="1544"/>
      <c r="AE780" s="1544"/>
      <c r="AF780" s="1544"/>
      <c r="AG780" s="3056" t="str">
        <f>"52:sisetukbn_code:" &amp; IF(D790="■",9,0)</f>
        <v>52:sisetukbn_code:0</v>
      </c>
      <c r="AI780" s="3056" t="str">
        <f>"52:"&amp;IF(AND(I780="□",M780="□",Q780="□",U780="□",I781="□",M781="□",Q781="□",I782="□"),"ketu_doctor_code:0",IF(I780="■","ketu_doctor_code:1:ketu_kangos_code:1:ketu_kshoku_code:1:ketu_rryoho_code:1:ketu_sryoho_code:1:ketu_ksiensou_code:1:ketu_gengo_code:1",IF(M780="■","ketu_doctor_code:2","ketu_doctor_code:1")
&amp;IF(Q780="■",":ketu_kangos_code:2",":ketu_kangos_code:1")
&amp;IF(U780="■",":ketu_kshoku_code:2",":ketu_kshoku_code:1")
&amp;IF(I781="■",":ketu_rryoho_code:2",":ketu_rryoho_code:1")
&amp;IF(M781="■",":ketu_sryoho_code:2",":ketu_sryoho_code:1")
&amp;IF(Q781="■",":ketu_ksiensou_code:2",":ketu_ksiensou_code:1")
&amp;IF(I782="■",":ketu_gengo_code:2",":ketu_gengo_code:1")))</f>
        <v>52:ketu_doctor_code:0</v>
      </c>
    </row>
    <row r="781" spans="1:36" s="3056" customFormat="1" ht="18.75" customHeight="1">
      <c r="A781" s="735"/>
      <c r="B781" s="1407"/>
      <c r="C781" s="1287"/>
      <c r="D781" s="1288"/>
      <c r="E781" s="1275"/>
      <c r="F781" s="1289"/>
      <c r="G781" s="1275"/>
      <c r="H781" s="1546"/>
      <c r="I781" s="3069" t="s">
        <v>121</v>
      </c>
      <c r="J781" s="1273" t="s">
        <v>1235</v>
      </c>
      <c r="K781" s="1273"/>
      <c r="L781" s="1412"/>
      <c r="M781" s="3122" t="s">
        <v>121</v>
      </c>
      <c r="N781" s="1273" t="s">
        <v>1236</v>
      </c>
      <c r="O781" s="1273"/>
      <c r="P781" s="1412"/>
      <c r="Q781" s="3122" t="s">
        <v>121</v>
      </c>
      <c r="R781" s="1412" t="s">
        <v>1237</v>
      </c>
      <c r="S781" s="1412"/>
      <c r="T781" s="1412"/>
      <c r="U781" s="1412"/>
      <c r="V781" s="1412"/>
      <c r="W781" s="1412"/>
      <c r="X781" s="1294"/>
      <c r="Y781" s="1295"/>
      <c r="Z781" s="1292"/>
      <c r="AA781" s="1292"/>
      <c r="AB781" s="1293"/>
      <c r="AC781" s="1544"/>
      <c r="AD781" s="1544"/>
      <c r="AE781" s="1544"/>
      <c r="AF781" s="1544"/>
    </row>
    <row r="782" spans="1:36" s="3056" customFormat="1" ht="18.75" customHeight="1">
      <c r="A782" s="735"/>
      <c r="B782" s="1407"/>
      <c r="C782" s="1287"/>
      <c r="D782" s="1288"/>
      <c r="E782" s="1275"/>
      <c r="F782" s="1289"/>
      <c r="G782" s="1275"/>
      <c r="H782" s="1542"/>
      <c r="I782" s="3063" t="s">
        <v>121</v>
      </c>
      <c r="J782" s="1296" t="s">
        <v>1238</v>
      </c>
      <c r="K782" s="1296"/>
      <c r="L782" s="1403"/>
      <c r="M782" s="3062"/>
      <c r="N782" s="1296"/>
      <c r="O782" s="1296"/>
      <c r="P782" s="1403"/>
      <c r="Q782" s="1403"/>
      <c r="R782" s="1403"/>
      <c r="S782" s="1403"/>
      <c r="T782" s="1403"/>
      <c r="U782" s="1403"/>
      <c r="V782" s="1403"/>
      <c r="W782" s="1403"/>
      <c r="X782" s="1297"/>
      <c r="Y782" s="1295"/>
      <c r="Z782" s="1292"/>
      <c r="AA782" s="1292"/>
      <c r="AB782" s="1293"/>
      <c r="AC782" s="1544"/>
      <c r="AD782" s="1544"/>
      <c r="AE782" s="1544"/>
      <c r="AF782" s="1544"/>
    </row>
    <row r="783" spans="1:36" s="3056" customFormat="1" ht="18.75" customHeight="1">
      <c r="A783" s="735"/>
      <c r="B783" s="1407"/>
      <c r="C783" s="1287"/>
      <c r="D783" s="1288"/>
      <c r="E783" s="1275"/>
      <c r="F783" s="1289"/>
      <c r="G783" s="1275"/>
      <c r="H783" s="1409" t="s">
        <v>91</v>
      </c>
      <c r="I783" s="3066" t="s">
        <v>121</v>
      </c>
      <c r="J783" s="1298" t="s">
        <v>1239</v>
      </c>
      <c r="K783" s="1299"/>
      <c r="L783" s="1300"/>
      <c r="M783" s="3065" t="s">
        <v>121</v>
      </c>
      <c r="N783" s="1298" t="s">
        <v>1240</v>
      </c>
      <c r="O783" s="1299"/>
      <c r="P783" s="1299"/>
      <c r="Q783" s="1299"/>
      <c r="R783" s="1299"/>
      <c r="S783" s="1299"/>
      <c r="T783" s="1299"/>
      <c r="U783" s="1299"/>
      <c r="V783" s="1299"/>
      <c r="W783" s="1299"/>
      <c r="X783" s="1302"/>
      <c r="Y783" s="1295"/>
      <c r="Z783" s="1292"/>
      <c r="AA783" s="1292"/>
      <c r="AB783" s="1293"/>
      <c r="AC783" s="1544"/>
      <c r="AD783" s="1544"/>
      <c r="AE783" s="1544"/>
      <c r="AF783" s="1544"/>
      <c r="AI783" s="3056" t="str">
        <f>"52:unitcare_code:" &amp; IF(I783="■",1,IF(M783="■",2,0))</f>
        <v>52:unitcare_code:0</v>
      </c>
    </row>
    <row r="784" spans="1:36" s="3056" customFormat="1" ht="18.75" customHeight="1">
      <c r="A784" s="735"/>
      <c r="B784" s="1407"/>
      <c r="C784" s="1287"/>
      <c r="D784" s="1288"/>
      <c r="E784" s="1275"/>
      <c r="F784" s="1289"/>
      <c r="G784" s="1275"/>
      <c r="H784" s="1409" t="s">
        <v>1241</v>
      </c>
      <c r="I784" s="3066" t="s">
        <v>121</v>
      </c>
      <c r="J784" s="1298" t="s">
        <v>1242</v>
      </c>
      <c r="K784" s="1299"/>
      <c r="L784" s="1300"/>
      <c r="M784" s="3065" t="s">
        <v>121</v>
      </c>
      <c r="N784" s="1298" t="s">
        <v>1243</v>
      </c>
      <c r="O784" s="1299"/>
      <c r="P784" s="1299"/>
      <c r="Q784" s="1299"/>
      <c r="R784" s="1299"/>
      <c r="S784" s="1299"/>
      <c r="T784" s="1299"/>
      <c r="U784" s="1299"/>
      <c r="V784" s="1299"/>
      <c r="W784" s="1299"/>
      <c r="X784" s="1302"/>
      <c r="Y784" s="1295"/>
      <c r="Z784" s="1292"/>
      <c r="AA784" s="1292"/>
      <c r="AB784" s="1293"/>
      <c r="AC784" s="1544"/>
      <c r="AD784" s="1544"/>
      <c r="AE784" s="1544"/>
      <c r="AF784" s="1544"/>
      <c r="AI784" s="3056" t="str">
        <f>"52:sintaikousoku_code:" &amp; IF(I784="■",1,IF(M784="■",2,0))</f>
        <v>52:sintaikousoku_code:0</v>
      </c>
    </row>
    <row r="785" spans="1:35" s="3056" customFormat="1" ht="18.75" customHeight="1">
      <c r="A785" s="735"/>
      <c r="B785" s="1407"/>
      <c r="C785" s="1287"/>
      <c r="D785" s="1288"/>
      <c r="E785" s="1275"/>
      <c r="F785" s="1289"/>
      <c r="G785" s="1275"/>
      <c r="H785" s="1409" t="s">
        <v>753</v>
      </c>
      <c r="I785" s="3066" t="s">
        <v>121</v>
      </c>
      <c r="J785" s="1298" t="s">
        <v>1242</v>
      </c>
      <c r="K785" s="1299"/>
      <c r="L785" s="1300"/>
      <c r="M785" s="3065" t="s">
        <v>121</v>
      </c>
      <c r="N785" s="1298" t="s">
        <v>1243</v>
      </c>
      <c r="O785" s="1299"/>
      <c r="P785" s="1299"/>
      <c r="Q785" s="1299"/>
      <c r="R785" s="1299"/>
      <c r="S785" s="1299"/>
      <c r="T785" s="1299"/>
      <c r="U785" s="1299"/>
      <c r="V785" s="1299"/>
      <c r="W785" s="1299"/>
      <c r="X785" s="1302"/>
      <c r="Y785" s="1295"/>
      <c r="Z785" s="1292"/>
      <c r="AA785" s="1292"/>
      <c r="AB785" s="1293"/>
      <c r="AC785" s="1544"/>
      <c r="AD785" s="1544"/>
      <c r="AE785" s="1544"/>
      <c r="AF785" s="1544"/>
      <c r="AI785" s="3056" t="str">
        <f>"52:field208:" &amp; IF(I785="■",1,IF(M785="■",2,0))</f>
        <v>52:field208:0</v>
      </c>
    </row>
    <row r="786" spans="1:35" s="3056" customFormat="1" ht="19.5" customHeight="1">
      <c r="A786" s="735"/>
      <c r="B786" s="1407"/>
      <c r="C786" s="1303"/>
      <c r="D786" s="1304"/>
      <c r="E786" s="1275"/>
      <c r="F786" s="1289"/>
      <c r="G786" s="1305"/>
      <c r="H786" s="1306" t="s">
        <v>1244</v>
      </c>
      <c r="I786" s="3066" t="s">
        <v>121</v>
      </c>
      <c r="J786" s="1298" t="s">
        <v>1242</v>
      </c>
      <c r="K786" s="1299"/>
      <c r="L786" s="1300"/>
      <c r="M786" s="3065" t="s">
        <v>121</v>
      </c>
      <c r="N786" s="1298" t="s">
        <v>1245</v>
      </c>
      <c r="O786" s="1301"/>
      <c r="P786" s="1298"/>
      <c r="Q786" s="1307"/>
      <c r="R786" s="1307"/>
      <c r="S786" s="1307"/>
      <c r="T786" s="1307"/>
      <c r="U786" s="1307"/>
      <c r="V786" s="1307"/>
      <c r="W786" s="1307"/>
      <c r="X786" s="1308"/>
      <c r="Y786" s="1292"/>
      <c r="Z786" s="1292"/>
      <c r="AA786" s="1292"/>
      <c r="AB786" s="1293"/>
      <c r="AC786" s="1544"/>
      <c r="AD786" s="1544"/>
      <c r="AE786" s="1544"/>
      <c r="AF786" s="1544"/>
      <c r="AI786" s="3056" t="str">
        <f>"52:field223:" &amp; IF(I786="■",1,IF(M786="■",2,0))</f>
        <v>52:field223:0</v>
      </c>
    </row>
    <row r="787" spans="1:35" s="3056" customFormat="1" ht="19.5" customHeight="1">
      <c r="A787" s="735"/>
      <c r="B787" s="1407"/>
      <c r="C787" s="1303"/>
      <c r="D787" s="1304"/>
      <c r="E787" s="1275"/>
      <c r="F787" s="1289"/>
      <c r="G787" s="1305"/>
      <c r="H787" s="1306" t="s">
        <v>1246</v>
      </c>
      <c r="I787" s="3066" t="s">
        <v>121</v>
      </c>
      <c r="J787" s="1298" t="s">
        <v>1242</v>
      </c>
      <c r="K787" s="1299"/>
      <c r="L787" s="1300"/>
      <c r="M787" s="3065" t="s">
        <v>121</v>
      </c>
      <c r="N787" s="1298" t="s">
        <v>1245</v>
      </c>
      <c r="O787" s="1301"/>
      <c r="P787" s="1298"/>
      <c r="Q787" s="1307"/>
      <c r="R787" s="1307"/>
      <c r="S787" s="1307"/>
      <c r="T787" s="1307"/>
      <c r="U787" s="1307"/>
      <c r="V787" s="1307"/>
      <c r="W787" s="1307"/>
      <c r="X787" s="1308"/>
      <c r="Y787" s="1292"/>
      <c r="Z787" s="1292"/>
      <c r="AA787" s="1292"/>
      <c r="AB787" s="1293"/>
      <c r="AC787" s="1544"/>
      <c r="AD787" s="1544"/>
      <c r="AE787" s="1544"/>
      <c r="AF787" s="1544"/>
      <c r="AI787" s="3056" t="str">
        <f>"52:field232:" &amp; IF(I787="■",1,IF(M787="■",2,0))</f>
        <v>52:field232:0</v>
      </c>
    </row>
    <row r="788" spans="1:35" s="3056" customFormat="1" ht="18.75" customHeight="1">
      <c r="A788" s="735"/>
      <c r="B788" s="1407"/>
      <c r="C788" s="1287"/>
      <c r="D788" s="1288"/>
      <c r="E788" s="1275"/>
      <c r="F788" s="1289"/>
      <c r="G788" s="1275"/>
      <c r="H788" s="1539" t="s">
        <v>1247</v>
      </c>
      <c r="I788" s="3115" t="s">
        <v>121</v>
      </c>
      <c r="J788" s="1528" t="s">
        <v>1230</v>
      </c>
      <c r="K788" s="1528"/>
      <c r="L788" s="3135" t="s">
        <v>121</v>
      </c>
      <c r="M788" s="1528" t="s">
        <v>1248</v>
      </c>
      <c r="N788" s="1528"/>
      <c r="O788" s="1290"/>
      <c r="P788" s="1290"/>
      <c r="Q788" s="1290"/>
      <c r="R788" s="1290"/>
      <c r="S788" s="1290"/>
      <c r="T788" s="1290"/>
      <c r="U788" s="1290"/>
      <c r="V788" s="1290"/>
      <c r="W788" s="1290"/>
      <c r="X788" s="1331"/>
      <c r="Y788" s="1295"/>
      <c r="Z788" s="1292"/>
      <c r="AA788" s="1292"/>
      <c r="AB788" s="1293"/>
      <c r="AC788" s="1544"/>
      <c r="AD788" s="1544"/>
      <c r="AE788" s="1544"/>
      <c r="AF788" s="1544"/>
      <c r="AI788" s="3056" t="str">
        <f>"52:field206:" &amp; IF(I788="■",1,IF(L788="■",2,0))</f>
        <v>52:field206:0</v>
      </c>
    </row>
    <row r="789" spans="1:35" s="3056" customFormat="1" ht="18.75" customHeight="1">
      <c r="A789" s="735"/>
      <c r="B789" s="1407"/>
      <c r="C789" s="1287"/>
      <c r="D789" s="1288"/>
      <c r="E789" s="1275"/>
      <c r="F789" s="1289"/>
      <c r="G789" s="1275"/>
      <c r="H789" s="1540"/>
      <c r="I789" s="3081"/>
      <c r="J789" s="1529"/>
      <c r="K789" s="1529"/>
      <c r="L789" s="3080"/>
      <c r="M789" s="1529"/>
      <c r="N789" s="1529"/>
      <c r="O789" s="1296"/>
      <c r="P789" s="1296"/>
      <c r="Q789" s="1296"/>
      <c r="R789" s="1296"/>
      <c r="S789" s="1296"/>
      <c r="T789" s="1296"/>
      <c r="U789" s="1296"/>
      <c r="V789" s="1296"/>
      <c r="W789" s="1296"/>
      <c r="X789" s="1332"/>
      <c r="Y789" s="1295"/>
      <c r="Z789" s="1292"/>
      <c r="AA789" s="1292"/>
      <c r="AB789" s="1293"/>
      <c r="AC789" s="1544"/>
      <c r="AD789" s="1544"/>
      <c r="AE789" s="1544"/>
      <c r="AF789" s="1544"/>
    </row>
    <row r="790" spans="1:35" s="1418" customFormat="1" ht="19.5" customHeight="1">
      <c r="A790" s="3069" t="s">
        <v>121</v>
      </c>
      <c r="B790" s="1407">
        <v>52</v>
      </c>
      <c r="C790" s="1287" t="s">
        <v>1275</v>
      </c>
      <c r="D790" s="3069" t="s">
        <v>121</v>
      </c>
      <c r="E790" s="1275" t="s">
        <v>1285</v>
      </c>
      <c r="F790" s="1415"/>
      <c r="G790" s="617"/>
      <c r="H790" s="3148" t="s">
        <v>2328</v>
      </c>
      <c r="I790" s="3066" t="s">
        <v>121</v>
      </c>
      <c r="J790" s="3144" t="s">
        <v>2326</v>
      </c>
      <c r="K790" s="3147"/>
      <c r="L790" s="3146"/>
      <c r="M790" s="3065" t="s">
        <v>121</v>
      </c>
      <c r="N790" s="3144" t="s">
        <v>2325</v>
      </c>
      <c r="O790" s="3145"/>
      <c r="P790" s="3144"/>
      <c r="Q790" s="3143"/>
      <c r="R790" s="3143"/>
      <c r="S790" s="3143"/>
      <c r="T790" s="3143"/>
      <c r="U790" s="3143"/>
      <c r="V790" s="3143"/>
      <c r="W790" s="3143"/>
      <c r="X790" s="3142"/>
      <c r="Y790" s="1421"/>
      <c r="Z790" s="2"/>
      <c r="AA790" s="626"/>
      <c r="AB790" s="627"/>
      <c r="AC790" s="1544"/>
      <c r="AD790" s="1544"/>
      <c r="AE790" s="1544"/>
      <c r="AF790" s="1544"/>
      <c r="AI790" s="3056" t="str">
        <f>"52:field242:" &amp; IF(I790="■",1,IF(M790="■",2,0))</f>
        <v>52:field242:0</v>
      </c>
    </row>
    <row r="791" spans="1:35" s="3056" customFormat="1" ht="18.75" customHeight="1">
      <c r="A791" s="735"/>
      <c r="B791" s="1407"/>
      <c r="C791" s="1287"/>
      <c r="D791" s="1288"/>
      <c r="E791" s="1275"/>
      <c r="F791" s="1289"/>
      <c r="G791" s="1275"/>
      <c r="H791" s="1409" t="s">
        <v>140</v>
      </c>
      <c r="I791" s="3063" t="s">
        <v>121</v>
      </c>
      <c r="J791" s="1296" t="s">
        <v>1230</v>
      </c>
      <c r="K791" s="1309"/>
      <c r="L791" s="3062" t="s">
        <v>121</v>
      </c>
      <c r="M791" s="1296" t="s">
        <v>1248</v>
      </c>
      <c r="N791" s="1299"/>
      <c r="O791" s="1299"/>
      <c r="P791" s="1299"/>
      <c r="Q791" s="1299"/>
      <c r="R791" s="1299"/>
      <c r="S791" s="1299"/>
      <c r="T791" s="1299"/>
      <c r="U791" s="1299"/>
      <c r="V791" s="1299"/>
      <c r="W791" s="1299"/>
      <c r="X791" s="1302"/>
      <c r="Y791" s="1295"/>
      <c r="Z791" s="1292"/>
      <c r="AA791" s="1292"/>
      <c r="AB791" s="1293"/>
      <c r="AC791" s="1544"/>
      <c r="AD791" s="1544"/>
      <c r="AE791" s="1544"/>
      <c r="AF791" s="1544"/>
      <c r="AI791" s="3056" t="str">
        <f>"52:yakinhaiti_code:" &amp; IF(I791="■",1,IF(L791="■",2,0))</f>
        <v>52:yakinhaiti_code:0</v>
      </c>
    </row>
    <row r="792" spans="1:35" s="3056" customFormat="1" ht="18.75" customHeight="1">
      <c r="A792" s="735"/>
      <c r="B792" s="1407"/>
      <c r="C792" s="1287"/>
      <c r="D792" s="1288"/>
      <c r="E792" s="1275"/>
      <c r="F792" s="1289"/>
      <c r="G792" s="1275"/>
      <c r="H792" s="1409" t="s">
        <v>1250</v>
      </c>
      <c r="I792" s="3063" t="s">
        <v>121</v>
      </c>
      <c r="J792" s="1296" t="s">
        <v>1230</v>
      </c>
      <c r="K792" s="1309"/>
      <c r="L792" s="3062" t="s">
        <v>121</v>
      </c>
      <c r="M792" s="1296" t="s">
        <v>1248</v>
      </c>
      <c r="N792" s="1299"/>
      <c r="O792" s="1299"/>
      <c r="P792" s="1299"/>
      <c r="Q792" s="1299"/>
      <c r="R792" s="1299"/>
      <c r="S792" s="1299"/>
      <c r="T792" s="1299"/>
      <c r="U792" s="1299"/>
      <c r="V792" s="1299"/>
      <c r="W792" s="1299"/>
      <c r="X792" s="1302"/>
      <c r="Y792" s="1295"/>
      <c r="Z792" s="1292"/>
      <c r="AA792" s="1292"/>
      <c r="AB792" s="1293"/>
      <c r="AC792" s="1544"/>
      <c r="AD792" s="1544"/>
      <c r="AE792" s="1544"/>
      <c r="AF792" s="1544"/>
      <c r="AI792" s="3056" t="str">
        <f>"52:ninticare_code:" &amp; IF(I792="■",1,IF(L792="■",2,0))</f>
        <v>52:ninticare_code:0</v>
      </c>
    </row>
    <row r="793" spans="1:35" s="3056" customFormat="1" ht="18.75" customHeight="1">
      <c r="A793" s="735"/>
      <c r="B793" s="1407"/>
      <c r="C793" s="1287"/>
      <c r="D793" s="1288"/>
      <c r="E793" s="1275"/>
      <c r="F793" s="1289"/>
      <c r="G793" s="1275"/>
      <c r="H793" s="1311" t="s">
        <v>1251</v>
      </c>
      <c r="I793" s="3063" t="s">
        <v>121</v>
      </c>
      <c r="J793" s="1296" t="s">
        <v>1230</v>
      </c>
      <c r="K793" s="1309"/>
      <c r="L793" s="3062" t="s">
        <v>121</v>
      </c>
      <c r="M793" s="1296" t="s">
        <v>1248</v>
      </c>
      <c r="N793" s="1299"/>
      <c r="O793" s="1299"/>
      <c r="P793" s="1299"/>
      <c r="Q793" s="1299"/>
      <c r="R793" s="1299"/>
      <c r="S793" s="1299"/>
      <c r="T793" s="1299"/>
      <c r="U793" s="1299"/>
      <c r="V793" s="1299"/>
      <c r="W793" s="1299"/>
      <c r="X793" s="1302"/>
      <c r="Y793" s="1295"/>
      <c r="Z793" s="1292"/>
      <c r="AA793" s="1292"/>
      <c r="AB793" s="1293"/>
      <c r="AC793" s="1544"/>
      <c r="AD793" s="1544"/>
      <c r="AE793" s="1544"/>
      <c r="AF793" s="1544"/>
      <c r="AI793" s="3056" t="str">
        <f>"52:jyakuninti_uke_code:" &amp; IF(I793="■",1,IF(L793="■",2,0))</f>
        <v>52:jyakuninti_uke_code:0</v>
      </c>
    </row>
    <row r="794" spans="1:35" s="3056" customFormat="1" ht="18.75" customHeight="1">
      <c r="A794" s="735"/>
      <c r="B794" s="1407"/>
      <c r="C794" s="1287"/>
      <c r="D794" s="1288"/>
      <c r="E794" s="1275"/>
      <c r="F794" s="1289"/>
      <c r="G794" s="1275"/>
      <c r="H794" s="1409" t="s">
        <v>144</v>
      </c>
      <c r="I794" s="3063" t="s">
        <v>121</v>
      </c>
      <c r="J794" s="1296" t="s">
        <v>1230</v>
      </c>
      <c r="K794" s="1309"/>
      <c r="L794" s="3062" t="s">
        <v>121</v>
      </c>
      <c r="M794" s="1296" t="s">
        <v>1248</v>
      </c>
      <c r="N794" s="1299"/>
      <c r="O794" s="1299"/>
      <c r="P794" s="1299"/>
      <c r="Q794" s="1299"/>
      <c r="R794" s="1299"/>
      <c r="S794" s="1299"/>
      <c r="T794" s="1299"/>
      <c r="U794" s="1299"/>
      <c r="V794" s="1299"/>
      <c r="W794" s="1299"/>
      <c r="X794" s="1302"/>
      <c r="Y794" s="1295"/>
      <c r="Z794" s="1292"/>
      <c r="AA794" s="1292"/>
      <c r="AB794" s="1293"/>
      <c r="AC794" s="1544"/>
      <c r="AD794" s="1544"/>
      <c r="AE794" s="1544"/>
      <c r="AF794" s="1544"/>
      <c r="AI794" s="3056" t="str">
        <f>"52:terminal_code:" &amp; IF(I794="■",1,IF(L794="■",2,0))</f>
        <v>52:terminal_code:0</v>
      </c>
    </row>
    <row r="795" spans="1:35" s="3056" customFormat="1" ht="18.75" customHeight="1">
      <c r="A795" s="735"/>
      <c r="B795" s="1407"/>
      <c r="C795" s="1287"/>
      <c r="D795" s="1288"/>
      <c r="E795" s="1275"/>
      <c r="F795" s="1289"/>
      <c r="G795" s="1275"/>
      <c r="H795" s="1409" t="s">
        <v>755</v>
      </c>
      <c r="I795" s="3063" t="s">
        <v>121</v>
      </c>
      <c r="J795" s="1296" t="s">
        <v>1230</v>
      </c>
      <c r="K795" s="1309"/>
      <c r="L795" s="3062" t="s">
        <v>121</v>
      </c>
      <c r="M795" s="1296" t="s">
        <v>1248</v>
      </c>
      <c r="N795" s="1299"/>
      <c r="O795" s="1299"/>
      <c r="P795" s="1299"/>
      <c r="Q795" s="1299"/>
      <c r="R795" s="1299"/>
      <c r="S795" s="1299"/>
      <c r="T795" s="1299"/>
      <c r="U795" s="1299"/>
      <c r="V795" s="1299"/>
      <c r="W795" s="1299"/>
      <c r="X795" s="1302"/>
      <c r="Y795" s="1295"/>
      <c r="Z795" s="1292"/>
      <c r="AA795" s="1292"/>
      <c r="AB795" s="1293"/>
      <c r="AC795" s="1544"/>
      <c r="AD795" s="1544"/>
      <c r="AE795" s="1544"/>
      <c r="AF795" s="1544"/>
      <c r="AI795" s="3056" t="str">
        <f>"52:field207:" &amp; IF(I795="■",1,IF(L795="■",2,0))</f>
        <v>52:field207:0</v>
      </c>
    </row>
    <row r="796" spans="1:35" s="3056" customFormat="1" ht="18.75" customHeight="1">
      <c r="A796" s="735"/>
      <c r="B796" s="1407"/>
      <c r="C796" s="1287"/>
      <c r="D796" s="1288"/>
      <c r="E796" s="1275"/>
      <c r="F796" s="1289"/>
      <c r="G796" s="1275"/>
      <c r="H796" s="1409" t="s">
        <v>145</v>
      </c>
      <c r="I796" s="3063" t="s">
        <v>121</v>
      </c>
      <c r="J796" s="1296" t="s">
        <v>1230</v>
      </c>
      <c r="K796" s="1309"/>
      <c r="L796" s="3062" t="s">
        <v>121</v>
      </c>
      <c r="M796" s="1296" t="s">
        <v>1248</v>
      </c>
      <c r="N796" s="1299"/>
      <c r="O796" s="1299"/>
      <c r="P796" s="1299"/>
      <c r="Q796" s="1299"/>
      <c r="R796" s="1299"/>
      <c r="S796" s="1299"/>
      <c r="T796" s="1299"/>
      <c r="U796" s="1299"/>
      <c r="V796" s="1299"/>
      <c r="W796" s="1299"/>
      <c r="X796" s="1302"/>
      <c r="Y796" s="1295"/>
      <c r="Z796" s="1292"/>
      <c r="AA796" s="1292"/>
      <c r="AB796" s="1293"/>
      <c r="AC796" s="1544"/>
      <c r="AD796" s="1544"/>
      <c r="AE796" s="1544"/>
      <c r="AF796" s="1544"/>
      <c r="AI796" s="3056" t="str">
        <f>"52:ryouyoushoku_code:" &amp; IF(I796="■",1,IF(L796="■",2,0))</f>
        <v>52:ryouyoushoku_code:0</v>
      </c>
    </row>
    <row r="797" spans="1:35" s="3056" customFormat="1" ht="18.75" customHeight="1">
      <c r="A797" s="735"/>
      <c r="B797" s="1407"/>
      <c r="C797" s="1287"/>
      <c r="D797" s="1288"/>
      <c r="E797" s="1275"/>
      <c r="F797" s="1289"/>
      <c r="G797" s="1275"/>
      <c r="H797" s="1409" t="s">
        <v>1260</v>
      </c>
      <c r="I797" s="3066" t="s">
        <v>121</v>
      </c>
      <c r="J797" s="1298" t="s">
        <v>1230</v>
      </c>
      <c r="K797" s="1298"/>
      <c r="L797" s="3065" t="s">
        <v>121</v>
      </c>
      <c r="M797" s="1298" t="s">
        <v>1256</v>
      </c>
      <c r="N797" s="1298"/>
      <c r="O797" s="3065" t="s">
        <v>121</v>
      </c>
      <c r="P797" s="1298" t="s">
        <v>1257</v>
      </c>
      <c r="Q797" s="1307"/>
      <c r="R797" s="1299"/>
      <c r="S797" s="1299"/>
      <c r="T797" s="1299"/>
      <c r="U797" s="1299"/>
      <c r="V797" s="1299"/>
      <c r="W797" s="1299"/>
      <c r="X797" s="1302"/>
      <c r="Y797" s="1295"/>
      <c r="Z797" s="1292"/>
      <c r="AA797" s="1292"/>
      <c r="AB797" s="1293"/>
      <c r="AC797" s="1544"/>
      <c r="AD797" s="1544"/>
      <c r="AE797" s="1544"/>
      <c r="AF797" s="1544"/>
      <c r="AI797" s="3056" t="str">
        <f>"52:ninti_senmoncare_code:" &amp; IF(I797="■",1,IF(O797="■",3,IF(L797="■",2,0)))</f>
        <v>52:ninti_senmoncare_code:0</v>
      </c>
    </row>
    <row r="798" spans="1:35" s="3056" customFormat="1" ht="18.75" customHeight="1">
      <c r="A798" s="735"/>
      <c r="B798" s="1407"/>
      <c r="C798" s="1287"/>
      <c r="D798" s="1288"/>
      <c r="E798" s="1275"/>
      <c r="F798" s="1289"/>
      <c r="G798" s="1275"/>
      <c r="H798" s="1409" t="s">
        <v>1261</v>
      </c>
      <c r="I798" s="3066" t="s">
        <v>121</v>
      </c>
      <c r="J798" s="1298" t="s">
        <v>1230</v>
      </c>
      <c r="K798" s="1298"/>
      <c r="L798" s="3065" t="s">
        <v>121</v>
      </c>
      <c r="M798" s="1298" t="s">
        <v>1256</v>
      </c>
      <c r="N798" s="1298"/>
      <c r="O798" s="3065" t="s">
        <v>121</v>
      </c>
      <c r="P798" s="1298" t="s">
        <v>1257</v>
      </c>
      <c r="Q798" s="1299"/>
      <c r="R798" s="1299"/>
      <c r="S798" s="1299"/>
      <c r="T798" s="1299"/>
      <c r="U798" s="1299"/>
      <c r="V798" s="1299"/>
      <c r="W798" s="1299"/>
      <c r="X798" s="1302"/>
      <c r="Y798" s="1295"/>
      <c r="Z798" s="1292"/>
      <c r="AA798" s="1292"/>
      <c r="AB798" s="1293"/>
      <c r="AC798" s="1544"/>
      <c r="AD798" s="1544"/>
      <c r="AE798" s="1544"/>
      <c r="AF798" s="1544"/>
      <c r="AI798" s="3056" t="str">
        <f>"52:field228:" &amp; IF(I798="■",1,IF(L798="■",2,IF(O798="■",3,0)))</f>
        <v>52:field228:0</v>
      </c>
    </row>
    <row r="799" spans="1:35" s="3056" customFormat="1" ht="18.75" customHeight="1">
      <c r="A799" s="735"/>
      <c r="B799" s="1407"/>
      <c r="C799" s="1287"/>
      <c r="D799" s="1288"/>
      <c r="E799" s="1275"/>
      <c r="F799" s="1289"/>
      <c r="G799" s="1275"/>
      <c r="H799" s="1409" t="s">
        <v>1288</v>
      </c>
      <c r="I799" s="3066" t="s">
        <v>121</v>
      </c>
      <c r="J799" s="1298" t="s">
        <v>1230</v>
      </c>
      <c r="K799" s="1298"/>
      <c r="L799" s="3065" t="s">
        <v>121</v>
      </c>
      <c r="M799" s="1296" t="s">
        <v>1248</v>
      </c>
      <c r="N799" s="1298"/>
      <c r="O799" s="1298"/>
      <c r="P799" s="1298"/>
      <c r="Q799" s="1299"/>
      <c r="R799" s="1299"/>
      <c r="S799" s="1299"/>
      <c r="T799" s="1299"/>
      <c r="U799" s="1299"/>
      <c r="V799" s="1299"/>
      <c r="W799" s="1299"/>
      <c r="X799" s="1302"/>
      <c r="Y799" s="1295"/>
      <c r="Z799" s="1292"/>
      <c r="AA799" s="1292"/>
      <c r="AB799" s="1293"/>
      <c r="AC799" s="1544"/>
      <c r="AD799" s="1544"/>
      <c r="AE799" s="1544"/>
      <c r="AF799" s="1544"/>
      <c r="AI799" s="3056" t="str">
        <f>"52:field226:" &amp; IF(I799="■",1,IF(L799="■",2,0))</f>
        <v>52:field226:0</v>
      </c>
    </row>
    <row r="800" spans="1:35" s="3056" customFormat="1" ht="18.75" customHeight="1">
      <c r="A800" s="735"/>
      <c r="B800" s="1407"/>
      <c r="C800" s="1287"/>
      <c r="D800" s="1288"/>
      <c r="E800" s="1275"/>
      <c r="F800" s="1289"/>
      <c r="G800" s="1275"/>
      <c r="H800" s="1409" t="s">
        <v>1289</v>
      </c>
      <c r="I800" s="3066" t="s">
        <v>121</v>
      </c>
      <c r="J800" s="1298" t="s">
        <v>1230</v>
      </c>
      <c r="K800" s="1298"/>
      <c r="L800" s="3065" t="s">
        <v>121</v>
      </c>
      <c r="M800" s="1296" t="s">
        <v>1248</v>
      </c>
      <c r="N800" s="1298"/>
      <c r="O800" s="1298"/>
      <c r="P800" s="1298"/>
      <c r="Q800" s="1299"/>
      <c r="R800" s="1299"/>
      <c r="S800" s="1299"/>
      <c r="T800" s="1299"/>
      <c r="U800" s="1299"/>
      <c r="V800" s="1299"/>
      <c r="W800" s="1299"/>
      <c r="X800" s="1302"/>
      <c r="Y800" s="1295"/>
      <c r="Z800" s="1292"/>
      <c r="AA800" s="1292"/>
      <c r="AB800" s="1293"/>
      <c r="AC800" s="1544"/>
      <c r="AD800" s="1544"/>
      <c r="AE800" s="1544"/>
      <c r="AF800" s="1544"/>
      <c r="AI800" s="3056" t="str">
        <f>"52:field227:" &amp; IF(I800="■",1,IF(L800="■",2,0))</f>
        <v>52:field227:0</v>
      </c>
    </row>
    <row r="801" spans="1:36" s="3056" customFormat="1" ht="18.75" customHeight="1">
      <c r="A801" s="735"/>
      <c r="B801" s="1407"/>
      <c r="C801" s="1287"/>
      <c r="D801" s="1288"/>
      <c r="E801" s="1275"/>
      <c r="F801" s="1289"/>
      <c r="G801" s="1275"/>
      <c r="H801" s="1313" t="s">
        <v>1265</v>
      </c>
      <c r="I801" s="3066" t="s">
        <v>121</v>
      </c>
      <c r="J801" s="1298" t="s">
        <v>1230</v>
      </c>
      <c r="K801" s="1298"/>
      <c r="L801" s="3065" t="s">
        <v>121</v>
      </c>
      <c r="M801" s="1298" t="s">
        <v>1256</v>
      </c>
      <c r="N801" s="1298"/>
      <c r="O801" s="3065" t="s">
        <v>121</v>
      </c>
      <c r="P801" s="1298" t="s">
        <v>1257</v>
      </c>
      <c r="Q801" s="1307"/>
      <c r="R801" s="1307"/>
      <c r="S801" s="1307"/>
      <c r="T801" s="1307"/>
      <c r="U801" s="1314"/>
      <c r="V801" s="1314"/>
      <c r="W801" s="1314"/>
      <c r="X801" s="1315"/>
      <c r="Y801" s="1295"/>
      <c r="Z801" s="1292"/>
      <c r="AA801" s="1292"/>
      <c r="AB801" s="1293"/>
      <c r="AC801" s="1544"/>
      <c r="AD801" s="1544"/>
      <c r="AE801" s="1544"/>
      <c r="AF801" s="1544"/>
      <c r="AI801" s="3056" t="str">
        <f>"52:field225:" &amp; IF(I801="■",1,IF(L801="■",2,IF(O801="■",3,0)))</f>
        <v>52:field225:0</v>
      </c>
    </row>
    <row r="802" spans="1:36" s="3056" customFormat="1" ht="18.75" customHeight="1">
      <c r="A802" s="735"/>
      <c r="B802" s="1407"/>
      <c r="C802" s="1287"/>
      <c r="D802" s="1288"/>
      <c r="E802" s="1275"/>
      <c r="F802" s="1289"/>
      <c r="G802" s="1275"/>
      <c r="H802" s="1409" t="s">
        <v>1266</v>
      </c>
      <c r="I802" s="3066" t="s">
        <v>121</v>
      </c>
      <c r="J802" s="1298" t="s">
        <v>1230</v>
      </c>
      <c r="K802" s="1298"/>
      <c r="L802" s="3065" t="s">
        <v>121</v>
      </c>
      <c r="M802" s="1298" t="s">
        <v>1267</v>
      </c>
      <c r="N802" s="1298"/>
      <c r="O802" s="3065" t="s">
        <v>121</v>
      </c>
      <c r="P802" s="1298" t="s">
        <v>1268</v>
      </c>
      <c r="Q802" s="1326"/>
      <c r="R802" s="3065" t="s">
        <v>121</v>
      </c>
      <c r="S802" s="1298" t="s">
        <v>1269</v>
      </c>
      <c r="T802" s="1298"/>
      <c r="U802" s="1298"/>
      <c r="V802" s="1298"/>
      <c r="W802" s="1298"/>
      <c r="X802" s="1310"/>
      <c r="Y802" s="1295"/>
      <c r="Z802" s="1292"/>
      <c r="AA802" s="1292"/>
      <c r="AB802" s="1293"/>
      <c r="AC802" s="1544"/>
      <c r="AD802" s="1544"/>
      <c r="AE802" s="1544"/>
      <c r="AF802" s="1544"/>
      <c r="AI802" s="3056" t="str">
        <f>"52:serteikyo_kyoka_code:" &amp; IF(I802="■",1,IF(L802="■",6,IF(O802="■",5,IF(R802="■",7,0))))</f>
        <v>52:serteikyo_kyoka_code:0</v>
      </c>
    </row>
    <row r="803" spans="1:36" s="3056" customFormat="1" ht="18.75" customHeight="1">
      <c r="A803" s="735"/>
      <c r="B803" s="1407"/>
      <c r="C803" s="1303"/>
      <c r="D803" s="1304"/>
      <c r="E803" s="1275"/>
      <c r="F803" s="1289"/>
      <c r="G803" s="1305"/>
      <c r="H803" s="3155" t="s">
        <v>2288</v>
      </c>
      <c r="I803" s="3137" t="s">
        <v>121</v>
      </c>
      <c r="J803" s="3151" t="s">
        <v>1230</v>
      </c>
      <c r="K803" s="3151"/>
      <c r="L803" s="3136" t="s">
        <v>121</v>
      </c>
      <c r="M803" s="3151" t="s">
        <v>2287</v>
      </c>
      <c r="N803" s="3154"/>
      <c r="O803" s="3136" t="s">
        <v>121</v>
      </c>
      <c r="P803" s="3153" t="s">
        <v>2286</v>
      </c>
      <c r="Q803" s="3152"/>
      <c r="R803" s="3136" t="s">
        <v>121</v>
      </c>
      <c r="S803" s="3151" t="s">
        <v>2285</v>
      </c>
      <c r="T803" s="3152"/>
      <c r="U803" s="3136" t="s">
        <v>121</v>
      </c>
      <c r="V803" s="3151" t="s">
        <v>2284</v>
      </c>
      <c r="W803" s="3150"/>
      <c r="X803" s="3149"/>
      <c r="Y803" s="1292"/>
      <c r="Z803" s="1292"/>
      <c r="AA803" s="1292"/>
      <c r="AB803" s="1293"/>
      <c r="AC803" s="1544"/>
      <c r="AD803" s="1544"/>
      <c r="AE803" s="1544"/>
      <c r="AF803" s="1544"/>
      <c r="AI803" s="3056" t="str">
        <f>"52:shoguukaizen_code:"&amp;IF(I803="■",1,IF(L803="■",7,IF(O803="■",8,IF(R803="■",9,IF(U803="■","A",0)))))</f>
        <v>52:shoguukaizen_code:0</v>
      </c>
    </row>
    <row r="804" spans="1:36" s="3056" customFormat="1" ht="18.75" customHeight="1">
      <c r="A804" s="1276"/>
      <c r="B804" s="1405"/>
      <c r="C804" s="1277"/>
      <c r="D804" s="1278"/>
      <c r="E804" s="1272"/>
      <c r="F804" s="1279"/>
      <c r="G804" s="1272"/>
      <c r="H804" s="1408" t="s">
        <v>1226</v>
      </c>
      <c r="I804" s="3074" t="s">
        <v>121</v>
      </c>
      <c r="J804" s="1280" t="s">
        <v>1227</v>
      </c>
      <c r="K804" s="1281"/>
      <c r="L804" s="1282"/>
      <c r="M804" s="3073" t="s">
        <v>121</v>
      </c>
      <c r="N804" s="1280" t="s">
        <v>1228</v>
      </c>
      <c r="O804" s="1284"/>
      <c r="P804" s="1284"/>
      <c r="Q804" s="1284"/>
      <c r="R804" s="1284"/>
      <c r="S804" s="1284"/>
      <c r="T804" s="1284"/>
      <c r="U804" s="1284"/>
      <c r="V804" s="1284"/>
      <c r="W804" s="1284"/>
      <c r="X804" s="1325"/>
      <c r="Y804" s="3119" t="s">
        <v>121</v>
      </c>
      <c r="Z804" s="1270" t="s">
        <v>1229</v>
      </c>
      <c r="AA804" s="1270"/>
      <c r="AB804" s="1286"/>
      <c r="AC804" s="1543"/>
      <c r="AD804" s="1543"/>
      <c r="AE804" s="1543"/>
      <c r="AF804" s="1543"/>
      <c r="AG804" s="3056" t="str">
        <f>"ser_code = '" &amp; IF(A815="■",52,"") &amp; "'"</f>
        <v>ser_code = ''</v>
      </c>
      <c r="AI804" s="3056" t="str">
        <f>"52:yakan_kinmu_code:" &amp; IF(I804="■",1,IF(M804="■",6,0))</f>
        <v>52:yakan_kinmu_code:0</v>
      </c>
      <c r="AJ804" s="3056" t="str">
        <f>"52:field203:" &amp; IF(Y804="■",1,IF(Y805="■",2,0))</f>
        <v>52:field203:0</v>
      </c>
    </row>
    <row r="805" spans="1:36" s="3056" customFormat="1" ht="18.75" customHeight="1">
      <c r="A805" s="735"/>
      <c r="B805" s="1407"/>
      <c r="C805" s="1287"/>
      <c r="D805" s="1288"/>
      <c r="E805" s="1275"/>
      <c r="F805" s="1289"/>
      <c r="G805" s="1275"/>
      <c r="H805" s="1541" t="s">
        <v>90</v>
      </c>
      <c r="I805" s="3137" t="s">
        <v>121</v>
      </c>
      <c r="J805" s="1290" t="s">
        <v>1230</v>
      </c>
      <c r="K805" s="1290"/>
      <c r="L805" s="1402"/>
      <c r="M805" s="3136" t="s">
        <v>121</v>
      </c>
      <c r="N805" s="1290" t="s">
        <v>1231</v>
      </c>
      <c r="O805" s="1290"/>
      <c r="P805" s="1402"/>
      <c r="Q805" s="3136" t="s">
        <v>121</v>
      </c>
      <c r="R805" s="1402" t="s">
        <v>1232</v>
      </c>
      <c r="S805" s="1402"/>
      <c r="T805" s="1402"/>
      <c r="U805" s="3136" t="s">
        <v>121</v>
      </c>
      <c r="V805" s="1402" t="s">
        <v>1233</v>
      </c>
      <c r="W805" s="1402"/>
      <c r="X805" s="1291"/>
      <c r="Y805" s="3069" t="s">
        <v>121</v>
      </c>
      <c r="Z805" s="1273" t="s">
        <v>1234</v>
      </c>
      <c r="AA805" s="1292"/>
      <c r="AB805" s="1293"/>
      <c r="AC805" s="1544"/>
      <c r="AD805" s="1544"/>
      <c r="AE805" s="1544"/>
      <c r="AF805" s="1544"/>
      <c r="AG805" s="3056" t="str">
        <f>"52:sisetukbn_code:" &amp; IF(D815="■","A",0)</f>
        <v>52:sisetukbn_code:0</v>
      </c>
      <c r="AI805" s="3056" t="str">
        <f>"52:"&amp;IF(AND(I805="□",M805="□",Q805="□",U805="□",I806="□",M806="□",Q806="□",I807="□"),"ketu_doctor_code:0",IF(I805="■","ketu_doctor_code:1:ketu_kangos_code:1:ketu_kshoku_code:1:ketu_rryoho_code:1:ketu_sryoho_code:1:ketu_ksiensou_code:1:ketu_gengo_code:1",IF(M805="■","ketu_doctor_code:2","ketu_doctor_code:1")
&amp;IF(Q805="■",":ketu_kangos_code:2",":ketu_kangos_code:1")
&amp;IF(U805="■",":ketu_kshoku_code:2",":ketu_kshoku_code:1")
&amp;IF(I806="■",":ketu_rryoho_code:2",":ketu_rryoho_code:1")
&amp;IF(M806="■",":ketu_sryoho_code:2",":ketu_sryoho_code:1")
&amp;IF(Q806="■",":ketu_ksiensou_code:2",":ketu_ksiensou_code:1")
&amp;IF(I807="■",":ketu_gengo_code:2",":ketu_gengo_code:1")))</f>
        <v>52:ketu_doctor_code:0</v>
      </c>
    </row>
    <row r="806" spans="1:36" s="3056" customFormat="1" ht="18.75" customHeight="1">
      <c r="A806" s="735"/>
      <c r="B806" s="1407"/>
      <c r="C806" s="1287"/>
      <c r="D806" s="1288"/>
      <c r="E806" s="1275"/>
      <c r="F806" s="1289"/>
      <c r="G806" s="1275"/>
      <c r="H806" s="1546"/>
      <c r="I806" s="3069" t="s">
        <v>121</v>
      </c>
      <c r="J806" s="1273" t="s">
        <v>1235</v>
      </c>
      <c r="K806" s="1273"/>
      <c r="L806" s="1412"/>
      <c r="M806" s="3122" t="s">
        <v>121</v>
      </c>
      <c r="N806" s="1273" t="s">
        <v>1236</v>
      </c>
      <c r="O806" s="1273"/>
      <c r="P806" s="1412"/>
      <c r="Q806" s="3122" t="s">
        <v>121</v>
      </c>
      <c r="R806" s="1412" t="s">
        <v>1237</v>
      </c>
      <c r="S806" s="1412"/>
      <c r="T806" s="1412"/>
      <c r="U806" s="1412"/>
      <c r="V806" s="1412"/>
      <c r="W806" s="1412"/>
      <c r="X806" s="1294"/>
      <c r="Y806" s="1295"/>
      <c r="Z806" s="1292"/>
      <c r="AA806" s="1292"/>
      <c r="AB806" s="1293"/>
      <c r="AC806" s="1544"/>
      <c r="AD806" s="1544"/>
      <c r="AE806" s="1544"/>
      <c r="AF806" s="1544"/>
    </row>
    <row r="807" spans="1:36" s="3056" customFormat="1" ht="18.75" customHeight="1">
      <c r="A807" s="735"/>
      <c r="B807" s="1407"/>
      <c r="C807" s="1287"/>
      <c r="D807" s="1288"/>
      <c r="E807" s="1275"/>
      <c r="F807" s="1289"/>
      <c r="G807" s="1275"/>
      <c r="H807" s="1542"/>
      <c r="I807" s="3063" t="s">
        <v>121</v>
      </c>
      <c r="J807" s="1296" t="s">
        <v>1238</v>
      </c>
      <c r="K807" s="1296"/>
      <c r="L807" s="1403"/>
      <c r="M807" s="3062"/>
      <c r="N807" s="1296"/>
      <c r="O807" s="1296"/>
      <c r="P807" s="1403"/>
      <c r="Q807" s="1403"/>
      <c r="R807" s="1403"/>
      <c r="S807" s="1403"/>
      <c r="T807" s="1403"/>
      <c r="U807" s="1403"/>
      <c r="V807" s="1403"/>
      <c r="W807" s="1403"/>
      <c r="X807" s="1297"/>
      <c r="Y807" s="1295"/>
      <c r="Z807" s="1292"/>
      <c r="AA807" s="1292"/>
      <c r="AB807" s="1293"/>
      <c r="AC807" s="1544"/>
      <c r="AD807" s="1544"/>
      <c r="AE807" s="1544"/>
      <c r="AF807" s="1544"/>
    </row>
    <row r="808" spans="1:36" s="3056" customFormat="1" ht="18.75" customHeight="1">
      <c r="A808" s="735"/>
      <c r="B808" s="1407"/>
      <c r="C808" s="1287"/>
      <c r="D808" s="1288"/>
      <c r="E808" s="1275"/>
      <c r="F808" s="1289"/>
      <c r="G808" s="1275"/>
      <c r="H808" s="1409" t="s">
        <v>91</v>
      </c>
      <c r="I808" s="3066" t="s">
        <v>121</v>
      </c>
      <c r="J808" s="1298" t="s">
        <v>1239</v>
      </c>
      <c r="K808" s="1299"/>
      <c r="L808" s="1300"/>
      <c r="M808" s="3065" t="s">
        <v>121</v>
      </c>
      <c r="N808" s="1298" t="s">
        <v>1240</v>
      </c>
      <c r="O808" s="1299"/>
      <c r="P808" s="1299"/>
      <c r="Q808" s="1299"/>
      <c r="R808" s="1299"/>
      <c r="S808" s="1299"/>
      <c r="T808" s="1299"/>
      <c r="U808" s="1299"/>
      <c r="V808" s="1299"/>
      <c r="W808" s="1299"/>
      <c r="X808" s="1302"/>
      <c r="Y808" s="1295"/>
      <c r="Z808" s="1292"/>
      <c r="AA808" s="1292"/>
      <c r="AB808" s="1293"/>
      <c r="AC808" s="1544"/>
      <c r="AD808" s="1544"/>
      <c r="AE808" s="1544"/>
      <c r="AF808" s="1544"/>
      <c r="AI808" s="3056" t="str">
        <f>"52:unitcare_code:" &amp; IF(I808="■",1,IF(M808="■",2,0))</f>
        <v>52:unitcare_code:0</v>
      </c>
    </row>
    <row r="809" spans="1:36" s="3056" customFormat="1" ht="18.75" customHeight="1">
      <c r="A809" s="735"/>
      <c r="B809" s="1407"/>
      <c r="C809" s="1287"/>
      <c r="D809" s="1288"/>
      <c r="E809" s="1275"/>
      <c r="F809" s="1289"/>
      <c r="G809" s="1275"/>
      <c r="H809" s="1409" t="s">
        <v>1241</v>
      </c>
      <c r="I809" s="3066" t="s">
        <v>121</v>
      </c>
      <c r="J809" s="1298" t="s">
        <v>1242</v>
      </c>
      <c r="K809" s="1299"/>
      <c r="L809" s="1300"/>
      <c r="M809" s="3065" t="s">
        <v>121</v>
      </c>
      <c r="N809" s="1298" t="s">
        <v>1243</v>
      </c>
      <c r="O809" s="1299"/>
      <c r="P809" s="1299"/>
      <c r="Q809" s="1299"/>
      <c r="R809" s="1299"/>
      <c r="S809" s="1299"/>
      <c r="T809" s="1299"/>
      <c r="U809" s="1299"/>
      <c r="V809" s="1299"/>
      <c r="W809" s="1299"/>
      <c r="X809" s="1302"/>
      <c r="Y809" s="1295"/>
      <c r="Z809" s="1292"/>
      <c r="AA809" s="1292"/>
      <c r="AB809" s="1293"/>
      <c r="AC809" s="1544"/>
      <c r="AD809" s="1544"/>
      <c r="AE809" s="1544"/>
      <c r="AF809" s="1544"/>
      <c r="AI809" s="3056" t="str">
        <f>"52:sintaikousoku_code:" &amp; IF(I809="■",1,IF(M809="■",2,0))</f>
        <v>52:sintaikousoku_code:0</v>
      </c>
    </row>
    <row r="810" spans="1:36" s="3056" customFormat="1" ht="18.75" customHeight="1">
      <c r="A810" s="735"/>
      <c r="B810" s="1407"/>
      <c r="C810" s="1287"/>
      <c r="D810" s="1288"/>
      <c r="E810" s="1275"/>
      <c r="F810" s="1289"/>
      <c r="G810" s="1275"/>
      <c r="H810" s="1409" t="s">
        <v>753</v>
      </c>
      <c r="I810" s="3066" t="s">
        <v>121</v>
      </c>
      <c r="J810" s="1298" t="s">
        <v>1242</v>
      </c>
      <c r="K810" s="1299"/>
      <c r="L810" s="1300"/>
      <c r="M810" s="3065" t="s">
        <v>121</v>
      </c>
      <c r="N810" s="1298" t="s">
        <v>1243</v>
      </c>
      <c r="O810" s="1299"/>
      <c r="P810" s="1299"/>
      <c r="Q810" s="1299"/>
      <c r="R810" s="1299"/>
      <c r="S810" s="1299"/>
      <c r="T810" s="1299"/>
      <c r="U810" s="1299"/>
      <c r="V810" s="1299"/>
      <c r="W810" s="1299"/>
      <c r="X810" s="1302"/>
      <c r="Y810" s="1295"/>
      <c r="Z810" s="1292"/>
      <c r="AA810" s="1292"/>
      <c r="AB810" s="1293"/>
      <c r="AC810" s="1544"/>
      <c r="AD810" s="1544"/>
      <c r="AE810" s="1544"/>
      <c r="AF810" s="1544"/>
      <c r="AI810" s="3056" t="str">
        <f>"52:field208:" &amp; IF(I810="■",1,IF(M810="■",2,0))</f>
        <v>52:field208:0</v>
      </c>
    </row>
    <row r="811" spans="1:36" s="3056" customFormat="1" ht="19.5" customHeight="1">
      <c r="A811" s="735"/>
      <c r="B811" s="1407"/>
      <c r="C811" s="1303"/>
      <c r="D811" s="1304"/>
      <c r="E811" s="1275"/>
      <c r="F811" s="1289"/>
      <c r="G811" s="1305"/>
      <c r="H811" s="1306" t="s">
        <v>1244</v>
      </c>
      <c r="I811" s="3066" t="s">
        <v>121</v>
      </c>
      <c r="J811" s="1298" t="s">
        <v>1242</v>
      </c>
      <c r="K811" s="1299"/>
      <c r="L811" s="1300"/>
      <c r="M811" s="3065" t="s">
        <v>121</v>
      </c>
      <c r="N811" s="1298" t="s">
        <v>1245</v>
      </c>
      <c r="O811" s="1301"/>
      <c r="P811" s="1298"/>
      <c r="Q811" s="1307"/>
      <c r="R811" s="1307"/>
      <c r="S811" s="1307"/>
      <c r="T811" s="1307"/>
      <c r="U811" s="1307"/>
      <c r="V811" s="1307"/>
      <c r="W811" s="1307"/>
      <c r="X811" s="1308"/>
      <c r="Y811" s="1292"/>
      <c r="Z811" s="1292"/>
      <c r="AA811" s="1292"/>
      <c r="AB811" s="1293"/>
      <c r="AC811" s="1544"/>
      <c r="AD811" s="1544"/>
      <c r="AE811" s="1544"/>
      <c r="AF811" s="1544"/>
      <c r="AI811" s="3056" t="str">
        <f>"52:field223:" &amp; IF(I811="■",1,IF(M811="■",2,0))</f>
        <v>52:field223:0</v>
      </c>
    </row>
    <row r="812" spans="1:36" s="3056" customFormat="1" ht="19.5" customHeight="1">
      <c r="A812" s="735"/>
      <c r="B812" s="1407"/>
      <c r="C812" s="1303"/>
      <c r="D812" s="1304"/>
      <c r="E812" s="1275"/>
      <c r="F812" s="1289"/>
      <c r="G812" s="1305"/>
      <c r="H812" s="1306" t="s">
        <v>1246</v>
      </c>
      <c r="I812" s="3066" t="s">
        <v>121</v>
      </c>
      <c r="J812" s="1298" t="s">
        <v>1242</v>
      </c>
      <c r="K812" s="1299"/>
      <c r="L812" s="1300"/>
      <c r="M812" s="3065" t="s">
        <v>121</v>
      </c>
      <c r="N812" s="1298" t="s">
        <v>1245</v>
      </c>
      <c r="O812" s="1301"/>
      <c r="P812" s="1298"/>
      <c r="Q812" s="1307"/>
      <c r="R812" s="1307"/>
      <c r="S812" s="1307"/>
      <c r="T812" s="1307"/>
      <c r="U812" s="1307"/>
      <c r="V812" s="1307"/>
      <c r="W812" s="1307"/>
      <c r="X812" s="1308"/>
      <c r="Y812" s="1292"/>
      <c r="Z812" s="1292"/>
      <c r="AA812" s="1292"/>
      <c r="AB812" s="1293"/>
      <c r="AC812" s="1544"/>
      <c r="AD812" s="1544"/>
      <c r="AE812" s="1544"/>
      <c r="AF812" s="1544"/>
      <c r="AI812" s="3056" t="str">
        <f>"52:field232:" &amp; IF(I812="■",1,IF(M812="■",2,0))</f>
        <v>52:field232:0</v>
      </c>
    </row>
    <row r="813" spans="1:36" s="3056" customFormat="1" ht="18.75" customHeight="1">
      <c r="A813" s="735"/>
      <c r="B813" s="1407"/>
      <c r="C813" s="1287"/>
      <c r="D813" s="1288"/>
      <c r="E813" s="1275"/>
      <c r="F813" s="1289"/>
      <c r="G813" s="1275"/>
      <c r="H813" s="1539" t="s">
        <v>1247</v>
      </c>
      <c r="I813" s="3115" t="s">
        <v>121</v>
      </c>
      <c r="J813" s="1528" t="s">
        <v>1230</v>
      </c>
      <c r="K813" s="1528"/>
      <c r="L813" s="3135" t="s">
        <v>121</v>
      </c>
      <c r="M813" s="1528" t="s">
        <v>1248</v>
      </c>
      <c r="N813" s="1528"/>
      <c r="O813" s="1290"/>
      <c r="P813" s="1290"/>
      <c r="Q813" s="1290"/>
      <c r="R813" s="1290"/>
      <c r="S813" s="1290"/>
      <c r="T813" s="1290"/>
      <c r="U813" s="1290"/>
      <c r="V813" s="1290"/>
      <c r="W813" s="1290"/>
      <c r="X813" s="1331"/>
      <c r="Y813" s="1295"/>
      <c r="Z813" s="1292"/>
      <c r="AA813" s="1292"/>
      <c r="AB813" s="1293"/>
      <c r="AC813" s="1544"/>
      <c r="AD813" s="1544"/>
      <c r="AE813" s="1544"/>
      <c r="AF813" s="1544"/>
      <c r="AI813" s="3056" t="str">
        <f>"52:field206:" &amp; IF(I813="■",1,IF(L813="■",2,0))</f>
        <v>52:field206:0</v>
      </c>
    </row>
    <row r="814" spans="1:36" s="3056" customFormat="1" ht="18.75" customHeight="1">
      <c r="A814" s="735"/>
      <c r="B814" s="1407"/>
      <c r="C814" s="1287"/>
      <c r="D814" s="1288"/>
      <c r="E814" s="1275"/>
      <c r="F814" s="1289"/>
      <c r="G814" s="1275"/>
      <c r="H814" s="1540"/>
      <c r="I814" s="3081"/>
      <c r="J814" s="1529"/>
      <c r="K814" s="1529"/>
      <c r="L814" s="3080"/>
      <c r="M814" s="1529"/>
      <c r="N814" s="1529"/>
      <c r="O814" s="1296"/>
      <c r="P814" s="1296"/>
      <c r="Q814" s="1296"/>
      <c r="R814" s="1296"/>
      <c r="S814" s="1296"/>
      <c r="T814" s="1296"/>
      <c r="U814" s="1296"/>
      <c r="V814" s="1296"/>
      <c r="W814" s="1296"/>
      <c r="X814" s="1332"/>
      <c r="Y814" s="1295"/>
      <c r="Z814" s="1292"/>
      <c r="AA814" s="1292"/>
      <c r="AB814" s="1293"/>
      <c r="AC814" s="1544"/>
      <c r="AD814" s="1544"/>
      <c r="AE814" s="1544"/>
      <c r="AF814" s="1544"/>
    </row>
    <row r="815" spans="1:36" s="3056" customFormat="1" ht="18.75" customHeight="1">
      <c r="A815" s="3069" t="s">
        <v>121</v>
      </c>
      <c r="B815" s="1407">
        <v>52</v>
      </c>
      <c r="C815" s="1287" t="s">
        <v>1275</v>
      </c>
      <c r="D815" s="3069" t="s">
        <v>121</v>
      </c>
      <c r="E815" s="1275" t="s">
        <v>1286</v>
      </c>
      <c r="F815" s="1289"/>
      <c r="G815" s="1275"/>
      <c r="H815" s="1409" t="s">
        <v>140</v>
      </c>
      <c r="I815" s="3063" t="s">
        <v>121</v>
      </c>
      <c r="J815" s="1296" t="s">
        <v>1230</v>
      </c>
      <c r="K815" s="1309"/>
      <c r="L815" s="3062" t="s">
        <v>121</v>
      </c>
      <c r="M815" s="1296" t="s">
        <v>1248</v>
      </c>
      <c r="N815" s="1299"/>
      <c r="O815" s="1299"/>
      <c r="P815" s="1299"/>
      <c r="Q815" s="1299"/>
      <c r="R815" s="1299"/>
      <c r="S815" s="1299"/>
      <c r="T815" s="1299"/>
      <c r="U815" s="1299"/>
      <c r="V815" s="1299"/>
      <c r="W815" s="1299"/>
      <c r="X815" s="1302"/>
      <c r="Y815" s="1295"/>
      <c r="Z815" s="1292"/>
      <c r="AA815" s="1292"/>
      <c r="AB815" s="1293"/>
      <c r="AC815" s="1544"/>
      <c r="AD815" s="1544"/>
      <c r="AE815" s="1544"/>
      <c r="AF815" s="1544"/>
      <c r="AI815" s="3056" t="str">
        <f>"52:yakinhaiti_code:" &amp; IF(I815="■",1,IF(L815="■",2,0))</f>
        <v>52:yakinhaiti_code:0</v>
      </c>
    </row>
    <row r="816" spans="1:36" s="3056" customFormat="1" ht="18.75" customHeight="1">
      <c r="A816" s="735"/>
      <c r="B816" s="1407"/>
      <c r="C816" s="1287"/>
      <c r="D816" s="1288"/>
      <c r="E816" s="1275"/>
      <c r="F816" s="1289"/>
      <c r="G816" s="1275"/>
      <c r="H816" s="1409" t="s">
        <v>1250</v>
      </c>
      <c r="I816" s="3063" t="s">
        <v>121</v>
      </c>
      <c r="J816" s="1296" t="s">
        <v>1230</v>
      </c>
      <c r="K816" s="1309"/>
      <c r="L816" s="3062" t="s">
        <v>121</v>
      </c>
      <c r="M816" s="1296" t="s">
        <v>1248</v>
      </c>
      <c r="N816" s="1299"/>
      <c r="O816" s="1299"/>
      <c r="P816" s="1299"/>
      <c r="Q816" s="1299"/>
      <c r="R816" s="1299"/>
      <c r="S816" s="1299"/>
      <c r="T816" s="1299"/>
      <c r="U816" s="1299"/>
      <c r="V816" s="1299"/>
      <c r="W816" s="1299"/>
      <c r="X816" s="1302"/>
      <c r="Y816" s="1295"/>
      <c r="Z816" s="1292"/>
      <c r="AA816" s="1292"/>
      <c r="AB816" s="1293"/>
      <c r="AC816" s="1544"/>
      <c r="AD816" s="1544"/>
      <c r="AE816" s="1544"/>
      <c r="AF816" s="1544"/>
      <c r="AI816" s="3056" t="str">
        <f>"52:ninticare_code:" &amp; IF(I816="■",1,IF(L816="■",2,0))</f>
        <v>52:ninticare_code:0</v>
      </c>
    </row>
    <row r="817" spans="1:36" s="3056" customFormat="1" ht="18.75" customHeight="1">
      <c r="A817" s="735"/>
      <c r="B817" s="1407"/>
      <c r="C817" s="1287"/>
      <c r="D817" s="1288"/>
      <c r="E817" s="1275"/>
      <c r="F817" s="1289"/>
      <c r="G817" s="1275"/>
      <c r="H817" s="1311" t="s">
        <v>1251</v>
      </c>
      <c r="I817" s="3063" t="s">
        <v>121</v>
      </c>
      <c r="J817" s="1296" t="s">
        <v>1230</v>
      </c>
      <c r="K817" s="1309"/>
      <c r="L817" s="3062" t="s">
        <v>121</v>
      </c>
      <c r="M817" s="1296" t="s">
        <v>1248</v>
      </c>
      <c r="N817" s="1299"/>
      <c r="O817" s="1299"/>
      <c r="P817" s="1299"/>
      <c r="Q817" s="1299"/>
      <c r="R817" s="1299"/>
      <c r="S817" s="1299"/>
      <c r="T817" s="1299"/>
      <c r="U817" s="1299"/>
      <c r="V817" s="1299"/>
      <c r="W817" s="1299"/>
      <c r="X817" s="1302"/>
      <c r="Y817" s="1295"/>
      <c r="Z817" s="1292"/>
      <c r="AA817" s="1292"/>
      <c r="AB817" s="1293"/>
      <c r="AC817" s="1544"/>
      <c r="AD817" s="1544"/>
      <c r="AE817" s="1544"/>
      <c r="AF817" s="1544"/>
      <c r="AI817" s="3056" t="str">
        <f>"52:jyakuninti_uke_code:" &amp; IF(I817="■",1,IF(L817="■",2,0))</f>
        <v>52:jyakuninti_uke_code:0</v>
      </c>
    </row>
    <row r="818" spans="1:36" s="3056" customFormat="1" ht="18.75" customHeight="1">
      <c r="A818" s="735"/>
      <c r="B818" s="1407"/>
      <c r="C818" s="1287"/>
      <c r="D818" s="1288"/>
      <c r="E818" s="1275"/>
      <c r="F818" s="1289"/>
      <c r="G818" s="1275"/>
      <c r="H818" s="1409" t="s">
        <v>144</v>
      </c>
      <c r="I818" s="3063" t="s">
        <v>121</v>
      </c>
      <c r="J818" s="1296" t="s">
        <v>1230</v>
      </c>
      <c r="K818" s="1309"/>
      <c r="L818" s="3062" t="s">
        <v>121</v>
      </c>
      <c r="M818" s="1296" t="s">
        <v>1248</v>
      </c>
      <c r="N818" s="1299"/>
      <c r="O818" s="1299"/>
      <c r="P818" s="1299"/>
      <c r="Q818" s="1299"/>
      <c r="R818" s="1299"/>
      <c r="S818" s="1299"/>
      <c r="T818" s="1299"/>
      <c r="U818" s="1299"/>
      <c r="V818" s="1299"/>
      <c r="W818" s="1299"/>
      <c r="X818" s="1302"/>
      <c r="Y818" s="1295"/>
      <c r="Z818" s="1292"/>
      <c r="AA818" s="1292"/>
      <c r="AB818" s="1293"/>
      <c r="AC818" s="1544"/>
      <c r="AD818" s="1544"/>
      <c r="AE818" s="1544"/>
      <c r="AF818" s="1544"/>
      <c r="AI818" s="3056" t="str">
        <f>"52:terminal_code:" &amp; IF(I818="■",1,IF(L818="■",2,0))</f>
        <v>52:terminal_code:0</v>
      </c>
    </row>
    <row r="819" spans="1:36" s="3056" customFormat="1" ht="18.75" customHeight="1">
      <c r="A819" s="735"/>
      <c r="B819" s="1407"/>
      <c r="C819" s="1287"/>
      <c r="D819" s="1288"/>
      <c r="E819" s="1275"/>
      <c r="F819" s="1289"/>
      <c r="G819" s="1275"/>
      <c r="H819" s="1409" t="s">
        <v>755</v>
      </c>
      <c r="I819" s="3063" t="s">
        <v>121</v>
      </c>
      <c r="J819" s="1296" t="s">
        <v>1230</v>
      </c>
      <c r="K819" s="1309"/>
      <c r="L819" s="3062" t="s">
        <v>121</v>
      </c>
      <c r="M819" s="1296" t="s">
        <v>1248</v>
      </c>
      <c r="N819" s="1299"/>
      <c r="O819" s="1299"/>
      <c r="P819" s="1299"/>
      <c r="Q819" s="1299"/>
      <c r="R819" s="1299"/>
      <c r="S819" s="1299"/>
      <c r="T819" s="1299"/>
      <c r="U819" s="1299"/>
      <c r="V819" s="1299"/>
      <c r="W819" s="1299"/>
      <c r="X819" s="1302"/>
      <c r="Y819" s="1295"/>
      <c r="Z819" s="1292"/>
      <c r="AA819" s="1292"/>
      <c r="AB819" s="1293"/>
      <c r="AC819" s="1544"/>
      <c r="AD819" s="1544"/>
      <c r="AE819" s="1544"/>
      <c r="AF819" s="1544"/>
      <c r="AI819" s="3056" t="str">
        <f>"52:field207:" &amp; IF(I819="■",1,IF(L819="■",2,0))</f>
        <v>52:field207:0</v>
      </c>
    </row>
    <row r="820" spans="1:36" s="3056" customFormat="1" ht="18.75" customHeight="1">
      <c r="A820" s="735"/>
      <c r="B820" s="1407"/>
      <c r="C820" s="1287"/>
      <c r="D820" s="1288"/>
      <c r="E820" s="1275"/>
      <c r="F820" s="1289"/>
      <c r="G820" s="1275"/>
      <c r="H820" s="1409" t="s">
        <v>145</v>
      </c>
      <c r="I820" s="3063" t="s">
        <v>121</v>
      </c>
      <c r="J820" s="1296" t="s">
        <v>1230</v>
      </c>
      <c r="K820" s="1309"/>
      <c r="L820" s="3062" t="s">
        <v>121</v>
      </c>
      <c r="M820" s="1296" t="s">
        <v>1248</v>
      </c>
      <c r="N820" s="1299"/>
      <c r="O820" s="1299"/>
      <c r="P820" s="1299"/>
      <c r="Q820" s="1299"/>
      <c r="R820" s="1299"/>
      <c r="S820" s="1299"/>
      <c r="T820" s="1299"/>
      <c r="U820" s="1299"/>
      <c r="V820" s="1299"/>
      <c r="W820" s="1299"/>
      <c r="X820" s="1302"/>
      <c r="Y820" s="1295"/>
      <c r="Z820" s="1292"/>
      <c r="AA820" s="1292"/>
      <c r="AB820" s="1293"/>
      <c r="AC820" s="1544"/>
      <c r="AD820" s="1544"/>
      <c r="AE820" s="1544"/>
      <c r="AF820" s="1544"/>
      <c r="AI820" s="3056" t="str">
        <f>"52:ryouyoushoku_code:" &amp; IF(I820="■",1,IF(L820="■",2,0))</f>
        <v>52:ryouyoushoku_code:0</v>
      </c>
    </row>
    <row r="821" spans="1:36" s="3056" customFormat="1" ht="18.75" customHeight="1">
      <c r="A821" s="735"/>
      <c r="B821" s="1407"/>
      <c r="C821" s="1287"/>
      <c r="D821" s="1288"/>
      <c r="E821" s="1275"/>
      <c r="F821" s="1289"/>
      <c r="G821" s="1275"/>
      <c r="H821" s="1409" t="s">
        <v>1260</v>
      </c>
      <c r="I821" s="3066" t="s">
        <v>121</v>
      </c>
      <c r="J821" s="1298" t="s">
        <v>1230</v>
      </c>
      <c r="K821" s="1298"/>
      <c r="L821" s="3065" t="s">
        <v>121</v>
      </c>
      <c r="M821" s="1298" t="s">
        <v>1256</v>
      </c>
      <c r="N821" s="1298"/>
      <c r="O821" s="3065" t="s">
        <v>121</v>
      </c>
      <c r="P821" s="1298" t="s">
        <v>1257</v>
      </c>
      <c r="Q821" s="1307"/>
      <c r="R821" s="1299"/>
      <c r="S821" s="1299"/>
      <c r="T821" s="1299"/>
      <c r="U821" s="1299"/>
      <c r="V821" s="1299"/>
      <c r="W821" s="1299"/>
      <c r="X821" s="1302"/>
      <c r="Y821" s="1295"/>
      <c r="Z821" s="1292"/>
      <c r="AA821" s="1292"/>
      <c r="AB821" s="1293"/>
      <c r="AC821" s="1544"/>
      <c r="AD821" s="1544"/>
      <c r="AE821" s="1544"/>
      <c r="AF821" s="1544"/>
      <c r="AI821" s="3056" t="str">
        <f>"52:ninti_senmoncare_code:" &amp; IF(I821="■",1,IF(O821="■",3,IF(L821="■",2,0)))</f>
        <v>52:ninti_senmoncare_code:0</v>
      </c>
    </row>
    <row r="822" spans="1:36" s="3056" customFormat="1" ht="18.75" customHeight="1">
      <c r="A822" s="735"/>
      <c r="B822" s="1407"/>
      <c r="C822" s="1287"/>
      <c r="D822" s="1288"/>
      <c r="E822" s="1275"/>
      <c r="F822" s="1289"/>
      <c r="G822" s="1275"/>
      <c r="H822" s="1409" t="s">
        <v>1261</v>
      </c>
      <c r="I822" s="3066" t="s">
        <v>121</v>
      </c>
      <c r="J822" s="1298" t="s">
        <v>1230</v>
      </c>
      <c r="K822" s="1298"/>
      <c r="L822" s="3065" t="s">
        <v>121</v>
      </c>
      <c r="M822" s="1298" t="s">
        <v>1256</v>
      </c>
      <c r="N822" s="1298"/>
      <c r="O822" s="3065" t="s">
        <v>121</v>
      </c>
      <c r="P822" s="1298" t="s">
        <v>1257</v>
      </c>
      <c r="Q822" s="1299"/>
      <c r="R822" s="1299"/>
      <c r="S822" s="1299"/>
      <c r="T822" s="1299"/>
      <c r="U822" s="1299"/>
      <c r="V822" s="1299"/>
      <c r="W822" s="1299"/>
      <c r="X822" s="1302"/>
      <c r="Y822" s="1295"/>
      <c r="Z822" s="1292"/>
      <c r="AA822" s="1292"/>
      <c r="AB822" s="1293"/>
      <c r="AC822" s="1544"/>
      <c r="AD822" s="1544"/>
      <c r="AE822" s="1544"/>
      <c r="AF822" s="1544"/>
      <c r="AI822" s="3056" t="str">
        <f>"52:field228:" &amp; IF(I822="■",1,IF(L822="■",2,IF(O822="■",3,0)))</f>
        <v>52:field228:0</v>
      </c>
    </row>
    <row r="823" spans="1:36" s="3056" customFormat="1" ht="18.75" customHeight="1">
      <c r="A823" s="735"/>
      <c r="B823" s="1407"/>
      <c r="C823" s="1287"/>
      <c r="D823" s="1288"/>
      <c r="E823" s="1275"/>
      <c r="F823" s="1289"/>
      <c r="G823" s="1275"/>
      <c r="H823" s="1409" t="s">
        <v>1288</v>
      </c>
      <c r="I823" s="3066" t="s">
        <v>121</v>
      </c>
      <c r="J823" s="1298" t="s">
        <v>1230</v>
      </c>
      <c r="K823" s="1298"/>
      <c r="L823" s="3065" t="s">
        <v>121</v>
      </c>
      <c r="M823" s="1296" t="s">
        <v>1248</v>
      </c>
      <c r="N823" s="1298"/>
      <c r="O823" s="1298"/>
      <c r="P823" s="1298"/>
      <c r="Q823" s="1299"/>
      <c r="R823" s="1299"/>
      <c r="S823" s="1299"/>
      <c r="T823" s="1299"/>
      <c r="U823" s="1299"/>
      <c r="V823" s="1299"/>
      <c r="W823" s="1299"/>
      <c r="X823" s="1302"/>
      <c r="Y823" s="1295"/>
      <c r="Z823" s="1292"/>
      <c r="AA823" s="1292"/>
      <c r="AB823" s="1293"/>
      <c r="AC823" s="1544"/>
      <c r="AD823" s="1544"/>
      <c r="AE823" s="1544"/>
      <c r="AF823" s="1544"/>
      <c r="AI823" s="3056" t="str">
        <f>"52:field226:" &amp; IF(I823="■",1,IF(L823="■",2,0))</f>
        <v>52:field226:0</v>
      </c>
    </row>
    <row r="824" spans="1:36" s="3056" customFormat="1" ht="18.75" customHeight="1">
      <c r="A824" s="735"/>
      <c r="B824" s="1407"/>
      <c r="C824" s="1287"/>
      <c r="D824" s="1288"/>
      <c r="E824" s="1275"/>
      <c r="F824" s="1289"/>
      <c r="G824" s="1275"/>
      <c r="H824" s="1409" t="s">
        <v>1289</v>
      </c>
      <c r="I824" s="3066" t="s">
        <v>121</v>
      </c>
      <c r="J824" s="1298" t="s">
        <v>1230</v>
      </c>
      <c r="K824" s="1298"/>
      <c r="L824" s="3065" t="s">
        <v>121</v>
      </c>
      <c r="M824" s="1296" t="s">
        <v>1248</v>
      </c>
      <c r="N824" s="1298"/>
      <c r="O824" s="1298"/>
      <c r="P824" s="1298"/>
      <c r="Q824" s="1299"/>
      <c r="R824" s="1299"/>
      <c r="S824" s="1299"/>
      <c r="T824" s="1299"/>
      <c r="U824" s="1299"/>
      <c r="V824" s="1299"/>
      <c r="W824" s="1299"/>
      <c r="X824" s="1302"/>
      <c r="Y824" s="1295"/>
      <c r="Z824" s="1292"/>
      <c r="AA824" s="1292"/>
      <c r="AB824" s="1293"/>
      <c r="AC824" s="1544"/>
      <c r="AD824" s="1544"/>
      <c r="AE824" s="1544"/>
      <c r="AF824" s="1544"/>
      <c r="AI824" s="3056" t="str">
        <f>"52:field227:" &amp; IF(I824="■",1,IF(L824="■",2,0))</f>
        <v>52:field227:0</v>
      </c>
    </row>
    <row r="825" spans="1:36" s="3056" customFormat="1" ht="18.75" customHeight="1">
      <c r="A825" s="735"/>
      <c r="B825" s="1407"/>
      <c r="C825" s="1287"/>
      <c r="D825" s="1288"/>
      <c r="E825" s="1275"/>
      <c r="F825" s="1289"/>
      <c r="G825" s="1275"/>
      <c r="H825" s="1313" t="s">
        <v>1265</v>
      </c>
      <c r="I825" s="3066" t="s">
        <v>121</v>
      </c>
      <c r="J825" s="1298" t="s">
        <v>1230</v>
      </c>
      <c r="K825" s="1298"/>
      <c r="L825" s="3065" t="s">
        <v>121</v>
      </c>
      <c r="M825" s="1298" t="s">
        <v>1256</v>
      </c>
      <c r="N825" s="1298"/>
      <c r="O825" s="3065" t="s">
        <v>121</v>
      </c>
      <c r="P825" s="1298" t="s">
        <v>1257</v>
      </c>
      <c r="Q825" s="1307"/>
      <c r="R825" s="1307"/>
      <c r="S825" s="1307"/>
      <c r="T825" s="1307"/>
      <c r="U825" s="1314"/>
      <c r="V825" s="1314"/>
      <c r="W825" s="1314"/>
      <c r="X825" s="1315"/>
      <c r="Y825" s="1295"/>
      <c r="Z825" s="1292"/>
      <c r="AA825" s="1292"/>
      <c r="AB825" s="1293"/>
      <c r="AC825" s="1544"/>
      <c r="AD825" s="1544"/>
      <c r="AE825" s="1544"/>
      <c r="AF825" s="1544"/>
      <c r="AI825" s="3056" t="str">
        <f>"52:field225:" &amp; IF(I825="■",1,IF(L825="■",2,IF(O825="■",3,0)))</f>
        <v>52:field225:0</v>
      </c>
    </row>
    <row r="826" spans="1:36" s="3056" customFormat="1" ht="18.75" customHeight="1">
      <c r="A826" s="735"/>
      <c r="B826" s="1407"/>
      <c r="C826" s="1287"/>
      <c r="D826" s="1288"/>
      <c r="E826" s="1275"/>
      <c r="F826" s="1289"/>
      <c r="G826" s="1275"/>
      <c r="H826" s="1409" t="s">
        <v>1266</v>
      </c>
      <c r="I826" s="3066" t="s">
        <v>121</v>
      </c>
      <c r="J826" s="1298" t="s">
        <v>1230</v>
      </c>
      <c r="K826" s="1298"/>
      <c r="L826" s="3065" t="s">
        <v>121</v>
      </c>
      <c r="M826" s="1298" t="s">
        <v>1267</v>
      </c>
      <c r="N826" s="1298"/>
      <c r="O826" s="3065" t="s">
        <v>121</v>
      </c>
      <c r="P826" s="1298" t="s">
        <v>1268</v>
      </c>
      <c r="Q826" s="1326"/>
      <c r="R826" s="3065" t="s">
        <v>121</v>
      </c>
      <c r="S826" s="1298" t="s">
        <v>1269</v>
      </c>
      <c r="T826" s="1298"/>
      <c r="U826" s="1298"/>
      <c r="V826" s="1298"/>
      <c r="W826" s="1298"/>
      <c r="X826" s="1310"/>
      <c r="Y826" s="1295"/>
      <c r="Z826" s="1292"/>
      <c r="AA826" s="1292"/>
      <c r="AB826" s="1293"/>
      <c r="AC826" s="1544"/>
      <c r="AD826" s="1544"/>
      <c r="AE826" s="1544"/>
      <c r="AF826" s="1544"/>
      <c r="AI826" s="3056" t="str">
        <f>"52:serteikyo_kyoka_code:" &amp; IF(I826="■",1,IF(L826="■",6,IF(O826="■",5,IF(R826="■",7,0))))</f>
        <v>52:serteikyo_kyoka_code:0</v>
      </c>
    </row>
    <row r="827" spans="1:36" s="3056" customFormat="1" ht="18.75" customHeight="1">
      <c r="A827" s="736"/>
      <c r="B827" s="1316"/>
      <c r="C827" s="1346"/>
      <c r="D827" s="1348"/>
      <c r="E827" s="1317"/>
      <c r="F827" s="1318"/>
      <c r="G827" s="1361"/>
      <c r="H827" s="3134" t="s">
        <v>2288</v>
      </c>
      <c r="I827" s="3060" t="s">
        <v>121</v>
      </c>
      <c r="J827" s="3130" t="s">
        <v>1230</v>
      </c>
      <c r="K827" s="3130"/>
      <c r="L827" s="3059" t="s">
        <v>121</v>
      </c>
      <c r="M827" s="3130" t="s">
        <v>2287</v>
      </c>
      <c r="N827" s="3133"/>
      <c r="O827" s="3059" t="s">
        <v>121</v>
      </c>
      <c r="P827" s="3132" t="s">
        <v>2286</v>
      </c>
      <c r="Q827" s="3131"/>
      <c r="R827" s="3059" t="s">
        <v>121</v>
      </c>
      <c r="S827" s="3130" t="s">
        <v>2285</v>
      </c>
      <c r="T827" s="3131"/>
      <c r="U827" s="3059" t="s">
        <v>121</v>
      </c>
      <c r="V827" s="3130" t="s">
        <v>2284</v>
      </c>
      <c r="W827" s="3129"/>
      <c r="X827" s="3128"/>
      <c r="Y827" s="1323"/>
      <c r="Z827" s="1323"/>
      <c r="AA827" s="1323"/>
      <c r="AB827" s="1324"/>
      <c r="AC827" s="1558"/>
      <c r="AD827" s="1558"/>
      <c r="AE827" s="1558"/>
      <c r="AF827" s="1558"/>
      <c r="AI827" s="3056" t="str">
        <f>"52:shoguukaizen_code:"&amp;IF(I827="■",1,IF(L827="■",7,IF(O827="■",8,IF(R827="■",9,IF(U827="■","A",0)))))</f>
        <v>52:shoguukaizen_code:0</v>
      </c>
    </row>
    <row r="828" spans="1:36" s="3056" customFormat="1" ht="18.75" hidden="1" customHeight="1">
      <c r="A828" s="1276"/>
      <c r="B828" s="1405"/>
      <c r="C828" s="1277"/>
      <c r="D828" s="1278"/>
      <c r="E828" s="1272"/>
      <c r="F828" s="1279"/>
      <c r="G828" s="1272"/>
      <c r="H828" s="1545" t="s">
        <v>1226</v>
      </c>
      <c r="I828" s="3119" t="s">
        <v>121</v>
      </c>
      <c r="J828" s="1270" t="s">
        <v>1227</v>
      </c>
      <c r="K828" s="3139"/>
      <c r="L828" s="1334"/>
      <c r="M828" s="3138" t="s">
        <v>121</v>
      </c>
      <c r="N828" s="1270" t="s">
        <v>2306</v>
      </c>
      <c r="O828" s="1334"/>
      <c r="P828" s="1334"/>
      <c r="Q828" s="3138" t="s">
        <v>121</v>
      </c>
      <c r="R828" s="1270" t="s">
        <v>2305</v>
      </c>
      <c r="S828" s="1334"/>
      <c r="T828" s="1334"/>
      <c r="U828" s="3138" t="s">
        <v>121</v>
      </c>
      <c r="V828" s="1270" t="s">
        <v>2304</v>
      </c>
      <c r="W828" s="1334"/>
      <c r="X828" s="1336"/>
      <c r="Y828" s="3119" t="s">
        <v>121</v>
      </c>
      <c r="Z828" s="1270" t="s">
        <v>1229</v>
      </c>
      <c r="AA828" s="1270"/>
      <c r="AB828" s="1286"/>
      <c r="AC828" s="1530"/>
      <c r="AD828" s="1531"/>
      <c r="AE828" s="1531"/>
      <c r="AF828" s="1532"/>
      <c r="AG828" s="3056" t="str">
        <f>"ser_code = '" &amp; IF(A844="■",55,"") &amp; "'"</f>
        <v>ser_code = ''</v>
      </c>
      <c r="AH828" s="3056" t="str">
        <f>"55:jininkbn_code:" &amp; IF(F843="■",1,IF(F844="■",2,IF(F845="■",3,0)))</f>
        <v>55:jininkbn_code:0</v>
      </c>
      <c r="AI828" s="3056" t="str">
        <f>"55:yakan_kinmu_code:" &amp; IF(I828="■",1,IF(M828="■",2,IF(Q828="■",3,IF(U828="■",7,IF(I829="■",5,IF(M829="■",6,0))))))</f>
        <v>55:yakan_kinmu_code:0</v>
      </c>
      <c r="AJ828" s="3056" t="str">
        <f>"55:field203:" &amp; IF(Y828="■",1,IF(Y829="■",2,0))</f>
        <v>55:field203:0</v>
      </c>
    </row>
    <row r="829" spans="1:36" s="3056" customFormat="1" ht="18.75" hidden="1" customHeight="1">
      <c r="A829" s="735"/>
      <c r="B829" s="1407"/>
      <c r="C829" s="1287"/>
      <c r="D829" s="1288"/>
      <c r="E829" s="1275"/>
      <c r="F829" s="1289"/>
      <c r="G829" s="1275"/>
      <c r="H829" s="1542"/>
      <c r="I829" s="3063" t="s">
        <v>121</v>
      </c>
      <c r="J829" s="1296" t="s">
        <v>2303</v>
      </c>
      <c r="K829" s="1309"/>
      <c r="L829" s="1403"/>
      <c r="M829" s="3062" t="s">
        <v>121</v>
      </c>
      <c r="N829" s="1296" t="s">
        <v>1228</v>
      </c>
      <c r="O829" s="1403"/>
      <c r="P829" s="1403"/>
      <c r="Q829" s="1403"/>
      <c r="R829" s="1403"/>
      <c r="S829" s="1403"/>
      <c r="T829" s="1403"/>
      <c r="U829" s="1403"/>
      <c r="V829" s="1403"/>
      <c r="W829" s="1403"/>
      <c r="X829" s="1297"/>
      <c r="Y829" s="3069" t="s">
        <v>121</v>
      </c>
      <c r="Z829" s="1273" t="s">
        <v>1234</v>
      </c>
      <c r="AA829" s="1292"/>
      <c r="AB829" s="1293"/>
      <c r="AC829" s="1533"/>
      <c r="AD829" s="1534"/>
      <c r="AE829" s="1534"/>
      <c r="AF829" s="1535"/>
      <c r="AG829" s="3056" t="str">
        <f>"55:sisetukbn_code:" &amp; IF(D844="■",1,0)</f>
        <v>55:sisetukbn_code:0</v>
      </c>
    </row>
    <row r="830" spans="1:36" s="3056" customFormat="1" ht="18.75" hidden="1" customHeight="1">
      <c r="A830" s="735"/>
      <c r="B830" s="1407"/>
      <c r="C830" s="1287"/>
      <c r="D830" s="1288"/>
      <c r="E830" s="1275"/>
      <c r="F830" s="1289"/>
      <c r="G830" s="1275"/>
      <c r="H830" s="1541" t="s">
        <v>90</v>
      </c>
      <c r="I830" s="3137" t="s">
        <v>121</v>
      </c>
      <c r="J830" s="1290" t="s">
        <v>1230</v>
      </c>
      <c r="K830" s="1290"/>
      <c r="L830" s="1402"/>
      <c r="M830" s="3136" t="s">
        <v>121</v>
      </c>
      <c r="N830" s="1290" t="s">
        <v>1231</v>
      </c>
      <c r="O830" s="1290"/>
      <c r="P830" s="1402"/>
      <c r="Q830" s="3136" t="s">
        <v>121</v>
      </c>
      <c r="R830" s="1402" t="s">
        <v>2302</v>
      </c>
      <c r="S830" s="1402"/>
      <c r="T830" s="1402"/>
      <c r="U830" s="3136" t="s">
        <v>121</v>
      </c>
      <c r="V830" s="1402" t="s">
        <v>2301</v>
      </c>
      <c r="W830" s="1314"/>
      <c r="X830" s="1315"/>
      <c r="Y830" s="1295"/>
      <c r="Z830" s="1292"/>
      <c r="AA830" s="1292"/>
      <c r="AB830" s="1293"/>
      <c r="AC830" s="1533"/>
      <c r="AD830" s="1534"/>
      <c r="AE830" s="1534"/>
      <c r="AF830" s="1535"/>
      <c r="AI830" s="3056" t="str">
        <f>"55:"&amp;IF(AND(I830="□",M830="□",Q830="□",U830="□",I831="□",M831="□"),"ketu_doctor_code:0",IF(I830="■","ketu_doctor_code:1:field197:1:ketu_kangos_code:1:ketu_kshoku_code:1:ketu_ksiensou_code:1",IF(M830="■","ketu_doctor_code:2","ketu_doctor_code:1")
&amp;IF(Q830="■",":field197:2",":field197:1")
&amp;IF(U830="■",":ketu_kangos_code:2",":ketu_kangos_code:1")
&amp;IF(I831="■",":ketu_kshoku_code:2",":ketu_kshoku_code:1")
&amp;IF(M831="■",":ketu_ksiensou_code:2",":ketu_ksiensou_code:1")))</f>
        <v>55:ketu_doctor_code:0</v>
      </c>
    </row>
    <row r="831" spans="1:36" s="3056" customFormat="1" ht="18.75" hidden="1" customHeight="1">
      <c r="A831" s="735"/>
      <c r="B831" s="1407"/>
      <c r="C831" s="1287"/>
      <c r="D831" s="1288"/>
      <c r="E831" s="1275"/>
      <c r="F831" s="1289"/>
      <c r="G831" s="1275"/>
      <c r="H831" s="1542"/>
      <c r="I831" s="3063" t="s">
        <v>121</v>
      </c>
      <c r="J831" s="1403" t="s">
        <v>2300</v>
      </c>
      <c r="K831" s="1296"/>
      <c r="L831" s="1403"/>
      <c r="M831" s="3062" t="s">
        <v>121</v>
      </c>
      <c r="N831" s="1296" t="s">
        <v>2299</v>
      </c>
      <c r="O831" s="1296"/>
      <c r="P831" s="1403"/>
      <c r="Q831" s="1403"/>
      <c r="R831" s="1403"/>
      <c r="S831" s="1403"/>
      <c r="T831" s="1403"/>
      <c r="U831" s="1403"/>
      <c r="V831" s="1403"/>
      <c r="W831" s="1330"/>
      <c r="X831" s="1356"/>
      <c r="Y831" s="1295"/>
      <c r="Z831" s="1292"/>
      <c r="AA831" s="1292"/>
      <c r="AB831" s="1293"/>
      <c r="AC831" s="1533"/>
      <c r="AD831" s="1534"/>
      <c r="AE831" s="1534"/>
      <c r="AF831" s="1535"/>
    </row>
    <row r="832" spans="1:36" s="3056" customFormat="1" ht="18.75" hidden="1" customHeight="1">
      <c r="A832" s="735"/>
      <c r="B832" s="1407"/>
      <c r="C832" s="1287"/>
      <c r="D832" s="1288"/>
      <c r="E832" s="1275"/>
      <c r="F832" s="1289"/>
      <c r="G832" s="1275"/>
      <c r="H832" s="1409" t="s">
        <v>1241</v>
      </c>
      <c r="I832" s="3066" t="s">
        <v>121</v>
      </c>
      <c r="J832" s="1298" t="s">
        <v>1242</v>
      </c>
      <c r="K832" s="1299"/>
      <c r="L832" s="1300"/>
      <c r="M832" s="3065" t="s">
        <v>121</v>
      </c>
      <c r="N832" s="1298" t="s">
        <v>1243</v>
      </c>
      <c r="O832" s="1307"/>
      <c r="P832" s="1307"/>
      <c r="Q832" s="1307"/>
      <c r="R832" s="1307"/>
      <c r="S832" s="1307"/>
      <c r="T832" s="1307"/>
      <c r="U832" s="1307"/>
      <c r="V832" s="1307"/>
      <c r="W832" s="1307"/>
      <c r="X832" s="1308"/>
      <c r="Y832" s="1295"/>
      <c r="Z832" s="1292"/>
      <c r="AA832" s="1292"/>
      <c r="AB832" s="1293"/>
      <c r="AC832" s="1533"/>
      <c r="AD832" s="1534"/>
      <c r="AE832" s="1534"/>
      <c r="AF832" s="1535"/>
      <c r="AI832" s="3056" t="str">
        <f>"55:sintaikousoku_code:" &amp; IF(I832="■",1,IF(M832="■",2,0))</f>
        <v>55:sintaikousoku_code:0</v>
      </c>
    </row>
    <row r="833" spans="1:35" s="3056" customFormat="1" ht="18.75" hidden="1" customHeight="1">
      <c r="A833" s="735"/>
      <c r="B833" s="1407"/>
      <c r="C833" s="1287"/>
      <c r="D833" s="1288"/>
      <c r="E833" s="1275"/>
      <c r="F833" s="1289"/>
      <c r="G833" s="1275"/>
      <c r="H833" s="1409" t="s">
        <v>753</v>
      </c>
      <c r="I833" s="3066" t="s">
        <v>121</v>
      </c>
      <c r="J833" s="1298" t="s">
        <v>1242</v>
      </c>
      <c r="K833" s="1299"/>
      <c r="L833" s="1300"/>
      <c r="M833" s="3065" t="s">
        <v>121</v>
      </c>
      <c r="N833" s="1298" t="s">
        <v>1243</v>
      </c>
      <c r="O833" s="1307"/>
      <c r="P833" s="1307"/>
      <c r="Q833" s="1307"/>
      <c r="R833" s="1307"/>
      <c r="S833" s="1307"/>
      <c r="T833" s="1307"/>
      <c r="U833" s="1307"/>
      <c r="V833" s="1307"/>
      <c r="W833" s="1307"/>
      <c r="X833" s="1308"/>
      <c r="Y833" s="1295"/>
      <c r="Z833" s="1292"/>
      <c r="AA833" s="1292"/>
      <c r="AB833" s="1293"/>
      <c r="AC833" s="1533"/>
      <c r="AD833" s="1534"/>
      <c r="AE833" s="1534"/>
      <c r="AF833" s="1535"/>
      <c r="AI833" s="3056" t="str">
        <f>"55:field208:" &amp; IF(I833="■",1,IF(M833="■",2,0))</f>
        <v>55:field208:0</v>
      </c>
    </row>
    <row r="834" spans="1:35" s="3056" customFormat="1" ht="19.5" hidden="1" customHeight="1">
      <c r="A834" s="735"/>
      <c r="B834" s="1407"/>
      <c r="C834" s="1303"/>
      <c r="D834" s="1304"/>
      <c r="E834" s="1275"/>
      <c r="F834" s="1289"/>
      <c r="G834" s="1305"/>
      <c r="H834" s="1306" t="s">
        <v>1244</v>
      </c>
      <c r="I834" s="3066" t="s">
        <v>121</v>
      </c>
      <c r="J834" s="1298" t="s">
        <v>1242</v>
      </c>
      <c r="K834" s="1299"/>
      <c r="L834" s="1300"/>
      <c r="M834" s="3065" t="s">
        <v>121</v>
      </c>
      <c r="N834" s="1298" t="s">
        <v>1245</v>
      </c>
      <c r="O834" s="1301"/>
      <c r="P834" s="1298"/>
      <c r="Q834" s="1307"/>
      <c r="R834" s="1307"/>
      <c r="S834" s="1307"/>
      <c r="T834" s="1307"/>
      <c r="U834" s="1307"/>
      <c r="V834" s="1307"/>
      <c r="W834" s="1307"/>
      <c r="X834" s="1308"/>
      <c r="Y834" s="1292"/>
      <c r="Z834" s="1292"/>
      <c r="AA834" s="1292"/>
      <c r="AB834" s="1293"/>
      <c r="AC834" s="1533"/>
      <c r="AD834" s="1534"/>
      <c r="AE834" s="1534"/>
      <c r="AF834" s="1535"/>
      <c r="AI834" s="3056" t="str">
        <f>"55:field223:" &amp; IF(I834="■",1,IF(M834="■",2,0))</f>
        <v>55:field223:0</v>
      </c>
    </row>
    <row r="835" spans="1:35" s="3056" customFormat="1" ht="19.5" hidden="1" customHeight="1">
      <c r="A835" s="735"/>
      <c r="B835" s="1407"/>
      <c r="C835" s="1303"/>
      <c r="D835" s="1304"/>
      <c r="E835" s="1275"/>
      <c r="F835" s="1289"/>
      <c r="G835" s="1305"/>
      <c r="H835" s="1306" t="s">
        <v>1246</v>
      </c>
      <c r="I835" s="3066" t="s">
        <v>121</v>
      </c>
      <c r="J835" s="1298" t="s">
        <v>1242</v>
      </c>
      <c r="K835" s="1299"/>
      <c r="L835" s="1300"/>
      <c r="M835" s="3065" t="s">
        <v>121</v>
      </c>
      <c r="N835" s="1298" t="s">
        <v>1245</v>
      </c>
      <c r="O835" s="1301"/>
      <c r="P835" s="1298"/>
      <c r="Q835" s="1307"/>
      <c r="R835" s="1307"/>
      <c r="S835" s="1307"/>
      <c r="T835" s="1307"/>
      <c r="U835" s="1307"/>
      <c r="V835" s="1307"/>
      <c r="W835" s="1307"/>
      <c r="X835" s="1308"/>
      <c r="Y835" s="1292"/>
      <c r="Z835" s="1292"/>
      <c r="AA835" s="1292"/>
      <c r="AB835" s="1293"/>
      <c r="AC835" s="1533"/>
      <c r="AD835" s="1534"/>
      <c r="AE835" s="1534"/>
      <c r="AF835" s="1535"/>
      <c r="AI835" s="3056" t="str">
        <f>"55:field232:" &amp; IF(I835="■",1,IF(M835="■",2,0))</f>
        <v>55:field232:0</v>
      </c>
    </row>
    <row r="836" spans="1:35" s="3056" customFormat="1" ht="18.75" hidden="1" customHeight="1">
      <c r="A836" s="735"/>
      <c r="B836" s="1407"/>
      <c r="C836" s="1287"/>
      <c r="D836" s="1288"/>
      <c r="E836" s="1275"/>
      <c r="F836" s="1289"/>
      <c r="G836" s="1275"/>
      <c r="H836" s="1539" t="s">
        <v>1247</v>
      </c>
      <c r="I836" s="3115" t="s">
        <v>121</v>
      </c>
      <c r="J836" s="1528" t="s">
        <v>1230</v>
      </c>
      <c r="K836" s="1528"/>
      <c r="L836" s="3135" t="s">
        <v>121</v>
      </c>
      <c r="M836" s="1528" t="s">
        <v>1248</v>
      </c>
      <c r="N836" s="1528"/>
      <c r="O836" s="1402"/>
      <c r="P836" s="1402"/>
      <c r="Q836" s="1402"/>
      <c r="R836" s="1402"/>
      <c r="S836" s="1402"/>
      <c r="T836" s="1402"/>
      <c r="U836" s="1402"/>
      <c r="V836" s="1402"/>
      <c r="W836" s="1402"/>
      <c r="X836" s="1291"/>
      <c r="Y836" s="1295"/>
      <c r="Z836" s="1292"/>
      <c r="AA836" s="1292"/>
      <c r="AB836" s="1293"/>
      <c r="AC836" s="1533"/>
      <c r="AD836" s="1534"/>
      <c r="AE836" s="1534"/>
      <c r="AF836" s="1535"/>
      <c r="AI836" s="3056" t="str">
        <f>"55:field206:" &amp; IF(I836="■",1,IF(L836="■",2,0))</f>
        <v>55:field206:0</v>
      </c>
    </row>
    <row r="837" spans="1:35" s="3056" customFormat="1" ht="18.75" hidden="1" customHeight="1">
      <c r="A837" s="735"/>
      <c r="B837" s="1407"/>
      <c r="C837" s="1287"/>
      <c r="D837" s="1288"/>
      <c r="E837" s="1275"/>
      <c r="F837" s="1289"/>
      <c r="G837" s="1275"/>
      <c r="H837" s="1540"/>
      <c r="I837" s="3081"/>
      <c r="J837" s="1529"/>
      <c r="K837" s="1529"/>
      <c r="L837" s="3080"/>
      <c r="M837" s="1529"/>
      <c r="N837" s="1529"/>
      <c r="O837" s="1403"/>
      <c r="P837" s="1403"/>
      <c r="Q837" s="1403"/>
      <c r="R837" s="1403"/>
      <c r="S837" s="1403"/>
      <c r="T837" s="1403"/>
      <c r="U837" s="1403"/>
      <c r="V837" s="1403"/>
      <c r="W837" s="1403"/>
      <c r="X837" s="1297"/>
      <c r="Y837" s="1295"/>
      <c r="Z837" s="1292"/>
      <c r="AA837" s="1292"/>
      <c r="AB837" s="1293"/>
      <c r="AC837" s="1533"/>
      <c r="AD837" s="1534"/>
      <c r="AE837" s="1534"/>
      <c r="AF837" s="1535"/>
    </row>
    <row r="838" spans="1:35" s="3056" customFormat="1" ht="18.75" hidden="1" customHeight="1">
      <c r="A838" s="735"/>
      <c r="B838" s="1407"/>
      <c r="C838" s="1287"/>
      <c r="D838" s="1288"/>
      <c r="E838" s="1275"/>
      <c r="F838" s="1289"/>
      <c r="G838" s="1275"/>
      <c r="H838" s="1409" t="s">
        <v>2295</v>
      </c>
      <c r="I838" s="3066" t="s">
        <v>121</v>
      </c>
      <c r="J838" s="1298" t="s">
        <v>2292</v>
      </c>
      <c r="K838" s="1299"/>
      <c r="L838" s="1300"/>
      <c r="M838" s="3065" t="s">
        <v>121</v>
      </c>
      <c r="N838" s="1298" t="s">
        <v>2291</v>
      </c>
      <c r="O838" s="1307"/>
      <c r="P838" s="1307"/>
      <c r="Q838" s="1307"/>
      <c r="R838" s="1307"/>
      <c r="S838" s="1307"/>
      <c r="T838" s="1307"/>
      <c r="U838" s="1307"/>
      <c r="V838" s="1307"/>
      <c r="W838" s="1307"/>
      <c r="X838" s="1308"/>
      <c r="Y838" s="1295"/>
      <c r="Z838" s="1292"/>
      <c r="AA838" s="1292"/>
      <c r="AB838" s="1293"/>
      <c r="AC838" s="1533"/>
      <c r="AD838" s="1534"/>
      <c r="AE838" s="1534"/>
      <c r="AF838" s="1535"/>
      <c r="AI838" s="3056" t="str">
        <f>"55:field190:" &amp; IF(I838="■",1,IF(M838="■",2,0))</f>
        <v>55:field190:0</v>
      </c>
    </row>
    <row r="839" spans="1:35" s="3056" customFormat="1" ht="18.75" hidden="1" customHeight="1">
      <c r="A839" s="735"/>
      <c r="B839" s="1407"/>
      <c r="C839" s="1287"/>
      <c r="D839" s="1288"/>
      <c r="E839" s="1275"/>
      <c r="F839" s="1289"/>
      <c r="G839" s="1275"/>
      <c r="H839" s="1409" t="s">
        <v>2293</v>
      </c>
      <c r="I839" s="3066" t="s">
        <v>121</v>
      </c>
      <c r="J839" s="1298" t="s">
        <v>2292</v>
      </c>
      <c r="K839" s="1299"/>
      <c r="L839" s="1300"/>
      <c r="M839" s="3065" t="s">
        <v>121</v>
      </c>
      <c r="N839" s="1298" t="s">
        <v>2291</v>
      </c>
      <c r="O839" s="1307"/>
      <c r="P839" s="1307"/>
      <c r="Q839" s="1307"/>
      <c r="R839" s="1307"/>
      <c r="S839" s="1307"/>
      <c r="T839" s="1307"/>
      <c r="U839" s="1307"/>
      <c r="V839" s="1307"/>
      <c r="W839" s="1307"/>
      <c r="X839" s="1308"/>
      <c r="Y839" s="1295"/>
      <c r="Z839" s="1292"/>
      <c r="AA839" s="1292"/>
      <c r="AB839" s="1293"/>
      <c r="AC839" s="1533"/>
      <c r="AD839" s="1534"/>
      <c r="AE839" s="1534"/>
      <c r="AF839" s="1535"/>
      <c r="AI839" s="3056" t="str">
        <f>"55:field191:" &amp; IF(I839="■",1,IF(M839="■",2,0))</f>
        <v>55:field191:0</v>
      </c>
    </row>
    <row r="840" spans="1:35" s="3056" customFormat="1" ht="18.75" hidden="1" customHeight="1">
      <c r="A840" s="735"/>
      <c r="B840" s="1407"/>
      <c r="C840" s="1287"/>
      <c r="D840" s="1288"/>
      <c r="E840" s="1275"/>
      <c r="F840" s="1289"/>
      <c r="G840" s="1275"/>
      <c r="H840" s="1409" t="s">
        <v>2290</v>
      </c>
      <c r="I840" s="3063" t="s">
        <v>121</v>
      </c>
      <c r="J840" s="1296" t="s">
        <v>1230</v>
      </c>
      <c r="K840" s="1309"/>
      <c r="L840" s="3062" t="s">
        <v>121</v>
      </c>
      <c r="M840" s="1296" t="s">
        <v>1248</v>
      </c>
      <c r="N840" s="1326"/>
      <c r="O840" s="1307"/>
      <c r="P840" s="1307"/>
      <c r="Q840" s="1307"/>
      <c r="R840" s="1307"/>
      <c r="S840" s="1307"/>
      <c r="T840" s="1307"/>
      <c r="U840" s="1307"/>
      <c r="V840" s="1307"/>
      <c r="W840" s="1307"/>
      <c r="X840" s="1308"/>
      <c r="Y840" s="1295"/>
      <c r="Z840" s="1292"/>
      <c r="AA840" s="1292"/>
      <c r="AB840" s="1293"/>
      <c r="AC840" s="1533"/>
      <c r="AD840" s="1534"/>
      <c r="AE840" s="1534"/>
      <c r="AF840" s="1535"/>
      <c r="AI840" s="3056" t="str">
        <f>"55:jyakuninti_uke_code:" &amp; IF(I840="■",1,IF(L840="■",2,0))</f>
        <v>55:jyakuninti_uke_code:0</v>
      </c>
    </row>
    <row r="841" spans="1:35" s="3056" customFormat="1" ht="18.75" hidden="1" customHeight="1">
      <c r="A841" s="735"/>
      <c r="B841" s="1407"/>
      <c r="C841" s="1287"/>
      <c r="D841" s="1288"/>
      <c r="E841" s="1275"/>
      <c r="F841" s="1289"/>
      <c r="G841" s="1275"/>
      <c r="H841" s="1409" t="s">
        <v>755</v>
      </c>
      <c r="I841" s="3063" t="s">
        <v>121</v>
      </c>
      <c r="J841" s="1296" t="s">
        <v>1230</v>
      </c>
      <c r="K841" s="1309"/>
      <c r="L841" s="3062" t="s">
        <v>121</v>
      </c>
      <c r="M841" s="1296" t="s">
        <v>1248</v>
      </c>
      <c r="N841" s="1326"/>
      <c r="O841" s="1307"/>
      <c r="P841" s="1307"/>
      <c r="Q841" s="1307"/>
      <c r="R841" s="1307"/>
      <c r="S841" s="1307"/>
      <c r="T841" s="1307"/>
      <c r="U841" s="1307"/>
      <c r="V841" s="1307"/>
      <c r="W841" s="1307"/>
      <c r="X841" s="1308"/>
      <c r="Y841" s="1295"/>
      <c r="Z841" s="1292"/>
      <c r="AA841" s="1292"/>
      <c r="AB841" s="1293"/>
      <c r="AC841" s="1533"/>
      <c r="AD841" s="1534"/>
      <c r="AE841" s="1534"/>
      <c r="AF841" s="1535"/>
      <c r="AI841" s="3056" t="str">
        <f>"55:field207:" &amp; IF(I841="■",1,IF(L841="■",2,0))</f>
        <v>55:field207:0</v>
      </c>
    </row>
    <row r="842" spans="1:35" s="3056" customFormat="1" ht="18.75" hidden="1" customHeight="1">
      <c r="A842" s="735"/>
      <c r="B842" s="1407"/>
      <c r="C842" s="1287"/>
      <c r="D842" s="1288"/>
      <c r="E842" s="1275"/>
      <c r="F842" s="1289"/>
      <c r="G842" s="1275"/>
      <c r="H842" s="1409" t="s">
        <v>145</v>
      </c>
      <c r="I842" s="3063" t="s">
        <v>121</v>
      </c>
      <c r="J842" s="1296" t="s">
        <v>1230</v>
      </c>
      <c r="K842" s="1309"/>
      <c r="L842" s="3062" t="s">
        <v>121</v>
      </c>
      <c r="M842" s="1296" t="s">
        <v>1248</v>
      </c>
      <c r="N842" s="1326"/>
      <c r="O842" s="1307"/>
      <c r="P842" s="1307"/>
      <c r="Q842" s="1307"/>
      <c r="R842" s="1307"/>
      <c r="S842" s="1307"/>
      <c r="T842" s="1307"/>
      <c r="U842" s="1307"/>
      <c r="V842" s="1307"/>
      <c r="W842" s="1307"/>
      <c r="X842" s="1308"/>
      <c r="Y842" s="1295"/>
      <c r="Z842" s="1292"/>
      <c r="AA842" s="1292"/>
      <c r="AB842" s="1293"/>
      <c r="AC842" s="1533"/>
      <c r="AD842" s="1534"/>
      <c r="AE842" s="1534"/>
      <c r="AF842" s="1535"/>
      <c r="AI842" s="3056" t="str">
        <f>"55:ryouyoushoku_code:" &amp; IF(I842="■",1,IF(L842="■",2,0))</f>
        <v>55:ryouyoushoku_code:0</v>
      </c>
    </row>
    <row r="843" spans="1:35" s="3056" customFormat="1" ht="18.75" hidden="1" customHeight="1">
      <c r="A843" s="735"/>
      <c r="B843" s="1407"/>
      <c r="C843" s="1287"/>
      <c r="D843" s="1288"/>
      <c r="E843" s="1275"/>
      <c r="F843" s="3069" t="s">
        <v>121</v>
      </c>
      <c r="G843" s="1275" t="s">
        <v>2323</v>
      </c>
      <c r="H843" s="1541" t="s">
        <v>2321</v>
      </c>
      <c r="I843" s="3137" t="s">
        <v>121</v>
      </c>
      <c r="J843" s="1290" t="s">
        <v>1273</v>
      </c>
      <c r="K843" s="1290"/>
      <c r="L843" s="1314"/>
      <c r="M843" s="1314"/>
      <c r="N843" s="1314"/>
      <c r="O843" s="1314"/>
      <c r="P843" s="3136" t="s">
        <v>121</v>
      </c>
      <c r="Q843" s="1290" t="s">
        <v>1274</v>
      </c>
      <c r="R843" s="1314"/>
      <c r="S843" s="1314"/>
      <c r="T843" s="1314"/>
      <c r="U843" s="1314"/>
      <c r="V843" s="1314"/>
      <c r="W843" s="1314"/>
      <c r="X843" s="1315"/>
      <c r="Y843" s="1295"/>
      <c r="Z843" s="1292"/>
      <c r="AA843" s="1292"/>
      <c r="AB843" s="1293"/>
      <c r="AC843" s="1533"/>
      <c r="AD843" s="1534"/>
      <c r="AE843" s="1534"/>
      <c r="AF843" s="1535"/>
      <c r="AI843" s="3056" t="str">
        <f>"55:" &amp; IF(AND(I843="□",P843="□",I844="□"),"tokusin_jyusho_code:0:tokusin_yakuzai_code:0:shuudan_comu_code:0",IF(I843="■","tokusin_jyusho_code:2","tokusin_jyusho_code:1")
&amp;IF(P843="■",":tokusin_yakuzai_code:2",":tokusin_yakuzai_code:1")
&amp;IF(I844="■",":shuudan_comu_code:2",":shuudan_comu_code:1"))</f>
        <v>55:tokusin_jyusho_code:0:tokusin_yakuzai_code:0:shuudan_comu_code:0</v>
      </c>
    </row>
    <row r="844" spans="1:35" s="3056" customFormat="1" ht="18.75" hidden="1" customHeight="1">
      <c r="A844" s="3069" t="s">
        <v>121</v>
      </c>
      <c r="B844" s="1407">
        <v>55</v>
      </c>
      <c r="C844" s="1287" t="s">
        <v>2333</v>
      </c>
      <c r="D844" s="3069" t="s">
        <v>121</v>
      </c>
      <c r="E844" s="1275" t="s">
        <v>2336</v>
      </c>
      <c r="F844" s="3069" t="s">
        <v>121</v>
      </c>
      <c r="G844" s="1275" t="s">
        <v>2322</v>
      </c>
      <c r="H844" s="1542"/>
      <c r="I844" s="3063" t="s">
        <v>121</v>
      </c>
      <c r="J844" s="1296" t="s">
        <v>2318</v>
      </c>
      <c r="K844" s="1330"/>
      <c r="L844" s="1330"/>
      <c r="M844" s="1330"/>
      <c r="N844" s="1330"/>
      <c r="O844" s="1330"/>
      <c r="P844" s="1330"/>
      <c r="Q844" s="1403"/>
      <c r="R844" s="1330"/>
      <c r="S844" s="1330"/>
      <c r="T844" s="1330"/>
      <c r="U844" s="1330"/>
      <c r="V844" s="1330"/>
      <c r="W844" s="1330"/>
      <c r="X844" s="1356"/>
      <c r="Y844" s="1295"/>
      <c r="Z844" s="1292"/>
      <c r="AA844" s="1292"/>
      <c r="AB844" s="1293"/>
      <c r="AC844" s="1533"/>
      <c r="AD844" s="1534"/>
      <c r="AE844" s="1534"/>
      <c r="AF844" s="1535"/>
    </row>
    <row r="845" spans="1:35" s="3056" customFormat="1" ht="18.75" hidden="1" customHeight="1">
      <c r="A845" s="735"/>
      <c r="B845" s="1407"/>
      <c r="C845" s="1287"/>
      <c r="D845" s="1288"/>
      <c r="E845" s="1275"/>
      <c r="F845" s="3069" t="s">
        <v>121</v>
      </c>
      <c r="G845" s="1275" t="s">
        <v>2335</v>
      </c>
      <c r="H845" s="1541" t="s">
        <v>1280</v>
      </c>
      <c r="I845" s="3137" t="s">
        <v>121</v>
      </c>
      <c r="J845" s="1290" t="s">
        <v>2317</v>
      </c>
      <c r="K845" s="1328"/>
      <c r="L845" s="1329"/>
      <c r="M845" s="3136" t="s">
        <v>121</v>
      </c>
      <c r="N845" s="1290" t="s">
        <v>2316</v>
      </c>
      <c r="O845" s="1314"/>
      <c r="P845" s="1314"/>
      <c r="Q845" s="3136" t="s">
        <v>121</v>
      </c>
      <c r="R845" s="1290" t="s">
        <v>2315</v>
      </c>
      <c r="S845" s="1314"/>
      <c r="T845" s="1314"/>
      <c r="U845" s="1314"/>
      <c r="V845" s="1314"/>
      <c r="W845" s="1314"/>
      <c r="X845" s="1315"/>
      <c r="Y845" s="1295"/>
      <c r="Z845" s="1292"/>
      <c r="AA845" s="1292"/>
      <c r="AB845" s="1293"/>
      <c r="AC845" s="1533"/>
      <c r="AD845" s="1534"/>
      <c r="AE845" s="1534"/>
      <c r="AF845" s="1535"/>
      <c r="AI845" s="3056" t="str">
        <f>"55:"&amp;IF(AND(I845="□",M845="□",Q845="□",I846="□",Q846="□"),"koriha_rryoho1_code:0:koriha_sryoho_code:0:koriha_gengo_code:0:riha_seisin_code:0:koriha_other_code:0",IF(I845="■","koriha_rryoho1_code:2","koriha_rryoho1_code:1")
&amp;IF(M845="■",":koriha_sryoho_code:2",":koriha_sryoho_code:1")
&amp;IF(Q845="■",":koriha_gengo_code:2",":koriha_gengo_code:1")
&amp;IF(I846="■",":riha_seisin_code:2",":riha_seisin_code:1")
&amp;IF(Q846="■",":koriha_other_code:2",":koriha_other_code:1"))</f>
        <v>55:koriha_rryoho1_code:0:koriha_sryoho_code:0:koriha_gengo_code:0:riha_seisin_code:0:koriha_other_code:0</v>
      </c>
    </row>
    <row r="846" spans="1:35" s="3056" customFormat="1" ht="18.75" hidden="1" customHeight="1">
      <c r="A846" s="735"/>
      <c r="B846" s="1407"/>
      <c r="C846" s="1287"/>
      <c r="D846" s="1288"/>
      <c r="E846" s="1275"/>
      <c r="F846" s="1288"/>
      <c r="G846" s="1275"/>
      <c r="H846" s="1542"/>
      <c r="I846" s="3063" t="s">
        <v>121</v>
      </c>
      <c r="J846" s="1296" t="s">
        <v>2314</v>
      </c>
      <c r="K846" s="1330"/>
      <c r="L846" s="1330"/>
      <c r="M846" s="1330"/>
      <c r="N846" s="1330"/>
      <c r="O846" s="1330"/>
      <c r="P846" s="1330"/>
      <c r="Q846" s="3062" t="s">
        <v>121</v>
      </c>
      <c r="R846" s="1296" t="s">
        <v>2313</v>
      </c>
      <c r="S846" s="1403"/>
      <c r="T846" s="1330"/>
      <c r="U846" s="1330"/>
      <c r="V846" s="1330"/>
      <c r="W846" s="1330"/>
      <c r="X846" s="1356"/>
      <c r="Y846" s="1295"/>
      <c r="Z846" s="1292"/>
      <c r="AA846" s="1292"/>
      <c r="AB846" s="1293"/>
      <c r="AC846" s="1533"/>
      <c r="AD846" s="1534"/>
      <c r="AE846" s="1534"/>
      <c r="AF846" s="1535"/>
    </row>
    <row r="847" spans="1:35" s="3056" customFormat="1" ht="18.75" hidden="1" customHeight="1">
      <c r="A847" s="735"/>
      <c r="B847" s="1407"/>
      <c r="C847" s="1287"/>
      <c r="D847" s="1288"/>
      <c r="E847" s="1275"/>
      <c r="F847" s="1288"/>
      <c r="G847" s="1275"/>
      <c r="H847" s="1539" t="s">
        <v>2312</v>
      </c>
      <c r="I847" s="3115" t="s">
        <v>121</v>
      </c>
      <c r="J847" s="1528" t="s">
        <v>1230</v>
      </c>
      <c r="K847" s="1528"/>
      <c r="L847" s="3135" t="s">
        <v>121</v>
      </c>
      <c r="M847" s="1528" t="s">
        <v>2311</v>
      </c>
      <c r="N847" s="1528"/>
      <c r="O847" s="1528"/>
      <c r="P847" s="3135" t="s">
        <v>121</v>
      </c>
      <c r="Q847" s="1528" t="s">
        <v>2310</v>
      </c>
      <c r="R847" s="1528"/>
      <c r="S847" s="1528"/>
      <c r="T847" s="3135" t="s">
        <v>121</v>
      </c>
      <c r="U847" s="1528" t="s">
        <v>2309</v>
      </c>
      <c r="V847" s="1528"/>
      <c r="W847" s="1528"/>
      <c r="X847" s="3141"/>
      <c r="Y847" s="1295"/>
      <c r="Z847" s="1292"/>
      <c r="AA847" s="1292"/>
      <c r="AB847" s="1293"/>
      <c r="AC847" s="1533"/>
      <c r="AD847" s="1534"/>
      <c r="AE847" s="1534"/>
      <c r="AF847" s="1535"/>
      <c r="AI847" s="3056" t="str">
        <f>"55:"&amp;IF(AND(I847="□",L847="□",P847="□",T847="□"),"field236:0:field237:0:field238:0",IF(I847="■","field236:1:field237:1:field238:1",IF(L847="■","field236:2","field236:1")
&amp;IF(P847="■",":field237:2",":field237:1")
&amp;IF(T847="■",":field238:2",":field238:1")))</f>
        <v>55:field236:0:field237:0:field238:0</v>
      </c>
    </row>
    <row r="848" spans="1:35" s="3056" customFormat="1" ht="18.75" hidden="1" customHeight="1">
      <c r="A848" s="735"/>
      <c r="B848" s="1407"/>
      <c r="C848" s="1287"/>
      <c r="D848" s="1288"/>
      <c r="E848" s="1275"/>
      <c r="F848" s="1289"/>
      <c r="G848" s="1275"/>
      <c r="H848" s="1540"/>
      <c r="I848" s="3081"/>
      <c r="J848" s="1529"/>
      <c r="K848" s="1529"/>
      <c r="L848" s="3080"/>
      <c r="M848" s="1529"/>
      <c r="N848" s="1529"/>
      <c r="O848" s="1529"/>
      <c r="P848" s="3080"/>
      <c r="Q848" s="1529"/>
      <c r="R848" s="1529"/>
      <c r="S848" s="1529"/>
      <c r="T848" s="3080"/>
      <c r="U848" s="1529"/>
      <c r="V848" s="1529"/>
      <c r="W848" s="1529"/>
      <c r="X848" s="3140"/>
      <c r="Y848" s="1295"/>
      <c r="Z848" s="1292"/>
      <c r="AA848" s="1292"/>
      <c r="AB848" s="1293"/>
      <c r="AC848" s="1533"/>
      <c r="AD848" s="1534"/>
      <c r="AE848" s="1534"/>
      <c r="AF848" s="1535"/>
    </row>
    <row r="849" spans="1:36" s="3056" customFormat="1" ht="18.75" hidden="1" customHeight="1">
      <c r="A849" s="735"/>
      <c r="B849" s="1407"/>
      <c r="C849" s="1287"/>
      <c r="D849" s="1288"/>
      <c r="E849" s="1275"/>
      <c r="F849" s="1289"/>
      <c r="G849" s="1275"/>
      <c r="H849" s="1410" t="s">
        <v>2308</v>
      </c>
      <c r="I849" s="3063" t="s">
        <v>121</v>
      </c>
      <c r="J849" s="1296" t="s">
        <v>1230</v>
      </c>
      <c r="K849" s="1309"/>
      <c r="L849" s="3062" t="s">
        <v>121</v>
      </c>
      <c r="M849" s="1296" t="s">
        <v>1248</v>
      </c>
      <c r="N849" s="1326"/>
      <c r="O849" s="1307"/>
      <c r="P849" s="1307"/>
      <c r="Q849" s="1307"/>
      <c r="R849" s="1307"/>
      <c r="S849" s="1307"/>
      <c r="T849" s="1307"/>
      <c r="U849" s="1307"/>
      <c r="V849" s="1307"/>
      <c r="W849" s="1307"/>
      <c r="X849" s="1308"/>
      <c r="Y849" s="1295"/>
      <c r="Z849" s="1292"/>
      <c r="AA849" s="1292"/>
      <c r="AB849" s="1293"/>
      <c r="AC849" s="1533"/>
      <c r="AD849" s="1534"/>
      <c r="AE849" s="1534"/>
      <c r="AF849" s="1535"/>
      <c r="AI849" s="3056" t="str">
        <f>"55:ninti_riha_code:" &amp; IF(I849="■",1,IF(L849="■",2,0))</f>
        <v>55:ninti_riha_code:0</v>
      </c>
    </row>
    <row r="850" spans="1:36" s="3056" customFormat="1" ht="18.75" hidden="1" customHeight="1">
      <c r="A850" s="735"/>
      <c r="B850" s="1407"/>
      <c r="C850" s="1287"/>
      <c r="D850" s="1288"/>
      <c r="E850" s="1275"/>
      <c r="F850" s="1289"/>
      <c r="G850" s="1275"/>
      <c r="H850" s="1409" t="s">
        <v>1260</v>
      </c>
      <c r="I850" s="3066" t="s">
        <v>121</v>
      </c>
      <c r="J850" s="1298" t="s">
        <v>1230</v>
      </c>
      <c r="K850" s="1298"/>
      <c r="L850" s="3065" t="s">
        <v>121</v>
      </c>
      <c r="M850" s="1298" t="s">
        <v>1256</v>
      </c>
      <c r="N850" s="1298"/>
      <c r="O850" s="3065" t="s">
        <v>121</v>
      </c>
      <c r="P850" s="1298" t="s">
        <v>1257</v>
      </c>
      <c r="Q850" s="1307"/>
      <c r="R850" s="1307"/>
      <c r="S850" s="1307"/>
      <c r="T850" s="1307"/>
      <c r="U850" s="1307"/>
      <c r="V850" s="1307"/>
      <c r="W850" s="1307"/>
      <c r="X850" s="1308"/>
      <c r="Y850" s="1295"/>
      <c r="Z850" s="1292"/>
      <c r="AA850" s="1292"/>
      <c r="AB850" s="1293"/>
      <c r="AC850" s="1533"/>
      <c r="AD850" s="1534"/>
      <c r="AE850" s="1534"/>
      <c r="AF850" s="1535"/>
      <c r="AI850" s="3056" t="str">
        <f>"55:ninti_senmoncare_code:" &amp; IF(I850="■",1,IF(O850="■",3,IF(L850="■",2,0)))</f>
        <v>55:ninti_senmoncare_code:0</v>
      </c>
    </row>
    <row r="851" spans="1:36" s="3056" customFormat="1" ht="18.75" hidden="1" customHeight="1">
      <c r="A851" s="735"/>
      <c r="B851" s="1407"/>
      <c r="C851" s="1287"/>
      <c r="D851" s="1288"/>
      <c r="E851" s="1275"/>
      <c r="F851" s="1289"/>
      <c r="G851" s="1275"/>
      <c r="H851" s="1409" t="s">
        <v>1261</v>
      </c>
      <c r="I851" s="3066" t="s">
        <v>121</v>
      </c>
      <c r="J851" s="1298" t="s">
        <v>1230</v>
      </c>
      <c r="K851" s="1298"/>
      <c r="L851" s="3065" t="s">
        <v>121</v>
      </c>
      <c r="M851" s="1298" t="s">
        <v>1256</v>
      </c>
      <c r="N851" s="1298"/>
      <c r="O851" s="3065" t="s">
        <v>121</v>
      </c>
      <c r="P851" s="1298" t="s">
        <v>1257</v>
      </c>
      <c r="Q851" s="1299"/>
      <c r="R851" s="1299"/>
      <c r="S851" s="1299"/>
      <c r="T851" s="1299"/>
      <c r="U851" s="1299"/>
      <c r="V851" s="1299"/>
      <c r="W851" s="1299"/>
      <c r="X851" s="1302"/>
      <c r="Y851" s="1295"/>
      <c r="Z851" s="1292"/>
      <c r="AA851" s="1292"/>
      <c r="AB851" s="1293"/>
      <c r="AC851" s="1533"/>
      <c r="AD851" s="1534"/>
      <c r="AE851" s="1534"/>
      <c r="AF851" s="1535"/>
      <c r="AI851" s="3056" t="str">
        <f>"55:field228:" &amp; IF(I851="■",1,IF(L851="■",2,IF(O851="■",3,0)))</f>
        <v>55:field228:0</v>
      </c>
    </row>
    <row r="852" spans="1:36" s="3056" customFormat="1" ht="18.75" hidden="1" customHeight="1">
      <c r="A852" s="735"/>
      <c r="B852" s="1407"/>
      <c r="C852" s="1287"/>
      <c r="D852" s="1288"/>
      <c r="E852" s="1275"/>
      <c r="F852" s="1289"/>
      <c r="G852" s="1275"/>
      <c r="H852" s="1409" t="s">
        <v>2307</v>
      </c>
      <c r="I852" s="3066" t="s">
        <v>121</v>
      </c>
      <c r="J852" s="1298" t="s">
        <v>1230</v>
      </c>
      <c r="K852" s="1298"/>
      <c r="L852" s="3065" t="s">
        <v>121</v>
      </c>
      <c r="M852" s="1298" t="s">
        <v>1256</v>
      </c>
      <c r="N852" s="1298"/>
      <c r="O852" s="3065" t="s">
        <v>121</v>
      </c>
      <c r="P852" s="1298" t="s">
        <v>1257</v>
      </c>
      <c r="Q852" s="1307"/>
      <c r="R852" s="1326"/>
      <c r="S852" s="1326"/>
      <c r="T852" s="1326"/>
      <c r="U852" s="1326"/>
      <c r="V852" s="1326"/>
      <c r="W852" s="1326"/>
      <c r="X852" s="1327"/>
      <c r="Y852" s="1295"/>
      <c r="Z852" s="1292"/>
      <c r="AA852" s="1292"/>
      <c r="AB852" s="1293"/>
      <c r="AC852" s="1533"/>
      <c r="AD852" s="1534"/>
      <c r="AE852" s="1534"/>
      <c r="AF852" s="1535"/>
      <c r="AI852" s="3056" t="str">
        <f>"55:field164:" &amp; IF(I852="■",1,IF(L852="■",2,IF(O852="■",3,0)))</f>
        <v>55:field164:0</v>
      </c>
    </row>
    <row r="853" spans="1:36" s="3056" customFormat="1" ht="18.75" hidden="1" customHeight="1">
      <c r="A853" s="735"/>
      <c r="B853" s="1407"/>
      <c r="C853" s="1287"/>
      <c r="D853" s="1288"/>
      <c r="E853" s="1275"/>
      <c r="F853" s="1289"/>
      <c r="G853" s="1275"/>
      <c r="H853" s="1312" t="s">
        <v>757</v>
      </c>
      <c r="I853" s="3063" t="s">
        <v>121</v>
      </c>
      <c r="J853" s="1296" t="s">
        <v>1230</v>
      </c>
      <c r="K853" s="1309"/>
      <c r="L853" s="3062" t="s">
        <v>121</v>
      </c>
      <c r="M853" s="1296" t="s">
        <v>1248</v>
      </c>
      <c r="N853" s="1326"/>
      <c r="O853" s="1307"/>
      <c r="P853" s="1307"/>
      <c r="Q853" s="1307"/>
      <c r="R853" s="1307"/>
      <c r="S853" s="1307"/>
      <c r="T853" s="1307"/>
      <c r="U853" s="1307"/>
      <c r="V853" s="1307"/>
      <c r="W853" s="1307"/>
      <c r="X853" s="1308"/>
      <c r="Y853" s="1295"/>
      <c r="Z853" s="1292"/>
      <c r="AA853" s="1292"/>
      <c r="AB853" s="1293"/>
      <c r="AC853" s="1533"/>
      <c r="AD853" s="1534"/>
      <c r="AE853" s="1534"/>
      <c r="AF853" s="1535"/>
      <c r="AI853" s="3056" t="str">
        <f>"55:field210:" &amp; IF(I853="■",1,IF(L853="■",2,0))</f>
        <v>55:field210:0</v>
      </c>
    </row>
    <row r="854" spans="1:36" s="3056" customFormat="1" ht="18.75" hidden="1" customHeight="1">
      <c r="A854" s="735"/>
      <c r="B854" s="1407"/>
      <c r="C854" s="1287"/>
      <c r="D854" s="1288"/>
      <c r="E854" s="1275"/>
      <c r="F854" s="1289"/>
      <c r="G854" s="1275"/>
      <c r="H854" s="1409" t="s">
        <v>758</v>
      </c>
      <c r="I854" s="3063" t="s">
        <v>121</v>
      </c>
      <c r="J854" s="1296" t="s">
        <v>1230</v>
      </c>
      <c r="K854" s="1309"/>
      <c r="L854" s="3062" t="s">
        <v>121</v>
      </c>
      <c r="M854" s="1296" t="s">
        <v>1248</v>
      </c>
      <c r="N854" s="1326"/>
      <c r="O854" s="1307"/>
      <c r="P854" s="1307"/>
      <c r="Q854" s="1307"/>
      <c r="R854" s="1307"/>
      <c r="S854" s="1307"/>
      <c r="T854" s="1307"/>
      <c r="U854" s="1307"/>
      <c r="V854" s="1307"/>
      <c r="W854" s="1307"/>
      <c r="X854" s="1308"/>
      <c r="Y854" s="1295"/>
      <c r="Z854" s="1292"/>
      <c r="AA854" s="1292"/>
      <c r="AB854" s="1293"/>
      <c r="AC854" s="1533"/>
      <c r="AD854" s="1534"/>
      <c r="AE854" s="1534"/>
      <c r="AF854" s="1535"/>
      <c r="AI854" s="3056" t="str">
        <f>"55:field211:" &amp; IF(I854="■",1,IF(L854="■",2,0))</f>
        <v>55:field211:0</v>
      </c>
    </row>
    <row r="855" spans="1:36" s="3056" customFormat="1" ht="18.75" hidden="1" customHeight="1">
      <c r="A855" s="735"/>
      <c r="B855" s="1407"/>
      <c r="C855" s="1287"/>
      <c r="D855" s="1288"/>
      <c r="E855" s="1275"/>
      <c r="F855" s="1289"/>
      <c r="G855" s="1275"/>
      <c r="H855" s="1409" t="s">
        <v>764</v>
      </c>
      <c r="I855" s="3063" t="s">
        <v>121</v>
      </c>
      <c r="J855" s="1296" t="s">
        <v>1230</v>
      </c>
      <c r="K855" s="1309"/>
      <c r="L855" s="3062" t="s">
        <v>121</v>
      </c>
      <c r="M855" s="1296" t="s">
        <v>1248</v>
      </c>
      <c r="N855" s="1326"/>
      <c r="O855" s="1307"/>
      <c r="P855" s="1307"/>
      <c r="Q855" s="1307"/>
      <c r="R855" s="1307"/>
      <c r="S855" s="1307"/>
      <c r="T855" s="1307"/>
      <c r="U855" s="1307"/>
      <c r="V855" s="1307"/>
      <c r="W855" s="1307"/>
      <c r="X855" s="1308"/>
      <c r="Y855" s="1295"/>
      <c r="Z855" s="1292"/>
      <c r="AA855" s="1292"/>
      <c r="AB855" s="1293"/>
      <c r="AC855" s="1533"/>
      <c r="AD855" s="1534"/>
      <c r="AE855" s="1534"/>
      <c r="AF855" s="1535"/>
      <c r="AI855" s="3056" t="str">
        <f>"55:field212:" &amp; IF(I855="■",1,IF(L855="■",2,0))</f>
        <v>55:field212:0</v>
      </c>
    </row>
    <row r="856" spans="1:36" s="3056" customFormat="1" ht="18.75" hidden="1" customHeight="1">
      <c r="A856" s="735"/>
      <c r="B856" s="1407"/>
      <c r="C856" s="1287"/>
      <c r="D856" s="1288"/>
      <c r="E856" s="1275"/>
      <c r="F856" s="1289"/>
      <c r="G856" s="1275"/>
      <c r="H856" s="1409" t="s">
        <v>760</v>
      </c>
      <c r="I856" s="3063" t="s">
        <v>121</v>
      </c>
      <c r="J856" s="1296" t="s">
        <v>1230</v>
      </c>
      <c r="K856" s="1309"/>
      <c r="L856" s="3062" t="s">
        <v>121</v>
      </c>
      <c r="M856" s="1296" t="s">
        <v>1248</v>
      </c>
      <c r="N856" s="1326"/>
      <c r="O856" s="1307"/>
      <c r="P856" s="1307"/>
      <c r="Q856" s="1307"/>
      <c r="R856" s="1307"/>
      <c r="S856" s="1307"/>
      <c r="T856" s="1307"/>
      <c r="U856" s="1307"/>
      <c r="V856" s="1307"/>
      <c r="W856" s="1307"/>
      <c r="X856" s="1308"/>
      <c r="Y856" s="1295"/>
      <c r="Z856" s="1292"/>
      <c r="AA856" s="1292"/>
      <c r="AB856" s="1293"/>
      <c r="AC856" s="1533"/>
      <c r="AD856" s="1534"/>
      <c r="AE856" s="1534"/>
      <c r="AF856" s="1535"/>
      <c r="AI856" s="3056" t="str">
        <f>"55:field209:" &amp; IF(I856="■",1,IF(L856="■",2,0))</f>
        <v>55:field209:0</v>
      </c>
    </row>
    <row r="857" spans="1:36" s="3056" customFormat="1" ht="18.75" hidden="1" customHeight="1">
      <c r="A857" s="735"/>
      <c r="B857" s="1407"/>
      <c r="C857" s="1287"/>
      <c r="D857" s="1288"/>
      <c r="E857" s="1275"/>
      <c r="F857" s="1289"/>
      <c r="G857" s="1275"/>
      <c r="H857" s="1409" t="s">
        <v>1288</v>
      </c>
      <c r="I857" s="3066" t="s">
        <v>121</v>
      </c>
      <c r="J857" s="1298" t="s">
        <v>1230</v>
      </c>
      <c r="K857" s="1298"/>
      <c r="L857" s="3065" t="s">
        <v>121</v>
      </c>
      <c r="M857" s="1296" t="s">
        <v>1248</v>
      </c>
      <c r="N857" s="1298"/>
      <c r="O857" s="1298"/>
      <c r="P857" s="1298"/>
      <c r="Q857" s="1299"/>
      <c r="R857" s="1299"/>
      <c r="S857" s="1299"/>
      <c r="T857" s="1299"/>
      <c r="U857" s="1299"/>
      <c r="V857" s="1299"/>
      <c r="W857" s="1299"/>
      <c r="X857" s="1302"/>
      <c r="Y857" s="1295"/>
      <c r="Z857" s="1292"/>
      <c r="AA857" s="1292"/>
      <c r="AB857" s="1293"/>
      <c r="AC857" s="1533"/>
      <c r="AD857" s="1534"/>
      <c r="AE857" s="1534"/>
      <c r="AF857" s="1535"/>
      <c r="AI857" s="3056" t="str">
        <f>"55:field226:" &amp; IF(I857="■",1,IF(L857="■",2,0))</f>
        <v>55:field226:0</v>
      </c>
    </row>
    <row r="858" spans="1:36" s="3056" customFormat="1" ht="18.75" hidden="1" customHeight="1">
      <c r="A858" s="735"/>
      <c r="B858" s="1407"/>
      <c r="C858" s="1287"/>
      <c r="D858" s="1288"/>
      <c r="E858" s="1275"/>
      <c r="F858" s="1289"/>
      <c r="G858" s="1275"/>
      <c r="H858" s="1409" t="s">
        <v>1289</v>
      </c>
      <c r="I858" s="3066" t="s">
        <v>121</v>
      </c>
      <c r="J858" s="1298" t="s">
        <v>1230</v>
      </c>
      <c r="K858" s="1298"/>
      <c r="L858" s="3065" t="s">
        <v>121</v>
      </c>
      <c r="M858" s="1296" t="s">
        <v>1248</v>
      </c>
      <c r="N858" s="1298"/>
      <c r="O858" s="1298"/>
      <c r="P858" s="1298"/>
      <c r="Q858" s="1299"/>
      <c r="R858" s="1299"/>
      <c r="S858" s="1299"/>
      <c r="T858" s="1299"/>
      <c r="U858" s="1299"/>
      <c r="V858" s="1299"/>
      <c r="W858" s="1299"/>
      <c r="X858" s="1302"/>
      <c r="Y858" s="1295"/>
      <c r="Z858" s="1292"/>
      <c r="AA858" s="1292"/>
      <c r="AB858" s="1293"/>
      <c r="AC858" s="1533"/>
      <c r="AD858" s="1534"/>
      <c r="AE858" s="1534"/>
      <c r="AF858" s="1535"/>
      <c r="AI858" s="3056" t="str">
        <f>"55:field227:" &amp; IF(I858="■",1,IF(L858="■",2,0))</f>
        <v>55:field227:0</v>
      </c>
    </row>
    <row r="859" spans="1:36" s="3056" customFormat="1" ht="18.75" hidden="1" customHeight="1">
      <c r="A859" s="735"/>
      <c r="B859" s="1407"/>
      <c r="C859" s="1287"/>
      <c r="D859" s="1288"/>
      <c r="E859" s="1275"/>
      <c r="F859" s="1289"/>
      <c r="G859" s="1275"/>
      <c r="H859" s="1313" t="s">
        <v>1265</v>
      </c>
      <c r="I859" s="3066" t="s">
        <v>121</v>
      </c>
      <c r="J859" s="1298" t="s">
        <v>1230</v>
      </c>
      <c r="K859" s="1298"/>
      <c r="L859" s="3065" t="s">
        <v>121</v>
      </c>
      <c r="M859" s="1298" t="s">
        <v>1256</v>
      </c>
      <c r="N859" s="1298"/>
      <c r="O859" s="3065" t="s">
        <v>121</v>
      </c>
      <c r="P859" s="1298" t="s">
        <v>1257</v>
      </c>
      <c r="Q859" s="1307"/>
      <c r="R859" s="1307"/>
      <c r="S859" s="1307"/>
      <c r="T859" s="1307"/>
      <c r="U859" s="1314"/>
      <c r="V859" s="1314"/>
      <c r="W859" s="1314"/>
      <c r="X859" s="1315"/>
      <c r="Y859" s="1295"/>
      <c r="Z859" s="1292"/>
      <c r="AA859" s="1292"/>
      <c r="AB859" s="1293"/>
      <c r="AC859" s="1533"/>
      <c r="AD859" s="1534"/>
      <c r="AE859" s="1534"/>
      <c r="AF859" s="1535"/>
      <c r="AI859" s="3056" t="str">
        <f>"55:field225:" &amp; IF(I859="■",1,IF(L859="■",2,IF(O859="■",3,0)))</f>
        <v>55:field225:0</v>
      </c>
    </row>
    <row r="860" spans="1:36" s="3056" customFormat="1" ht="18.75" hidden="1" customHeight="1">
      <c r="A860" s="735"/>
      <c r="B860" s="1407"/>
      <c r="C860" s="1287"/>
      <c r="D860" s="1288"/>
      <c r="E860" s="1275"/>
      <c r="F860" s="1289"/>
      <c r="G860" s="1275"/>
      <c r="H860" s="1409" t="s">
        <v>1266</v>
      </c>
      <c r="I860" s="3066" t="s">
        <v>121</v>
      </c>
      <c r="J860" s="1298" t="s">
        <v>1230</v>
      </c>
      <c r="K860" s="1298"/>
      <c r="L860" s="3065" t="s">
        <v>121</v>
      </c>
      <c r="M860" s="1298" t="s">
        <v>1267</v>
      </c>
      <c r="N860" s="1298"/>
      <c r="O860" s="3065" t="s">
        <v>121</v>
      </c>
      <c r="P860" s="1298" t="s">
        <v>1268</v>
      </c>
      <c r="Q860" s="1326"/>
      <c r="R860" s="3065" t="s">
        <v>121</v>
      </c>
      <c r="S860" s="1298" t="s">
        <v>1269</v>
      </c>
      <c r="T860" s="1298"/>
      <c r="U860" s="1326"/>
      <c r="V860" s="1326"/>
      <c r="W860" s="1326"/>
      <c r="X860" s="1327"/>
      <c r="Y860" s="1295"/>
      <c r="Z860" s="1292"/>
      <c r="AA860" s="1292"/>
      <c r="AB860" s="1293"/>
      <c r="AC860" s="1533"/>
      <c r="AD860" s="1534"/>
      <c r="AE860" s="1534"/>
      <c r="AF860" s="1535"/>
      <c r="AI860" s="3056" t="str">
        <f>"55:serteikyo_kyoka_code:" &amp; IF(I860="■",1,IF(L860="■",6,IF(O860="■",5,IF(R860="■",7,0))))</f>
        <v>55:serteikyo_kyoka_code:0</v>
      </c>
    </row>
    <row r="861" spans="1:36" s="3056" customFormat="1" ht="18.75" hidden="1" customHeight="1">
      <c r="A861" s="736"/>
      <c r="B861" s="1316"/>
      <c r="C861" s="1346"/>
      <c r="D861" s="1348"/>
      <c r="E861" s="1317"/>
      <c r="F861" s="1318"/>
      <c r="G861" s="1361"/>
      <c r="H861" s="3134" t="s">
        <v>2288</v>
      </c>
      <c r="I861" s="3060" t="s">
        <v>121</v>
      </c>
      <c r="J861" s="3130" t="s">
        <v>1230</v>
      </c>
      <c r="K861" s="3130"/>
      <c r="L861" s="3059" t="s">
        <v>121</v>
      </c>
      <c r="M861" s="3130" t="s">
        <v>2287</v>
      </c>
      <c r="N861" s="3133"/>
      <c r="O861" s="3059" t="s">
        <v>121</v>
      </c>
      <c r="P861" s="3132" t="s">
        <v>2286</v>
      </c>
      <c r="Q861" s="3131"/>
      <c r="R861" s="3059" t="s">
        <v>121</v>
      </c>
      <c r="S861" s="3130" t="s">
        <v>2285</v>
      </c>
      <c r="T861" s="3131"/>
      <c r="U861" s="3059" t="s">
        <v>121</v>
      </c>
      <c r="V861" s="3130" t="s">
        <v>2284</v>
      </c>
      <c r="W861" s="3129"/>
      <c r="X861" s="3128"/>
      <c r="Y861" s="1323"/>
      <c r="Z861" s="1323"/>
      <c r="AA861" s="1323"/>
      <c r="AB861" s="1324"/>
      <c r="AC861" s="1536"/>
      <c r="AD861" s="1537"/>
      <c r="AE861" s="1537"/>
      <c r="AF861" s="1538"/>
      <c r="AI861" s="3056" t="str">
        <f>"55:shoguukaizen_code:"&amp;IF(I861="■",1,IF(L861="■",7,IF(O861="■",8,IF(R861="■",9,IF(U861="■","A",0)))))</f>
        <v>55:shoguukaizen_code:0</v>
      </c>
    </row>
    <row r="862" spans="1:36" s="3056" customFormat="1" ht="18.75" hidden="1" customHeight="1">
      <c r="A862" s="1276"/>
      <c r="B862" s="1405"/>
      <c r="C862" s="1277"/>
      <c r="D862" s="1278"/>
      <c r="E862" s="1272"/>
      <c r="F862" s="1279"/>
      <c r="G862" s="1272"/>
      <c r="H862" s="1545" t="s">
        <v>1226</v>
      </c>
      <c r="I862" s="3119" t="s">
        <v>121</v>
      </c>
      <c r="J862" s="1270" t="s">
        <v>1227</v>
      </c>
      <c r="K862" s="3139"/>
      <c r="L862" s="1334"/>
      <c r="M862" s="3138" t="s">
        <v>121</v>
      </c>
      <c r="N862" s="1270" t="s">
        <v>2306</v>
      </c>
      <c r="O862" s="1334"/>
      <c r="P862" s="1334"/>
      <c r="Q862" s="3138" t="s">
        <v>121</v>
      </c>
      <c r="R862" s="1270" t="s">
        <v>2305</v>
      </c>
      <c r="S862" s="1334"/>
      <c r="T862" s="1334"/>
      <c r="U862" s="3138" t="s">
        <v>121</v>
      </c>
      <c r="V862" s="1270" t="s">
        <v>2304</v>
      </c>
      <c r="W862" s="1334"/>
      <c r="X862" s="1336"/>
      <c r="Y862" s="3119" t="s">
        <v>121</v>
      </c>
      <c r="Z862" s="1270" t="s">
        <v>1229</v>
      </c>
      <c r="AA862" s="1270"/>
      <c r="AB862" s="1286"/>
      <c r="AC862" s="1530"/>
      <c r="AD862" s="1531"/>
      <c r="AE862" s="1531"/>
      <c r="AF862" s="1532"/>
      <c r="AG862" s="3056" t="str">
        <f>"ser_code = '" &amp; IF(A879="■",55,"") &amp; "'"</f>
        <v>ser_code = ''</v>
      </c>
      <c r="AH862" s="3056" t="str">
        <f>"55:jininkbn_code:" &amp; IF(F878="■",1,IF(F879="■",2,IF(F880="■",3,0)))</f>
        <v>55:jininkbn_code:0</v>
      </c>
      <c r="AI862" s="3056" t="str">
        <f>"55:yakan_kinmu_code:" &amp; IF(I862="■",1,IF(M862="■",2,IF(Q862="■",3,IF(U862="■",7,IF(I863="■",5,IF(M863="■",6,0))))))</f>
        <v>55:yakan_kinmu_code:0</v>
      </c>
      <c r="AJ862" s="3056" t="str">
        <f>"55:field203:" &amp; IF(Y862="■",1,IF(Y863="■",2,0))</f>
        <v>55:field203:0</v>
      </c>
    </row>
    <row r="863" spans="1:36" s="3056" customFormat="1" ht="18.75" hidden="1" customHeight="1">
      <c r="A863" s="735"/>
      <c r="B863" s="1407"/>
      <c r="C863" s="1287"/>
      <c r="D863" s="1288"/>
      <c r="E863" s="1275"/>
      <c r="F863" s="1289"/>
      <c r="G863" s="1275"/>
      <c r="H863" s="1542"/>
      <c r="I863" s="3063" t="s">
        <v>121</v>
      </c>
      <c r="J863" s="1296" t="s">
        <v>2303</v>
      </c>
      <c r="K863" s="1309"/>
      <c r="L863" s="1403"/>
      <c r="M863" s="3062" t="s">
        <v>121</v>
      </c>
      <c r="N863" s="1296" t="s">
        <v>1228</v>
      </c>
      <c r="O863" s="1403"/>
      <c r="P863" s="1403"/>
      <c r="Q863" s="1403"/>
      <c r="R863" s="1403"/>
      <c r="S863" s="1403"/>
      <c r="T863" s="1403"/>
      <c r="U863" s="1403"/>
      <c r="V863" s="1403"/>
      <c r="W863" s="1403"/>
      <c r="X863" s="1297"/>
      <c r="Y863" s="3069" t="s">
        <v>121</v>
      </c>
      <c r="Z863" s="1273" t="s">
        <v>1234</v>
      </c>
      <c r="AA863" s="1292"/>
      <c r="AB863" s="1293"/>
      <c r="AC863" s="1533"/>
      <c r="AD863" s="1534"/>
      <c r="AE863" s="1534"/>
      <c r="AF863" s="1535"/>
      <c r="AG863" s="3056" t="str">
        <f>"55:sisetukbn_code:" &amp; IF(D879="■",2,0)</f>
        <v>55:sisetukbn_code:0</v>
      </c>
    </row>
    <row r="864" spans="1:36" s="3056" customFormat="1" ht="18.75" hidden="1" customHeight="1">
      <c r="A864" s="735"/>
      <c r="B864" s="1407"/>
      <c r="C864" s="1287"/>
      <c r="D864" s="1288"/>
      <c r="E864" s="1275"/>
      <c r="F864" s="1289"/>
      <c r="G864" s="1275"/>
      <c r="H864" s="1541" t="s">
        <v>90</v>
      </c>
      <c r="I864" s="3137" t="s">
        <v>121</v>
      </c>
      <c r="J864" s="1290" t="s">
        <v>1230</v>
      </c>
      <c r="K864" s="1290"/>
      <c r="L864" s="1402"/>
      <c r="M864" s="3136" t="s">
        <v>121</v>
      </c>
      <c r="N864" s="1290" t="s">
        <v>1231</v>
      </c>
      <c r="O864" s="1290"/>
      <c r="P864" s="1402"/>
      <c r="Q864" s="3136" t="s">
        <v>121</v>
      </c>
      <c r="R864" s="1402" t="s">
        <v>2302</v>
      </c>
      <c r="S864" s="1402"/>
      <c r="T864" s="1402"/>
      <c r="U864" s="3136" t="s">
        <v>121</v>
      </c>
      <c r="V864" s="1402" t="s">
        <v>2301</v>
      </c>
      <c r="W864" s="1314"/>
      <c r="X864" s="1315"/>
      <c r="Y864" s="1295"/>
      <c r="Z864" s="1292"/>
      <c r="AA864" s="1292"/>
      <c r="AB864" s="1293"/>
      <c r="AC864" s="1533"/>
      <c r="AD864" s="1534"/>
      <c r="AE864" s="1534"/>
      <c r="AF864" s="1535"/>
      <c r="AI864" s="3056" t="str">
        <f>"55:"&amp;IF(AND(I864="□",M864="□",Q864="□",U864="□",I865="□",M865="□"),"ketu_doctor_code:0",IF(I864="■","ketu_doctor_code:1:field197:1:ketu_kangos_code:1:ketu_kshoku_code:1:ketu_ksiensou_code:1",IF(M864="■","ketu_doctor_code:2","ketu_doctor_code:1")
&amp;IF(Q864="■",":field197:2",":field197:1")
&amp;IF(U864="■",":ketu_kangos_code:2",":ketu_kangos_code:1")
&amp;IF(I865="■",":ketu_kshoku_code:2",":ketu_kshoku_code:1")
&amp;IF(M865="■",":ketu_ksiensou_code:2",":ketu_ksiensou_code:1")))</f>
        <v>55:ketu_doctor_code:0</v>
      </c>
    </row>
    <row r="865" spans="1:35" s="3056" customFormat="1" ht="18.75" hidden="1" customHeight="1">
      <c r="A865" s="735"/>
      <c r="B865" s="1407"/>
      <c r="C865" s="1287"/>
      <c r="D865" s="1288"/>
      <c r="E865" s="1275"/>
      <c r="F865" s="1289"/>
      <c r="G865" s="1275"/>
      <c r="H865" s="1542"/>
      <c r="I865" s="3063" t="s">
        <v>121</v>
      </c>
      <c r="J865" s="1403" t="s">
        <v>2300</v>
      </c>
      <c r="K865" s="1296"/>
      <c r="L865" s="1403"/>
      <c r="M865" s="3062" t="s">
        <v>121</v>
      </c>
      <c r="N865" s="1296" t="s">
        <v>2299</v>
      </c>
      <c r="O865" s="1296"/>
      <c r="P865" s="1403"/>
      <c r="Q865" s="1403"/>
      <c r="R865" s="1403"/>
      <c r="S865" s="1403"/>
      <c r="T865" s="1403"/>
      <c r="U865" s="1403"/>
      <c r="V865" s="1403"/>
      <c r="W865" s="1330"/>
      <c r="X865" s="1356"/>
      <c r="Y865" s="1295"/>
      <c r="Z865" s="1292"/>
      <c r="AA865" s="1292"/>
      <c r="AB865" s="1293"/>
      <c r="AC865" s="1533"/>
      <c r="AD865" s="1534"/>
      <c r="AE865" s="1534"/>
      <c r="AF865" s="1535"/>
    </row>
    <row r="866" spans="1:35" s="3056" customFormat="1" ht="18.75" hidden="1" customHeight="1">
      <c r="A866" s="735"/>
      <c r="B866" s="1407"/>
      <c r="C866" s="1287"/>
      <c r="D866" s="1288"/>
      <c r="E866" s="1275"/>
      <c r="F866" s="1289"/>
      <c r="G866" s="1275"/>
      <c r="H866" s="1409" t="s">
        <v>1241</v>
      </c>
      <c r="I866" s="3066" t="s">
        <v>121</v>
      </c>
      <c r="J866" s="1298" t="s">
        <v>1242</v>
      </c>
      <c r="K866" s="1299"/>
      <c r="L866" s="1300"/>
      <c r="M866" s="3065" t="s">
        <v>121</v>
      </c>
      <c r="N866" s="1298" t="s">
        <v>1243</v>
      </c>
      <c r="O866" s="1307"/>
      <c r="P866" s="1307"/>
      <c r="Q866" s="1299"/>
      <c r="R866" s="1299"/>
      <c r="S866" s="1299"/>
      <c r="T866" s="1299"/>
      <c r="U866" s="1299"/>
      <c r="V866" s="1299"/>
      <c r="W866" s="1299"/>
      <c r="X866" s="1302"/>
      <c r="Y866" s="1295"/>
      <c r="Z866" s="1292"/>
      <c r="AA866" s="1292"/>
      <c r="AB866" s="1293"/>
      <c r="AC866" s="1533"/>
      <c r="AD866" s="1534"/>
      <c r="AE866" s="1534"/>
      <c r="AF866" s="1535"/>
      <c r="AI866" s="3056" t="str">
        <f>"55:sintaikousoku_code:" &amp; IF(I866="■",1,IF(M866="■",2,0))</f>
        <v>55:sintaikousoku_code:0</v>
      </c>
    </row>
    <row r="867" spans="1:35" s="3056" customFormat="1" ht="18.75" hidden="1" customHeight="1">
      <c r="A867" s="735"/>
      <c r="B867" s="1407"/>
      <c r="C867" s="1287"/>
      <c r="D867" s="1288"/>
      <c r="E867" s="1275"/>
      <c r="F867" s="1289"/>
      <c r="G867" s="1275"/>
      <c r="H867" s="1409" t="s">
        <v>753</v>
      </c>
      <c r="I867" s="3066" t="s">
        <v>121</v>
      </c>
      <c r="J867" s="1298" t="s">
        <v>1242</v>
      </c>
      <c r="K867" s="1299"/>
      <c r="L867" s="1300"/>
      <c r="M867" s="3065" t="s">
        <v>121</v>
      </c>
      <c r="N867" s="1298" t="s">
        <v>1243</v>
      </c>
      <c r="O867" s="1307"/>
      <c r="P867" s="1307"/>
      <c r="Q867" s="1299"/>
      <c r="R867" s="1299"/>
      <c r="S867" s="1299"/>
      <c r="T867" s="1299"/>
      <c r="U867" s="1299"/>
      <c r="V867" s="1299"/>
      <c r="W867" s="1299"/>
      <c r="X867" s="1302"/>
      <c r="Y867" s="1295"/>
      <c r="Z867" s="1292"/>
      <c r="AA867" s="1292"/>
      <c r="AB867" s="1293"/>
      <c r="AC867" s="1533"/>
      <c r="AD867" s="1534"/>
      <c r="AE867" s="1534"/>
      <c r="AF867" s="1535"/>
      <c r="AI867" s="3056" t="str">
        <f>"55:field208:" &amp; IF(I867="■",1,IF(M867="■",2,0))</f>
        <v>55:field208:0</v>
      </c>
    </row>
    <row r="868" spans="1:35" s="3056" customFormat="1" ht="19.5" hidden="1" customHeight="1">
      <c r="A868" s="735"/>
      <c r="B868" s="1407"/>
      <c r="C868" s="1303"/>
      <c r="D868" s="1304"/>
      <c r="E868" s="1275"/>
      <c r="F868" s="1289"/>
      <c r="G868" s="1305"/>
      <c r="H868" s="1306" t="s">
        <v>1244</v>
      </c>
      <c r="I868" s="3066" t="s">
        <v>121</v>
      </c>
      <c r="J868" s="1298" t="s">
        <v>1242</v>
      </c>
      <c r="K868" s="1299"/>
      <c r="L868" s="1300"/>
      <c r="M868" s="3065" t="s">
        <v>121</v>
      </c>
      <c r="N868" s="1298" t="s">
        <v>1245</v>
      </c>
      <c r="O868" s="1301"/>
      <c r="P868" s="1298"/>
      <c r="Q868" s="1307"/>
      <c r="R868" s="1307"/>
      <c r="S868" s="1307"/>
      <c r="T868" s="1307"/>
      <c r="U868" s="1307"/>
      <c r="V868" s="1307"/>
      <c r="W868" s="1307"/>
      <c r="X868" s="1308"/>
      <c r="Y868" s="1292"/>
      <c r="Z868" s="1292"/>
      <c r="AA868" s="1292"/>
      <c r="AB868" s="1293"/>
      <c r="AC868" s="1533"/>
      <c r="AD868" s="1534"/>
      <c r="AE868" s="1534"/>
      <c r="AF868" s="1535"/>
      <c r="AI868" s="3056" t="str">
        <f>"55:field223:" &amp; IF(I868="■",1,IF(M868="■",2,0))</f>
        <v>55:field223:0</v>
      </c>
    </row>
    <row r="869" spans="1:35" s="3056" customFormat="1" ht="19.5" hidden="1" customHeight="1">
      <c r="A869" s="735"/>
      <c r="B869" s="1407"/>
      <c r="C869" s="1303"/>
      <c r="D869" s="1304"/>
      <c r="E869" s="1275"/>
      <c r="F869" s="1289"/>
      <c r="G869" s="1305"/>
      <c r="H869" s="1306" t="s">
        <v>1246</v>
      </c>
      <c r="I869" s="3066" t="s">
        <v>121</v>
      </c>
      <c r="J869" s="1298" t="s">
        <v>1242</v>
      </c>
      <c r="K869" s="1299"/>
      <c r="L869" s="1300"/>
      <c r="M869" s="3065" t="s">
        <v>121</v>
      </c>
      <c r="N869" s="1298" t="s">
        <v>1245</v>
      </c>
      <c r="O869" s="1301"/>
      <c r="P869" s="1298"/>
      <c r="Q869" s="1307"/>
      <c r="R869" s="1307"/>
      <c r="S869" s="1307"/>
      <c r="T869" s="1307"/>
      <c r="U869" s="1307"/>
      <c r="V869" s="1307"/>
      <c r="W869" s="1307"/>
      <c r="X869" s="1308"/>
      <c r="Y869" s="1292"/>
      <c r="Z869" s="1292"/>
      <c r="AA869" s="1292"/>
      <c r="AB869" s="1293"/>
      <c r="AC869" s="1533"/>
      <c r="AD869" s="1534"/>
      <c r="AE869" s="1534"/>
      <c r="AF869" s="1535"/>
      <c r="AI869" s="3056" t="str">
        <f>"55:field232:" &amp; IF(I869="■",1,IF(M869="■",2,0))</f>
        <v>55:field232:0</v>
      </c>
    </row>
    <row r="870" spans="1:35" s="3056" customFormat="1" ht="18.75" hidden="1" customHeight="1">
      <c r="A870" s="735"/>
      <c r="B870" s="1407"/>
      <c r="C870" s="1287"/>
      <c r="D870" s="1288"/>
      <c r="E870" s="1275"/>
      <c r="F870" s="1289"/>
      <c r="G870" s="1275"/>
      <c r="H870" s="1539" t="s">
        <v>1247</v>
      </c>
      <c r="I870" s="3115" t="s">
        <v>121</v>
      </c>
      <c r="J870" s="1528" t="s">
        <v>1230</v>
      </c>
      <c r="K870" s="1528"/>
      <c r="L870" s="3135" t="s">
        <v>121</v>
      </c>
      <c r="M870" s="1528" t="s">
        <v>1248</v>
      </c>
      <c r="N870" s="1528"/>
      <c r="O870" s="1402"/>
      <c r="P870" s="1402"/>
      <c r="Q870" s="1402"/>
      <c r="R870" s="1402"/>
      <c r="S870" s="1402"/>
      <c r="T870" s="1402"/>
      <c r="U870" s="1402"/>
      <c r="V870" s="1402"/>
      <c r="W870" s="1402"/>
      <c r="X870" s="1291"/>
      <c r="Y870" s="1295"/>
      <c r="Z870" s="1292"/>
      <c r="AA870" s="1292"/>
      <c r="AB870" s="1293"/>
      <c r="AC870" s="1533"/>
      <c r="AD870" s="1534"/>
      <c r="AE870" s="1534"/>
      <c r="AF870" s="1535"/>
      <c r="AI870" s="3056" t="str">
        <f>"55:field206:" &amp; IF(I870="■",1,IF(L870="■",2,0))</f>
        <v>55:field206:0</v>
      </c>
    </row>
    <row r="871" spans="1:35" s="3056" customFormat="1" ht="18.75" hidden="1" customHeight="1">
      <c r="A871" s="735"/>
      <c r="B871" s="1407"/>
      <c r="C871" s="1287"/>
      <c r="D871" s="1288"/>
      <c r="E871" s="1275"/>
      <c r="F871" s="1289"/>
      <c r="G871" s="1275"/>
      <c r="H871" s="1540"/>
      <c r="I871" s="3081"/>
      <c r="J871" s="1529"/>
      <c r="K871" s="1529"/>
      <c r="L871" s="3080"/>
      <c r="M871" s="1529"/>
      <c r="N871" s="1529"/>
      <c r="O871" s="1403"/>
      <c r="P871" s="1403"/>
      <c r="Q871" s="1403"/>
      <c r="R871" s="1403"/>
      <c r="S871" s="1403"/>
      <c r="T871" s="1403"/>
      <c r="U871" s="1403"/>
      <c r="V871" s="1403"/>
      <c r="W871" s="1403"/>
      <c r="X871" s="1297"/>
      <c r="Y871" s="1295"/>
      <c r="Z871" s="1292"/>
      <c r="AA871" s="1292"/>
      <c r="AB871" s="1293"/>
      <c r="AC871" s="1533"/>
      <c r="AD871" s="1534"/>
      <c r="AE871" s="1534"/>
      <c r="AF871" s="1535"/>
    </row>
    <row r="872" spans="1:35" s="3056" customFormat="1" ht="18.75" hidden="1" customHeight="1">
      <c r="A872" s="735"/>
      <c r="B872" s="1407"/>
      <c r="C872" s="1287"/>
      <c r="D872" s="1288"/>
      <c r="E872" s="1275"/>
      <c r="F872" s="1289"/>
      <c r="G872" s="1275"/>
      <c r="H872" s="1409" t="s">
        <v>2295</v>
      </c>
      <c r="I872" s="3066" t="s">
        <v>121</v>
      </c>
      <c r="J872" s="1298" t="s">
        <v>2292</v>
      </c>
      <c r="K872" s="1299"/>
      <c r="L872" s="1300"/>
      <c r="M872" s="3065" t="s">
        <v>121</v>
      </c>
      <c r="N872" s="1298" t="s">
        <v>2291</v>
      </c>
      <c r="O872" s="1307"/>
      <c r="P872" s="1307"/>
      <c r="Q872" s="1299"/>
      <c r="R872" s="1299"/>
      <c r="S872" s="1299"/>
      <c r="T872" s="1299"/>
      <c r="U872" s="1299"/>
      <c r="V872" s="1299"/>
      <c r="W872" s="1299"/>
      <c r="X872" s="1302"/>
      <c r="Y872" s="1295"/>
      <c r="Z872" s="1292"/>
      <c r="AA872" s="1292"/>
      <c r="AB872" s="1293"/>
      <c r="AC872" s="1533"/>
      <c r="AD872" s="1534"/>
      <c r="AE872" s="1534"/>
      <c r="AF872" s="1535"/>
      <c r="AI872" s="3056" t="str">
        <f>"55:field190:" &amp; IF(I872="■",1,IF(M872="■",2,0))</f>
        <v>55:field190:0</v>
      </c>
    </row>
    <row r="873" spans="1:35" s="3056" customFormat="1" ht="18.75" hidden="1" customHeight="1">
      <c r="A873" s="735"/>
      <c r="B873" s="1407"/>
      <c r="C873" s="1287"/>
      <c r="D873" s="1288"/>
      <c r="E873" s="1275"/>
      <c r="F873" s="1289"/>
      <c r="G873" s="1275"/>
      <c r="H873" s="1409" t="s">
        <v>2293</v>
      </c>
      <c r="I873" s="3066" t="s">
        <v>121</v>
      </c>
      <c r="J873" s="1298" t="s">
        <v>2292</v>
      </c>
      <c r="K873" s="1299"/>
      <c r="L873" s="1300"/>
      <c r="M873" s="3065" t="s">
        <v>121</v>
      </c>
      <c r="N873" s="1298" t="s">
        <v>2291</v>
      </c>
      <c r="O873" s="1307"/>
      <c r="P873" s="1307"/>
      <c r="Q873" s="1299"/>
      <c r="R873" s="1299"/>
      <c r="S873" s="1299"/>
      <c r="T873" s="1299"/>
      <c r="U873" s="1299"/>
      <c r="V873" s="1299"/>
      <c r="W873" s="1299"/>
      <c r="X873" s="1302"/>
      <c r="Y873" s="1295"/>
      <c r="Z873" s="1292"/>
      <c r="AA873" s="1292"/>
      <c r="AB873" s="1293"/>
      <c r="AC873" s="1533"/>
      <c r="AD873" s="1534"/>
      <c r="AE873" s="1534"/>
      <c r="AF873" s="1535"/>
      <c r="AI873" s="3056" t="str">
        <f>"55:field191:" &amp; IF(I873="■",1,IF(M873="■",2,0))</f>
        <v>55:field191:0</v>
      </c>
    </row>
    <row r="874" spans="1:35" s="1418" customFormat="1" ht="19.5" hidden="1" customHeight="1">
      <c r="A874" s="625"/>
      <c r="B874" s="1416"/>
      <c r="C874" s="629"/>
      <c r="D874" s="1417"/>
      <c r="E874" s="1420"/>
      <c r="F874" s="1415"/>
      <c r="G874" s="617"/>
      <c r="H874" s="3148" t="s">
        <v>2328</v>
      </c>
      <c r="I874" s="3066" t="s">
        <v>121</v>
      </c>
      <c r="J874" s="3144" t="s">
        <v>2326</v>
      </c>
      <c r="K874" s="3147"/>
      <c r="L874" s="3146"/>
      <c r="M874" s="3065" t="s">
        <v>121</v>
      </c>
      <c r="N874" s="3144" t="s">
        <v>2325</v>
      </c>
      <c r="O874" s="3145"/>
      <c r="P874" s="3144"/>
      <c r="Q874" s="3143"/>
      <c r="R874" s="3143"/>
      <c r="S874" s="3143"/>
      <c r="T874" s="3143"/>
      <c r="U874" s="3143"/>
      <c r="V874" s="3143"/>
      <c r="W874" s="3143"/>
      <c r="X874" s="3142"/>
      <c r="Y874" s="1421"/>
      <c r="Z874" s="2"/>
      <c r="AA874" s="626"/>
      <c r="AB874" s="627"/>
      <c r="AC874" s="1533"/>
      <c r="AD874" s="1534"/>
      <c r="AE874" s="1534"/>
      <c r="AF874" s="1535"/>
      <c r="AI874" s="3056" t="str">
        <f>"55:field242:" &amp; IF(I874="■",1,IF(M874="■",2,0))</f>
        <v>55:field242:0</v>
      </c>
    </row>
    <row r="875" spans="1:35" s="3056" customFormat="1" ht="18.75" hidden="1" customHeight="1">
      <c r="A875" s="735"/>
      <c r="B875" s="1407"/>
      <c r="C875" s="1287"/>
      <c r="D875" s="1288"/>
      <c r="E875" s="1275"/>
      <c r="F875" s="1289"/>
      <c r="G875" s="1275"/>
      <c r="H875" s="1409" t="s">
        <v>2290</v>
      </c>
      <c r="I875" s="3063" t="s">
        <v>121</v>
      </c>
      <c r="J875" s="1296" t="s">
        <v>1230</v>
      </c>
      <c r="K875" s="1309"/>
      <c r="L875" s="3062" t="s">
        <v>121</v>
      </c>
      <c r="M875" s="1296" t="s">
        <v>1248</v>
      </c>
      <c r="N875" s="1326"/>
      <c r="O875" s="1307"/>
      <c r="P875" s="1299"/>
      <c r="Q875" s="1299"/>
      <c r="R875" s="1299"/>
      <c r="S875" s="1299"/>
      <c r="T875" s="1299"/>
      <c r="U875" s="1299"/>
      <c r="V875" s="1299"/>
      <c r="W875" s="1299"/>
      <c r="X875" s="1302"/>
      <c r="Y875" s="1295"/>
      <c r="Z875" s="1292"/>
      <c r="AA875" s="1292"/>
      <c r="AB875" s="1293"/>
      <c r="AC875" s="1533"/>
      <c r="AD875" s="1534"/>
      <c r="AE875" s="1534"/>
      <c r="AF875" s="1535"/>
      <c r="AI875" s="3056" t="str">
        <f>"55:jyakuninti_uke_code:" &amp; IF(I875="■",1,IF(L875="■",2,0))</f>
        <v>55:jyakuninti_uke_code:0</v>
      </c>
    </row>
    <row r="876" spans="1:35" s="3056" customFormat="1" ht="18.75" hidden="1" customHeight="1">
      <c r="A876" s="735"/>
      <c r="B876" s="1407"/>
      <c r="C876" s="1287"/>
      <c r="D876" s="1288"/>
      <c r="E876" s="1275"/>
      <c r="F876" s="1289"/>
      <c r="G876" s="1275"/>
      <c r="H876" s="1409" t="s">
        <v>755</v>
      </c>
      <c r="I876" s="3063" t="s">
        <v>121</v>
      </c>
      <c r="J876" s="1296" t="s">
        <v>1230</v>
      </c>
      <c r="K876" s="1309"/>
      <c r="L876" s="3062" t="s">
        <v>121</v>
      </c>
      <c r="M876" s="1296" t="s">
        <v>1248</v>
      </c>
      <c r="N876" s="1326"/>
      <c r="O876" s="1307"/>
      <c r="P876" s="1299"/>
      <c r="Q876" s="1299"/>
      <c r="R876" s="1299"/>
      <c r="S876" s="1299"/>
      <c r="T876" s="1299"/>
      <c r="U876" s="1299"/>
      <c r="V876" s="1299"/>
      <c r="W876" s="1299"/>
      <c r="X876" s="1302"/>
      <c r="Y876" s="1295"/>
      <c r="Z876" s="1292"/>
      <c r="AA876" s="1292"/>
      <c r="AB876" s="1293"/>
      <c r="AC876" s="1533"/>
      <c r="AD876" s="1534"/>
      <c r="AE876" s="1534"/>
      <c r="AF876" s="1535"/>
      <c r="AI876" s="3056" t="str">
        <f>"55:field207:" &amp; IF(I876="■",1,IF(L876="■",2,0))</f>
        <v>55:field207:0</v>
      </c>
    </row>
    <row r="877" spans="1:35" s="3056" customFormat="1" ht="18.75" hidden="1" customHeight="1">
      <c r="A877" s="735"/>
      <c r="B877" s="1407"/>
      <c r="C877" s="1287"/>
      <c r="D877" s="1288"/>
      <c r="E877" s="1275"/>
      <c r="F877" s="1289"/>
      <c r="G877" s="1275"/>
      <c r="H877" s="1409" t="s">
        <v>145</v>
      </c>
      <c r="I877" s="3063" t="s">
        <v>121</v>
      </c>
      <c r="J877" s="1296" t="s">
        <v>1230</v>
      </c>
      <c r="K877" s="1309"/>
      <c r="L877" s="3062" t="s">
        <v>121</v>
      </c>
      <c r="M877" s="1296" t="s">
        <v>1248</v>
      </c>
      <c r="N877" s="1326"/>
      <c r="O877" s="1307"/>
      <c r="P877" s="1299"/>
      <c r="Q877" s="1299"/>
      <c r="R877" s="1299"/>
      <c r="S877" s="1299"/>
      <c r="T877" s="1299"/>
      <c r="U877" s="1299"/>
      <c r="V877" s="1299"/>
      <c r="W877" s="1299"/>
      <c r="X877" s="1302"/>
      <c r="Y877" s="1295"/>
      <c r="Z877" s="1292"/>
      <c r="AA877" s="1292"/>
      <c r="AB877" s="1293"/>
      <c r="AC877" s="1533"/>
      <c r="AD877" s="1534"/>
      <c r="AE877" s="1534"/>
      <c r="AF877" s="1535"/>
      <c r="AI877" s="3056" t="str">
        <f>"55:ryouyoushoku_code:" &amp; IF(I877="■",1,IF(L877="■",2,0))</f>
        <v>55:ryouyoushoku_code:0</v>
      </c>
    </row>
    <row r="878" spans="1:35" s="3056" customFormat="1" ht="18.75" hidden="1" customHeight="1">
      <c r="A878" s="735"/>
      <c r="B878" s="1407"/>
      <c r="C878" s="1287"/>
      <c r="D878" s="1288"/>
      <c r="E878" s="1275"/>
      <c r="F878" s="3069" t="s">
        <v>121</v>
      </c>
      <c r="G878" s="1275" t="s">
        <v>2334</v>
      </c>
      <c r="H878" s="1541" t="s">
        <v>2321</v>
      </c>
      <c r="I878" s="3137" t="s">
        <v>121</v>
      </c>
      <c r="J878" s="1290" t="s">
        <v>1273</v>
      </c>
      <c r="K878" s="1290"/>
      <c r="L878" s="1314"/>
      <c r="M878" s="1314"/>
      <c r="N878" s="1314"/>
      <c r="O878" s="1314"/>
      <c r="P878" s="3136" t="s">
        <v>121</v>
      </c>
      <c r="Q878" s="1290" t="s">
        <v>1274</v>
      </c>
      <c r="R878" s="1314"/>
      <c r="S878" s="1314"/>
      <c r="T878" s="1314"/>
      <c r="U878" s="1314"/>
      <c r="V878" s="1314"/>
      <c r="W878" s="1314"/>
      <c r="X878" s="1315"/>
      <c r="Y878" s="1295"/>
      <c r="Z878" s="1292"/>
      <c r="AA878" s="1292"/>
      <c r="AB878" s="1293"/>
      <c r="AC878" s="1533"/>
      <c r="AD878" s="1534"/>
      <c r="AE878" s="1534"/>
      <c r="AF878" s="1535"/>
      <c r="AI878" s="3056" t="str">
        <f>"55:" &amp; IF(AND(I878="□",P878="□",I879="□"),"tokusin_jyusho_code:0:tokusin_yakuzai_code:0:shuudan_comu_code:0",IF(I878="■","tokusin_jyusho_code:2","tokusin_jyusho_code:1")
&amp;IF(P878="■",":tokusin_yakuzai_code:2",":tokusin_yakuzai_code:1")
&amp;IF(I879="■",":shuudan_comu_code:2",":shuudan_comu_code:1"))</f>
        <v>55:tokusin_jyusho_code:0:tokusin_yakuzai_code:0:shuudan_comu_code:0</v>
      </c>
    </row>
    <row r="879" spans="1:35" s="3056" customFormat="1" ht="18.75" hidden="1" customHeight="1">
      <c r="A879" s="3069" t="s">
        <v>121</v>
      </c>
      <c r="B879" s="1407">
        <v>55</v>
      </c>
      <c r="C879" s="1287" t="s">
        <v>2333</v>
      </c>
      <c r="D879" s="3069" t="s">
        <v>121</v>
      </c>
      <c r="E879" s="1275" t="s">
        <v>2332</v>
      </c>
      <c r="F879" s="3069" t="s">
        <v>121</v>
      </c>
      <c r="G879" s="1275" t="s">
        <v>2331</v>
      </c>
      <c r="H879" s="1542"/>
      <c r="I879" s="3063" t="s">
        <v>121</v>
      </c>
      <c r="J879" s="1296" t="s">
        <v>2318</v>
      </c>
      <c r="K879" s="1330"/>
      <c r="L879" s="1330"/>
      <c r="M879" s="1330"/>
      <c r="N879" s="1330"/>
      <c r="O879" s="1330"/>
      <c r="P879" s="1330"/>
      <c r="Q879" s="1412"/>
      <c r="R879" s="1330"/>
      <c r="S879" s="1330"/>
      <c r="T879" s="1330"/>
      <c r="U879" s="1330"/>
      <c r="V879" s="1330"/>
      <c r="W879" s="1330"/>
      <c r="X879" s="1356"/>
      <c r="Y879" s="1295"/>
      <c r="Z879" s="1292"/>
      <c r="AA879" s="1292"/>
      <c r="AB879" s="1293"/>
      <c r="AC879" s="1533"/>
      <c r="AD879" s="1534"/>
      <c r="AE879" s="1534"/>
      <c r="AF879" s="1535"/>
    </row>
    <row r="880" spans="1:35" s="3056" customFormat="1" ht="18.75" hidden="1" customHeight="1">
      <c r="A880" s="735"/>
      <c r="B880" s="1407"/>
      <c r="C880" s="1287"/>
      <c r="D880" s="1288"/>
      <c r="E880" s="1275"/>
      <c r="F880" s="3069" t="s">
        <v>121</v>
      </c>
      <c r="G880" s="1275" t="s">
        <v>2330</v>
      </c>
      <c r="H880" s="1541" t="s">
        <v>1280</v>
      </c>
      <c r="I880" s="3137" t="s">
        <v>121</v>
      </c>
      <c r="J880" s="1290" t="s">
        <v>2317</v>
      </c>
      <c r="K880" s="1328"/>
      <c r="L880" s="1329"/>
      <c r="M880" s="3136" t="s">
        <v>121</v>
      </c>
      <c r="N880" s="1290" t="s">
        <v>2316</v>
      </c>
      <c r="O880" s="1314"/>
      <c r="P880" s="1314"/>
      <c r="Q880" s="3136" t="s">
        <v>121</v>
      </c>
      <c r="R880" s="1290" t="s">
        <v>2315</v>
      </c>
      <c r="S880" s="1314"/>
      <c r="T880" s="1314"/>
      <c r="U880" s="1314"/>
      <c r="V880" s="1314"/>
      <c r="W880" s="1314"/>
      <c r="X880" s="1315"/>
      <c r="Y880" s="1295"/>
      <c r="Z880" s="1292"/>
      <c r="AA880" s="1292"/>
      <c r="AB880" s="1293"/>
      <c r="AC880" s="1533"/>
      <c r="AD880" s="1534"/>
      <c r="AE880" s="1534"/>
      <c r="AF880" s="1535"/>
      <c r="AI880" s="3056" t="str">
        <f>"55:"&amp;IF(AND(I880="□",M880="□",Q880="□",I881="□",Q881="□"),"koriha_rryoho1_code:0:koriha_sryoho_code:0:koriha_gengo_code:0:riha_seisin_code:0:koriha_other_code:0",IF(I880="■","koriha_rryoho1_code:2","koriha_rryoho1_code:1")
&amp;IF(M880="■",":koriha_sryoho_code:2",":koriha_sryoho_code:1")
&amp;IF(Q880="■",":koriha_gengo_code:2",":koriha_gengo_code:1")
&amp;IF(I881="■",":riha_seisin_code:2",":riha_seisin_code:1")
&amp;IF(Q881="■",":koriha_other_code:2",":koriha_other_code:1"))</f>
        <v>55:koriha_rryoho1_code:0:koriha_sryoho_code:0:koriha_gengo_code:0:riha_seisin_code:0:koriha_other_code:0</v>
      </c>
    </row>
    <row r="881" spans="1:35" s="3056" customFormat="1" ht="18.75" hidden="1" customHeight="1">
      <c r="A881" s="735"/>
      <c r="B881" s="1407"/>
      <c r="C881" s="1287"/>
      <c r="D881" s="1288"/>
      <c r="E881" s="1275"/>
      <c r="F881" s="1288"/>
      <c r="G881" s="1275"/>
      <c r="H881" s="1542"/>
      <c r="I881" s="3063" t="s">
        <v>121</v>
      </c>
      <c r="J881" s="1296" t="s">
        <v>2314</v>
      </c>
      <c r="K881" s="1330"/>
      <c r="L881" s="1330"/>
      <c r="M881" s="1330"/>
      <c r="N881" s="1330"/>
      <c r="O881" s="1330"/>
      <c r="P881" s="1330"/>
      <c r="Q881" s="3122" t="s">
        <v>121</v>
      </c>
      <c r="R881" s="1296" t="s">
        <v>2313</v>
      </c>
      <c r="S881" s="1403"/>
      <c r="T881" s="1330"/>
      <c r="U881" s="1330"/>
      <c r="V881" s="1330"/>
      <c r="W881" s="1330"/>
      <c r="X881" s="1356"/>
      <c r="Y881" s="1295"/>
      <c r="Z881" s="1292"/>
      <c r="AA881" s="1292"/>
      <c r="AB881" s="1293"/>
      <c r="AC881" s="1533"/>
      <c r="AD881" s="1534"/>
      <c r="AE881" s="1534"/>
      <c r="AF881" s="1535"/>
    </row>
    <row r="882" spans="1:35" s="3056" customFormat="1" ht="18.75" hidden="1" customHeight="1">
      <c r="A882" s="735"/>
      <c r="B882" s="1407"/>
      <c r="C882" s="1287"/>
      <c r="D882" s="1288"/>
      <c r="E882" s="1275"/>
      <c r="F882" s="1288"/>
      <c r="G882" s="1275"/>
      <c r="H882" s="1539" t="s">
        <v>2312</v>
      </c>
      <c r="I882" s="3115" t="s">
        <v>121</v>
      </c>
      <c r="J882" s="1528" t="s">
        <v>1230</v>
      </c>
      <c r="K882" s="1528"/>
      <c r="L882" s="3135" t="s">
        <v>121</v>
      </c>
      <c r="M882" s="1528" t="s">
        <v>2311</v>
      </c>
      <c r="N882" s="1528"/>
      <c r="O882" s="1528"/>
      <c r="P882" s="3135" t="s">
        <v>121</v>
      </c>
      <c r="Q882" s="1528" t="s">
        <v>2310</v>
      </c>
      <c r="R882" s="1528"/>
      <c r="S882" s="1528"/>
      <c r="T882" s="3135" t="s">
        <v>121</v>
      </c>
      <c r="U882" s="1528" t="s">
        <v>2309</v>
      </c>
      <c r="V882" s="1528"/>
      <c r="W882" s="1528"/>
      <c r="X882" s="3141"/>
      <c r="Y882" s="1295"/>
      <c r="Z882" s="1292"/>
      <c r="AA882" s="1292"/>
      <c r="AB882" s="1293"/>
      <c r="AC882" s="1533"/>
      <c r="AD882" s="1534"/>
      <c r="AE882" s="1534"/>
      <c r="AF882" s="1535"/>
      <c r="AI882" s="3056" t="str">
        <f>"55:"&amp;IF(AND(I882="□",L882="□",P882="□",T882="□"),"field236:0:field237:0:field238:0",IF(I882="■","field236:1:field237:1:field238:1",IF(L882="■","field236:2","field236:1")
&amp;IF(P882="■",":field237:2",":field237:1")
&amp;IF(T882="■",":field238:2",":field238:1")))</f>
        <v>55:field236:0:field237:0:field238:0</v>
      </c>
    </row>
    <row r="883" spans="1:35" s="3056" customFormat="1" ht="18.75" hidden="1" customHeight="1">
      <c r="A883" s="735"/>
      <c r="B883" s="1407"/>
      <c r="C883" s="1287"/>
      <c r="D883" s="1288"/>
      <c r="E883" s="1275"/>
      <c r="F883" s="1289"/>
      <c r="G883" s="1275"/>
      <c r="H883" s="1540"/>
      <c r="I883" s="3081"/>
      <c r="J883" s="1529"/>
      <c r="K883" s="1529"/>
      <c r="L883" s="3080"/>
      <c r="M883" s="1529"/>
      <c r="N883" s="1529"/>
      <c r="O883" s="1529"/>
      <c r="P883" s="3080"/>
      <c r="Q883" s="1529"/>
      <c r="R883" s="1529"/>
      <c r="S883" s="1529"/>
      <c r="T883" s="3080"/>
      <c r="U883" s="1529"/>
      <c r="V883" s="1529"/>
      <c r="W883" s="1529"/>
      <c r="X883" s="3140"/>
      <c r="Y883" s="1295"/>
      <c r="Z883" s="1292"/>
      <c r="AA883" s="1292"/>
      <c r="AB883" s="1293"/>
      <c r="AC883" s="1533"/>
      <c r="AD883" s="1534"/>
      <c r="AE883" s="1534"/>
      <c r="AF883" s="1535"/>
    </row>
    <row r="884" spans="1:35" s="3056" customFormat="1" ht="18.75" hidden="1" customHeight="1">
      <c r="A884" s="735"/>
      <c r="B884" s="1407"/>
      <c r="C884" s="1287"/>
      <c r="D884" s="1288"/>
      <c r="E884" s="1275"/>
      <c r="F884" s="1289"/>
      <c r="G884" s="1275"/>
      <c r="H884" s="1410" t="s">
        <v>2308</v>
      </c>
      <c r="I884" s="3063" t="s">
        <v>121</v>
      </c>
      <c r="J884" s="1296" t="s">
        <v>1230</v>
      </c>
      <c r="K884" s="1309"/>
      <c r="L884" s="3062" t="s">
        <v>121</v>
      </c>
      <c r="M884" s="1296" t="s">
        <v>1248</v>
      </c>
      <c r="N884" s="1326"/>
      <c r="O884" s="1307"/>
      <c r="P884" s="1299"/>
      <c r="Q884" s="1299"/>
      <c r="R884" s="1299"/>
      <c r="S884" s="1299"/>
      <c r="T884" s="1299"/>
      <c r="U884" s="1299"/>
      <c r="V884" s="1299"/>
      <c r="W884" s="1299"/>
      <c r="X884" s="1302"/>
      <c r="Y884" s="1295"/>
      <c r="Z884" s="1292"/>
      <c r="AA884" s="1292"/>
      <c r="AB884" s="1293"/>
      <c r="AC884" s="1533"/>
      <c r="AD884" s="1534"/>
      <c r="AE884" s="1534"/>
      <c r="AF884" s="1535"/>
      <c r="AI884" s="3056" t="str">
        <f>"55:ninti_riha_code:" &amp; IF(I884="■",1,IF(L884="■",2,0))</f>
        <v>55:ninti_riha_code:0</v>
      </c>
    </row>
    <row r="885" spans="1:35" s="3056" customFormat="1" ht="18.75" hidden="1" customHeight="1">
      <c r="A885" s="735"/>
      <c r="B885" s="1407"/>
      <c r="C885" s="1287"/>
      <c r="D885" s="1288"/>
      <c r="E885" s="1275"/>
      <c r="F885" s="1289"/>
      <c r="G885" s="1275"/>
      <c r="H885" s="1409" t="s">
        <v>1260</v>
      </c>
      <c r="I885" s="3066" t="s">
        <v>121</v>
      </c>
      <c r="J885" s="1298" t="s">
        <v>1230</v>
      </c>
      <c r="K885" s="1298"/>
      <c r="L885" s="3065" t="s">
        <v>121</v>
      </c>
      <c r="M885" s="1298" t="s">
        <v>1256</v>
      </c>
      <c r="N885" s="1298"/>
      <c r="O885" s="3065" t="s">
        <v>121</v>
      </c>
      <c r="P885" s="1298" t="s">
        <v>1257</v>
      </c>
      <c r="Q885" s="1307"/>
      <c r="R885" s="1299"/>
      <c r="S885" s="1299"/>
      <c r="T885" s="1299"/>
      <c r="U885" s="1299"/>
      <c r="V885" s="1299"/>
      <c r="W885" s="1299"/>
      <c r="X885" s="1302"/>
      <c r="Y885" s="1295"/>
      <c r="Z885" s="1292"/>
      <c r="AA885" s="1292"/>
      <c r="AB885" s="1293"/>
      <c r="AC885" s="1533"/>
      <c r="AD885" s="1534"/>
      <c r="AE885" s="1534"/>
      <c r="AF885" s="1535"/>
      <c r="AI885" s="3056" t="str">
        <f>"55:ninti_senmoncare_code:" &amp; IF(I885="■",1,IF(O885="■",3,IF(L885="■",2,0)))</f>
        <v>55:ninti_senmoncare_code:0</v>
      </c>
    </row>
    <row r="886" spans="1:35" s="3056" customFormat="1" ht="18.75" hidden="1" customHeight="1">
      <c r="A886" s="735"/>
      <c r="B886" s="1407"/>
      <c r="C886" s="1287"/>
      <c r="D886" s="1288"/>
      <c r="E886" s="1275"/>
      <c r="F886" s="1289"/>
      <c r="G886" s="1275"/>
      <c r="H886" s="1409" t="s">
        <v>1261</v>
      </c>
      <c r="I886" s="3066" t="s">
        <v>121</v>
      </c>
      <c r="J886" s="1298" t="s">
        <v>1230</v>
      </c>
      <c r="K886" s="1298"/>
      <c r="L886" s="3065" t="s">
        <v>121</v>
      </c>
      <c r="M886" s="1298" t="s">
        <v>1256</v>
      </c>
      <c r="N886" s="1298"/>
      <c r="O886" s="3065" t="s">
        <v>121</v>
      </c>
      <c r="P886" s="1298" t="s">
        <v>1257</v>
      </c>
      <c r="Q886" s="1299"/>
      <c r="R886" s="1299"/>
      <c r="S886" s="1299"/>
      <c r="T886" s="1299"/>
      <c r="U886" s="1299"/>
      <c r="V886" s="1299"/>
      <c r="W886" s="1299"/>
      <c r="X886" s="1302"/>
      <c r="Y886" s="1295"/>
      <c r="Z886" s="1292"/>
      <c r="AA886" s="1292"/>
      <c r="AB886" s="1293"/>
      <c r="AC886" s="1533"/>
      <c r="AD886" s="1534"/>
      <c r="AE886" s="1534"/>
      <c r="AF886" s="1535"/>
      <c r="AI886" s="3056" t="str">
        <f>"55:field228:" &amp; IF(I886="■",1,IF(L886="■",2,IF(O886="■",3,0)))</f>
        <v>55:field228:0</v>
      </c>
    </row>
    <row r="887" spans="1:35" s="3056" customFormat="1" ht="18.75" hidden="1" customHeight="1">
      <c r="A887" s="735"/>
      <c r="B887" s="1407"/>
      <c r="C887" s="1287"/>
      <c r="D887" s="1288"/>
      <c r="E887" s="1275"/>
      <c r="F887" s="1289"/>
      <c r="G887" s="1275"/>
      <c r="H887" s="1409" t="s">
        <v>2307</v>
      </c>
      <c r="I887" s="3066" t="s">
        <v>121</v>
      </c>
      <c r="J887" s="1298" t="s">
        <v>1230</v>
      </c>
      <c r="K887" s="1298"/>
      <c r="L887" s="3065" t="s">
        <v>121</v>
      </c>
      <c r="M887" s="1298" t="s">
        <v>1256</v>
      </c>
      <c r="N887" s="1298"/>
      <c r="O887" s="3065" t="s">
        <v>121</v>
      </c>
      <c r="P887" s="1298" t="s">
        <v>1257</v>
      </c>
      <c r="Q887" s="1307"/>
      <c r="R887" s="1298"/>
      <c r="S887" s="1298"/>
      <c r="T887" s="1298"/>
      <c r="U887" s="1298"/>
      <c r="V887" s="1298"/>
      <c r="W887" s="1298"/>
      <c r="X887" s="1310"/>
      <c r="Y887" s="1295"/>
      <c r="Z887" s="1292"/>
      <c r="AA887" s="1292"/>
      <c r="AB887" s="1293"/>
      <c r="AC887" s="1533"/>
      <c r="AD887" s="1534"/>
      <c r="AE887" s="1534"/>
      <c r="AF887" s="1535"/>
      <c r="AI887" s="3056" t="str">
        <f>"55:field164:" &amp; IF(I887="■",1,IF(L887="■",2,IF(O887="■",3,0)))</f>
        <v>55:field164:0</v>
      </c>
    </row>
    <row r="888" spans="1:35" s="3056" customFormat="1" ht="18.75" hidden="1" customHeight="1">
      <c r="A888" s="735"/>
      <c r="B888" s="1407"/>
      <c r="C888" s="1287"/>
      <c r="D888" s="1288"/>
      <c r="E888" s="1275"/>
      <c r="F888" s="1289"/>
      <c r="G888" s="1275"/>
      <c r="H888" s="1312" t="s">
        <v>757</v>
      </c>
      <c r="I888" s="3063" t="s">
        <v>121</v>
      </c>
      <c r="J888" s="1296" t="s">
        <v>1230</v>
      </c>
      <c r="K888" s="1309"/>
      <c r="L888" s="3062" t="s">
        <v>121</v>
      </c>
      <c r="M888" s="1296" t="s">
        <v>1248</v>
      </c>
      <c r="N888" s="1326"/>
      <c r="O888" s="1307"/>
      <c r="P888" s="1299"/>
      <c r="Q888" s="1299"/>
      <c r="R888" s="1299"/>
      <c r="S888" s="1299"/>
      <c r="T888" s="1299"/>
      <c r="U888" s="1299"/>
      <c r="V888" s="1299"/>
      <c r="W888" s="1299"/>
      <c r="X888" s="1302"/>
      <c r="Y888" s="1295"/>
      <c r="Z888" s="1292"/>
      <c r="AA888" s="1292"/>
      <c r="AB888" s="1293"/>
      <c r="AC888" s="1533"/>
      <c r="AD888" s="1534"/>
      <c r="AE888" s="1534"/>
      <c r="AF888" s="1535"/>
      <c r="AI888" s="3056" t="str">
        <f>"55:field210:" &amp; IF(I888="■",1,IF(L888="■",2,0))</f>
        <v>55:field210:0</v>
      </c>
    </row>
    <row r="889" spans="1:35" s="3056" customFormat="1" ht="18.75" hidden="1" customHeight="1">
      <c r="A889" s="735"/>
      <c r="B889" s="1407"/>
      <c r="C889" s="1287"/>
      <c r="D889" s="1288"/>
      <c r="E889" s="1275"/>
      <c r="F889" s="1289"/>
      <c r="G889" s="1275"/>
      <c r="H889" s="1409" t="s">
        <v>758</v>
      </c>
      <c r="I889" s="3063" t="s">
        <v>121</v>
      </c>
      <c r="J889" s="1296" t="s">
        <v>1230</v>
      </c>
      <c r="K889" s="1309"/>
      <c r="L889" s="3062" t="s">
        <v>121</v>
      </c>
      <c r="M889" s="1296" t="s">
        <v>1248</v>
      </c>
      <c r="N889" s="1326"/>
      <c r="O889" s="1307"/>
      <c r="P889" s="1299"/>
      <c r="Q889" s="1299"/>
      <c r="R889" s="1299"/>
      <c r="S889" s="1299"/>
      <c r="T889" s="1299"/>
      <c r="U889" s="1299"/>
      <c r="V889" s="1299"/>
      <c r="W889" s="1299"/>
      <c r="X889" s="1302"/>
      <c r="Y889" s="1295"/>
      <c r="Z889" s="1292"/>
      <c r="AA889" s="1292"/>
      <c r="AB889" s="1293"/>
      <c r="AC889" s="1533"/>
      <c r="AD889" s="1534"/>
      <c r="AE889" s="1534"/>
      <c r="AF889" s="1535"/>
      <c r="AI889" s="3056" t="str">
        <f>"55:field211:" &amp; IF(I889="■",1,IF(L889="■",2,0))</f>
        <v>55:field211:0</v>
      </c>
    </row>
    <row r="890" spans="1:35" s="3056" customFormat="1" ht="18.75" hidden="1" customHeight="1">
      <c r="A890" s="735"/>
      <c r="B890" s="1407"/>
      <c r="C890" s="1287"/>
      <c r="D890" s="1288"/>
      <c r="E890" s="1275"/>
      <c r="F890" s="1289"/>
      <c r="G890" s="1275"/>
      <c r="H890" s="1409" t="s">
        <v>764</v>
      </c>
      <c r="I890" s="3063" t="s">
        <v>121</v>
      </c>
      <c r="J890" s="1296" t="s">
        <v>1230</v>
      </c>
      <c r="K890" s="1309"/>
      <c r="L890" s="3062" t="s">
        <v>121</v>
      </c>
      <c r="M890" s="1296" t="s">
        <v>1248</v>
      </c>
      <c r="N890" s="1326"/>
      <c r="O890" s="1307"/>
      <c r="P890" s="1299"/>
      <c r="Q890" s="1299"/>
      <c r="R890" s="1299"/>
      <c r="S890" s="1299"/>
      <c r="T890" s="1299"/>
      <c r="U890" s="1299"/>
      <c r="V890" s="1299"/>
      <c r="W890" s="1299"/>
      <c r="X890" s="1302"/>
      <c r="Y890" s="1295"/>
      <c r="Z890" s="1292"/>
      <c r="AA890" s="1292"/>
      <c r="AB890" s="1293"/>
      <c r="AC890" s="1533"/>
      <c r="AD890" s="1534"/>
      <c r="AE890" s="1534"/>
      <c r="AF890" s="1535"/>
      <c r="AI890" s="3056" t="str">
        <f>"55:field212:" &amp; IF(I890="■",1,IF(L890="■",2,0))</f>
        <v>55:field212:0</v>
      </c>
    </row>
    <row r="891" spans="1:35" s="3056" customFormat="1" ht="18.75" hidden="1" customHeight="1">
      <c r="A891" s="735"/>
      <c r="B891" s="1407"/>
      <c r="C891" s="1287"/>
      <c r="D891" s="1288"/>
      <c r="E891" s="1275"/>
      <c r="F891" s="1289"/>
      <c r="G891" s="1275"/>
      <c r="H891" s="1409" t="s">
        <v>760</v>
      </c>
      <c r="I891" s="3063" t="s">
        <v>121</v>
      </c>
      <c r="J891" s="1296" t="s">
        <v>1230</v>
      </c>
      <c r="K891" s="1309"/>
      <c r="L891" s="3062" t="s">
        <v>121</v>
      </c>
      <c r="M891" s="1296" t="s">
        <v>1248</v>
      </c>
      <c r="N891" s="1326"/>
      <c r="O891" s="1307"/>
      <c r="P891" s="1299"/>
      <c r="Q891" s="1299"/>
      <c r="R891" s="1299"/>
      <c r="S891" s="1299"/>
      <c r="T891" s="1299"/>
      <c r="U891" s="1299"/>
      <c r="V891" s="1299"/>
      <c r="W891" s="1299"/>
      <c r="X891" s="1302"/>
      <c r="Y891" s="1295"/>
      <c r="Z891" s="1292"/>
      <c r="AA891" s="1292"/>
      <c r="AB891" s="1293"/>
      <c r="AC891" s="1533"/>
      <c r="AD891" s="1534"/>
      <c r="AE891" s="1534"/>
      <c r="AF891" s="1535"/>
      <c r="AI891" s="3056" t="str">
        <f>"55:field209:" &amp; IF(I891="■",1,IF(L891="■",2,0))</f>
        <v>55:field209:0</v>
      </c>
    </row>
    <row r="892" spans="1:35" s="3056" customFormat="1" ht="18.75" hidden="1" customHeight="1">
      <c r="A892" s="735"/>
      <c r="B892" s="1407"/>
      <c r="C892" s="1287"/>
      <c r="D892" s="1288"/>
      <c r="E892" s="1275"/>
      <c r="F892" s="1289"/>
      <c r="G892" s="1275"/>
      <c r="H892" s="1409" t="s">
        <v>1288</v>
      </c>
      <c r="I892" s="3066" t="s">
        <v>121</v>
      </c>
      <c r="J892" s="1298" t="s">
        <v>1230</v>
      </c>
      <c r="K892" s="1298"/>
      <c r="L892" s="3065" t="s">
        <v>121</v>
      </c>
      <c r="M892" s="1296" t="s">
        <v>1248</v>
      </c>
      <c r="N892" s="1298"/>
      <c r="O892" s="1298"/>
      <c r="P892" s="1298"/>
      <c r="Q892" s="1299"/>
      <c r="R892" s="1299"/>
      <c r="S892" s="1299"/>
      <c r="T892" s="1299"/>
      <c r="U892" s="1299"/>
      <c r="V892" s="1299"/>
      <c r="W892" s="1299"/>
      <c r="X892" s="1302"/>
      <c r="Y892" s="1295"/>
      <c r="Z892" s="1292"/>
      <c r="AA892" s="1292"/>
      <c r="AB892" s="1293"/>
      <c r="AC892" s="1533"/>
      <c r="AD892" s="1534"/>
      <c r="AE892" s="1534"/>
      <c r="AF892" s="1535"/>
      <c r="AI892" s="3056" t="str">
        <f>"55:field226:" &amp; IF(I892="■",1,IF(L892="■",2,0))</f>
        <v>55:field226:0</v>
      </c>
    </row>
    <row r="893" spans="1:35" s="3056" customFormat="1" ht="18.75" hidden="1" customHeight="1">
      <c r="A893" s="735"/>
      <c r="B893" s="1407"/>
      <c r="C893" s="1287"/>
      <c r="D893" s="1288"/>
      <c r="E893" s="1275"/>
      <c r="F893" s="1289"/>
      <c r="G893" s="1275"/>
      <c r="H893" s="1409" t="s">
        <v>1289</v>
      </c>
      <c r="I893" s="3066" t="s">
        <v>121</v>
      </c>
      <c r="J893" s="1298" t="s">
        <v>1230</v>
      </c>
      <c r="K893" s="1298"/>
      <c r="L893" s="3065" t="s">
        <v>121</v>
      </c>
      <c r="M893" s="1296" t="s">
        <v>1248</v>
      </c>
      <c r="N893" s="1298"/>
      <c r="O893" s="1298"/>
      <c r="P893" s="1298"/>
      <c r="Q893" s="1299"/>
      <c r="R893" s="1299"/>
      <c r="S893" s="1299"/>
      <c r="T893" s="1299"/>
      <c r="U893" s="1299"/>
      <c r="V893" s="1299"/>
      <c r="W893" s="1299"/>
      <c r="X893" s="1302"/>
      <c r="Y893" s="1295"/>
      <c r="Z893" s="1292"/>
      <c r="AA893" s="1292"/>
      <c r="AB893" s="1293"/>
      <c r="AC893" s="1533"/>
      <c r="AD893" s="1534"/>
      <c r="AE893" s="1534"/>
      <c r="AF893" s="1535"/>
      <c r="AI893" s="3056" t="str">
        <f>"55:field227:" &amp; IF(I893="■",1,IF(L893="■",2,0))</f>
        <v>55:field227:0</v>
      </c>
    </row>
    <row r="894" spans="1:35" s="3056" customFormat="1" ht="18.75" hidden="1" customHeight="1">
      <c r="A894" s="735"/>
      <c r="B894" s="1407"/>
      <c r="C894" s="1287"/>
      <c r="D894" s="1288"/>
      <c r="E894" s="1275"/>
      <c r="F894" s="1289"/>
      <c r="G894" s="1275"/>
      <c r="H894" s="1313" t="s">
        <v>1265</v>
      </c>
      <c r="I894" s="3066" t="s">
        <v>121</v>
      </c>
      <c r="J894" s="1298" t="s">
        <v>1230</v>
      </c>
      <c r="K894" s="1298"/>
      <c r="L894" s="3065" t="s">
        <v>121</v>
      </c>
      <c r="M894" s="1298" t="s">
        <v>1256</v>
      </c>
      <c r="N894" s="1298"/>
      <c r="O894" s="3065" t="s">
        <v>121</v>
      </c>
      <c r="P894" s="1298" t="s">
        <v>1257</v>
      </c>
      <c r="Q894" s="1307"/>
      <c r="R894" s="1307"/>
      <c r="S894" s="1307"/>
      <c r="T894" s="1307"/>
      <c r="U894" s="1314"/>
      <c r="V894" s="1314"/>
      <c r="W894" s="1314"/>
      <c r="X894" s="1315"/>
      <c r="Y894" s="1295"/>
      <c r="Z894" s="1292"/>
      <c r="AA894" s="1292"/>
      <c r="AB894" s="1293"/>
      <c r="AC894" s="1533"/>
      <c r="AD894" s="1534"/>
      <c r="AE894" s="1534"/>
      <c r="AF894" s="1535"/>
      <c r="AI894" s="3056" t="str">
        <f>"55:field225:" &amp; IF(I894="■",1,IF(L894="■",2,IF(O894="■",3,0)))</f>
        <v>55:field225:0</v>
      </c>
    </row>
    <row r="895" spans="1:35" s="3056" customFormat="1" ht="18.75" hidden="1" customHeight="1">
      <c r="A895" s="735"/>
      <c r="B895" s="1407"/>
      <c r="C895" s="1287"/>
      <c r="D895" s="1288"/>
      <c r="E895" s="1275"/>
      <c r="F895" s="1289"/>
      <c r="G895" s="1275"/>
      <c r="H895" s="1409" t="s">
        <v>1266</v>
      </c>
      <c r="I895" s="3066" t="s">
        <v>121</v>
      </c>
      <c r="J895" s="1298" t="s">
        <v>1230</v>
      </c>
      <c r="K895" s="1298"/>
      <c r="L895" s="3065" t="s">
        <v>121</v>
      </c>
      <c r="M895" s="1298" t="s">
        <v>1267</v>
      </c>
      <c r="N895" s="1298"/>
      <c r="O895" s="3065" t="s">
        <v>121</v>
      </c>
      <c r="P895" s="1298" t="s">
        <v>1268</v>
      </c>
      <c r="Q895" s="1326"/>
      <c r="R895" s="3065" t="s">
        <v>121</v>
      </c>
      <c r="S895" s="1298" t="s">
        <v>1269</v>
      </c>
      <c r="T895" s="1298"/>
      <c r="U895" s="1298"/>
      <c r="V895" s="1298"/>
      <c r="W895" s="1298"/>
      <c r="X895" s="1310"/>
      <c r="Y895" s="1295"/>
      <c r="Z895" s="1292"/>
      <c r="AA895" s="1292"/>
      <c r="AB895" s="1293"/>
      <c r="AC895" s="1533"/>
      <c r="AD895" s="1534"/>
      <c r="AE895" s="1534"/>
      <c r="AF895" s="1535"/>
      <c r="AI895" s="3056" t="str">
        <f>"55:serteikyo_kyoka_code:" &amp; IF(I895="■",1,IF(L895="■",6,IF(O895="■",5,IF(R895="■",7,0))))</f>
        <v>55:serteikyo_kyoka_code:0</v>
      </c>
    </row>
    <row r="896" spans="1:35" s="3056" customFormat="1" ht="18.75" hidden="1" customHeight="1">
      <c r="A896" s="736"/>
      <c r="B896" s="1316"/>
      <c r="C896" s="1346"/>
      <c r="D896" s="1348"/>
      <c r="E896" s="1317"/>
      <c r="F896" s="1318"/>
      <c r="G896" s="1361"/>
      <c r="H896" s="3134" t="s">
        <v>2288</v>
      </c>
      <c r="I896" s="3060" t="s">
        <v>121</v>
      </c>
      <c r="J896" s="3130" t="s">
        <v>1230</v>
      </c>
      <c r="K896" s="3130"/>
      <c r="L896" s="3059" t="s">
        <v>121</v>
      </c>
      <c r="M896" s="3130" t="s">
        <v>2287</v>
      </c>
      <c r="N896" s="3133"/>
      <c r="O896" s="3059" t="s">
        <v>121</v>
      </c>
      <c r="P896" s="3132" t="s">
        <v>2286</v>
      </c>
      <c r="Q896" s="3131"/>
      <c r="R896" s="3059" t="s">
        <v>121</v>
      </c>
      <c r="S896" s="3130" t="s">
        <v>2285</v>
      </c>
      <c r="T896" s="3131"/>
      <c r="U896" s="3059" t="s">
        <v>121</v>
      </c>
      <c r="V896" s="3130" t="s">
        <v>2284</v>
      </c>
      <c r="W896" s="3129"/>
      <c r="X896" s="3128"/>
      <c r="Y896" s="1323"/>
      <c r="Z896" s="1323"/>
      <c r="AA896" s="1323"/>
      <c r="AB896" s="1324"/>
      <c r="AC896" s="1536"/>
      <c r="AD896" s="1537"/>
      <c r="AE896" s="1537"/>
      <c r="AF896" s="1538"/>
      <c r="AI896" s="3056" t="str">
        <f>"55:shoguukaizen_code:"&amp;IF(I896="■",1,IF(L896="■",7,IF(O896="■",8,IF(R896="■",9,IF(U896="■","A",0)))))</f>
        <v>55:shoguukaizen_code:0</v>
      </c>
    </row>
    <row r="897" spans="1:36" s="3056" customFormat="1" ht="18.75" hidden="1" customHeight="1">
      <c r="A897" s="1276"/>
      <c r="B897" s="1405"/>
      <c r="C897" s="1277"/>
      <c r="D897" s="1278"/>
      <c r="E897" s="1272"/>
      <c r="F897" s="1279"/>
      <c r="G897" s="1272"/>
      <c r="H897" s="1545" t="s">
        <v>1226</v>
      </c>
      <c r="I897" s="3119" t="s">
        <v>121</v>
      </c>
      <c r="J897" s="1270" t="s">
        <v>1227</v>
      </c>
      <c r="K897" s="3139"/>
      <c r="L897" s="1334"/>
      <c r="M897" s="3138" t="s">
        <v>121</v>
      </c>
      <c r="N897" s="1270" t="s">
        <v>2306</v>
      </c>
      <c r="O897" s="1334"/>
      <c r="P897" s="1334"/>
      <c r="Q897" s="3138" t="s">
        <v>121</v>
      </c>
      <c r="R897" s="1270" t="s">
        <v>2305</v>
      </c>
      <c r="S897" s="1334"/>
      <c r="T897" s="1334"/>
      <c r="U897" s="3138" t="s">
        <v>121</v>
      </c>
      <c r="V897" s="1270" t="s">
        <v>2304</v>
      </c>
      <c r="W897" s="1334"/>
      <c r="X897" s="1336"/>
      <c r="Y897" s="3119" t="s">
        <v>121</v>
      </c>
      <c r="Z897" s="1270" t="s">
        <v>1229</v>
      </c>
      <c r="AA897" s="1270"/>
      <c r="AB897" s="1286"/>
      <c r="AC897" s="1530"/>
      <c r="AD897" s="1531"/>
      <c r="AE897" s="1531"/>
      <c r="AF897" s="1532"/>
      <c r="AG897" s="3056" t="str">
        <f>"ser_code = '" &amp; IF(A907="■",55,"") &amp; "'"</f>
        <v>ser_code = ''</v>
      </c>
      <c r="AH897" s="3056" t="str">
        <f>"55:jininkbn_code:" &amp; IF(F907="■",1,IF(F908="■",2,0))</f>
        <v>55:jininkbn_code:0</v>
      </c>
      <c r="AI897" s="3056" t="str">
        <f>"55:yakan_kinmu_code:" &amp; IF(I897="■",1,IF(M897="■",2,IF(Q897="■",3,IF(U897="■",AJ7566,IF(I898="■",5,IF(M898="■",6,0))))))</f>
        <v>55:yakan_kinmu_code:0</v>
      </c>
      <c r="AJ897" s="3056" t="str">
        <f>"55:field203:" &amp; IF(Y897="■",1,IF(Y898="■",2,0))</f>
        <v>55:field203:0</v>
      </c>
    </row>
    <row r="898" spans="1:36" s="3056" customFormat="1" ht="18.75" hidden="1" customHeight="1">
      <c r="A898" s="735"/>
      <c r="B898" s="1407"/>
      <c r="C898" s="1287"/>
      <c r="D898" s="1288"/>
      <c r="E898" s="1275"/>
      <c r="F898" s="1289"/>
      <c r="G898" s="1275"/>
      <c r="H898" s="1542"/>
      <c r="I898" s="3063" t="s">
        <v>121</v>
      </c>
      <c r="J898" s="1296" t="s">
        <v>2303</v>
      </c>
      <c r="K898" s="1309"/>
      <c r="L898" s="1403"/>
      <c r="M898" s="3062" t="s">
        <v>121</v>
      </c>
      <c r="N898" s="1296" t="s">
        <v>1228</v>
      </c>
      <c r="O898" s="1403"/>
      <c r="P898" s="1403"/>
      <c r="Q898" s="1403"/>
      <c r="R898" s="1403"/>
      <c r="S898" s="1403"/>
      <c r="T898" s="1403"/>
      <c r="U898" s="1403"/>
      <c r="V898" s="1403"/>
      <c r="W898" s="1403"/>
      <c r="X898" s="1297"/>
      <c r="Y898" s="3069" t="s">
        <v>121</v>
      </c>
      <c r="Z898" s="1273" t="s">
        <v>1234</v>
      </c>
      <c r="AA898" s="1292"/>
      <c r="AB898" s="1293"/>
      <c r="AC898" s="1533"/>
      <c r="AD898" s="1534"/>
      <c r="AE898" s="1534"/>
      <c r="AF898" s="1535"/>
      <c r="AG898" s="3056" t="str">
        <f>"55:sisetukbn_code:" &amp; IF(D907="■",3,0)</f>
        <v>55:sisetukbn_code:0</v>
      </c>
    </row>
    <row r="899" spans="1:36" s="3056" customFormat="1" ht="18.75" hidden="1" customHeight="1">
      <c r="A899" s="735"/>
      <c r="B899" s="1407"/>
      <c r="C899" s="1287"/>
      <c r="D899" s="1288"/>
      <c r="E899" s="1275"/>
      <c r="F899" s="1289"/>
      <c r="G899" s="1275"/>
      <c r="H899" s="1541" t="s">
        <v>90</v>
      </c>
      <c r="I899" s="3137" t="s">
        <v>121</v>
      </c>
      <c r="J899" s="1290" t="s">
        <v>1230</v>
      </c>
      <c r="K899" s="1290"/>
      <c r="L899" s="1402"/>
      <c r="M899" s="3136" t="s">
        <v>121</v>
      </c>
      <c r="N899" s="1290" t="s">
        <v>1231</v>
      </c>
      <c r="O899" s="1290"/>
      <c r="P899" s="1402"/>
      <c r="Q899" s="3136" t="s">
        <v>121</v>
      </c>
      <c r="R899" s="1402" t="s">
        <v>2302</v>
      </c>
      <c r="S899" s="1402"/>
      <c r="T899" s="1402"/>
      <c r="U899" s="3136" t="s">
        <v>121</v>
      </c>
      <c r="V899" s="1402" t="s">
        <v>2301</v>
      </c>
      <c r="W899" s="1314"/>
      <c r="X899" s="1315"/>
      <c r="Y899" s="1295"/>
      <c r="Z899" s="1292"/>
      <c r="AA899" s="1292"/>
      <c r="AB899" s="1293"/>
      <c r="AC899" s="1533"/>
      <c r="AD899" s="1534"/>
      <c r="AE899" s="1534"/>
      <c r="AF899" s="1535"/>
      <c r="AI899" s="3056" t="str">
        <f>"55:"&amp;IF(AND(I899="□",M899="□",Q899="□",U899="□",I900="□",M900="□"),"ketu_doctor_code:0",IF(I899="■","ketu_doctor_code:1:field197:1:ketu_kangos_code:1:ketu_kshoku_code:1:ketu_ksiensou_code:1",IF(M899="■","ketu_doctor_code:2","ketu_doctor_code:1")
&amp;IF(Q899="■",":field197:2",":field197:1")
&amp;IF(U899="■",":ketu_kangos_code:2",":ketu_kangos_code:1")
&amp;IF(I900="■",":ketu_kshoku_code:2",":ketu_kshoku_code:1")
&amp;IF(M900="■",":ketu_ksiensou_code:2",":ketu_ksiensou_code:1")))</f>
        <v>55:ketu_doctor_code:0</v>
      </c>
    </row>
    <row r="900" spans="1:36" s="3056" customFormat="1" ht="18.75" hidden="1" customHeight="1">
      <c r="A900" s="735"/>
      <c r="B900" s="1407"/>
      <c r="C900" s="1287"/>
      <c r="D900" s="1288"/>
      <c r="E900" s="1275"/>
      <c r="F900" s="1289"/>
      <c r="G900" s="1275"/>
      <c r="H900" s="1542"/>
      <c r="I900" s="3063" t="s">
        <v>121</v>
      </c>
      <c r="J900" s="1403" t="s">
        <v>2300</v>
      </c>
      <c r="K900" s="1296"/>
      <c r="L900" s="1403"/>
      <c r="M900" s="3062" t="s">
        <v>121</v>
      </c>
      <c r="N900" s="1296" t="s">
        <v>2299</v>
      </c>
      <c r="O900" s="1296"/>
      <c r="P900" s="1403"/>
      <c r="Q900" s="1403"/>
      <c r="R900" s="1403"/>
      <c r="S900" s="1403"/>
      <c r="T900" s="1403"/>
      <c r="U900" s="1403"/>
      <c r="V900" s="1403"/>
      <c r="W900" s="1330"/>
      <c r="X900" s="1356"/>
      <c r="Y900" s="1295"/>
      <c r="Z900" s="1292"/>
      <c r="AA900" s="1292"/>
      <c r="AB900" s="1293"/>
      <c r="AC900" s="1533"/>
      <c r="AD900" s="1534"/>
      <c r="AE900" s="1534"/>
      <c r="AF900" s="1535"/>
    </row>
    <row r="901" spans="1:36" s="3056" customFormat="1" ht="18.75" hidden="1" customHeight="1">
      <c r="A901" s="735"/>
      <c r="B901" s="1407"/>
      <c r="C901" s="1287"/>
      <c r="D901" s="1288"/>
      <c r="E901" s="1275"/>
      <c r="F901" s="1289"/>
      <c r="G901" s="1275"/>
      <c r="H901" s="1409" t="s">
        <v>1241</v>
      </c>
      <c r="I901" s="3066" t="s">
        <v>121</v>
      </c>
      <c r="J901" s="1298" t="s">
        <v>1242</v>
      </c>
      <c r="K901" s="1299"/>
      <c r="L901" s="1300"/>
      <c r="M901" s="3065" t="s">
        <v>121</v>
      </c>
      <c r="N901" s="1298" t="s">
        <v>1243</v>
      </c>
      <c r="O901" s="1307"/>
      <c r="P901" s="1299"/>
      <c r="Q901" s="1299"/>
      <c r="R901" s="1299"/>
      <c r="S901" s="1299"/>
      <c r="T901" s="1299"/>
      <c r="U901" s="1299"/>
      <c r="V901" s="1299"/>
      <c r="W901" s="1299"/>
      <c r="X901" s="1302"/>
      <c r="Y901" s="1295"/>
      <c r="Z901" s="1292"/>
      <c r="AA901" s="1292"/>
      <c r="AB901" s="1293"/>
      <c r="AC901" s="1533"/>
      <c r="AD901" s="1534"/>
      <c r="AE901" s="1534"/>
      <c r="AF901" s="1535"/>
      <c r="AI901" s="3056" t="str">
        <f>"55:sintaikousoku_code:" &amp; IF(I901="■",1,IF(M901="■",2,0))</f>
        <v>55:sintaikousoku_code:0</v>
      </c>
    </row>
    <row r="902" spans="1:36" s="3056" customFormat="1" ht="18.75" hidden="1" customHeight="1">
      <c r="A902" s="735"/>
      <c r="B902" s="1407"/>
      <c r="C902" s="1287"/>
      <c r="D902" s="1288"/>
      <c r="E902" s="1275"/>
      <c r="F902" s="1289"/>
      <c r="G902" s="1275"/>
      <c r="H902" s="1409" t="s">
        <v>753</v>
      </c>
      <c r="I902" s="3066" t="s">
        <v>121</v>
      </c>
      <c r="J902" s="1298" t="s">
        <v>1242</v>
      </c>
      <c r="K902" s="1299"/>
      <c r="L902" s="1300"/>
      <c r="M902" s="3065" t="s">
        <v>121</v>
      </c>
      <c r="N902" s="1298" t="s">
        <v>1243</v>
      </c>
      <c r="O902" s="1307"/>
      <c r="P902" s="1299"/>
      <c r="Q902" s="1299"/>
      <c r="R902" s="1299"/>
      <c r="S902" s="1299"/>
      <c r="T902" s="1299"/>
      <c r="U902" s="1299"/>
      <c r="V902" s="1299"/>
      <c r="W902" s="1299"/>
      <c r="X902" s="1302"/>
      <c r="Y902" s="1295"/>
      <c r="Z902" s="1292"/>
      <c r="AA902" s="1292"/>
      <c r="AB902" s="1293"/>
      <c r="AC902" s="1533"/>
      <c r="AD902" s="1534"/>
      <c r="AE902" s="1534"/>
      <c r="AF902" s="1535"/>
      <c r="AI902" s="3056" t="str">
        <f>"55:field208:" &amp; IF(I902="■",1,IF(M902="■",2,0))</f>
        <v>55:field208:0</v>
      </c>
    </row>
    <row r="903" spans="1:36" s="3056" customFormat="1" ht="19.5" hidden="1" customHeight="1">
      <c r="A903" s="735"/>
      <c r="B903" s="1407"/>
      <c r="C903" s="1303"/>
      <c r="D903" s="1304"/>
      <c r="E903" s="1275"/>
      <c r="F903" s="1289"/>
      <c r="G903" s="1305"/>
      <c r="H903" s="1306" t="s">
        <v>1244</v>
      </c>
      <c r="I903" s="3066" t="s">
        <v>121</v>
      </c>
      <c r="J903" s="1298" t="s">
        <v>1242</v>
      </c>
      <c r="K903" s="1299"/>
      <c r="L903" s="1300"/>
      <c r="M903" s="3065" t="s">
        <v>121</v>
      </c>
      <c r="N903" s="1298" t="s">
        <v>1245</v>
      </c>
      <c r="O903" s="1301"/>
      <c r="P903" s="1298"/>
      <c r="Q903" s="1307"/>
      <c r="R903" s="1307"/>
      <c r="S903" s="1307"/>
      <c r="T903" s="1307"/>
      <c r="U903" s="1307"/>
      <c r="V903" s="1307"/>
      <c r="W903" s="1307"/>
      <c r="X903" s="1308"/>
      <c r="Y903" s="1292"/>
      <c r="Z903" s="1292"/>
      <c r="AA903" s="1292"/>
      <c r="AB903" s="1293"/>
      <c r="AC903" s="1533"/>
      <c r="AD903" s="1534"/>
      <c r="AE903" s="1534"/>
      <c r="AF903" s="1535"/>
      <c r="AI903" s="3056" t="str">
        <f>"55:field223:" &amp; IF(I903="■",1,IF(M903="■",2,0))</f>
        <v>55:field223:0</v>
      </c>
    </row>
    <row r="904" spans="1:36" s="3056" customFormat="1" ht="19.5" hidden="1" customHeight="1">
      <c r="A904" s="735"/>
      <c r="B904" s="1407"/>
      <c r="C904" s="1303"/>
      <c r="D904" s="1304"/>
      <c r="E904" s="1275"/>
      <c r="F904" s="1289"/>
      <c r="G904" s="1305"/>
      <c r="H904" s="1306" t="s">
        <v>1246</v>
      </c>
      <c r="I904" s="3066" t="s">
        <v>121</v>
      </c>
      <c r="J904" s="1298" t="s">
        <v>1242</v>
      </c>
      <c r="K904" s="1299"/>
      <c r="L904" s="1300"/>
      <c r="M904" s="3065" t="s">
        <v>121</v>
      </c>
      <c r="N904" s="1298" t="s">
        <v>1245</v>
      </c>
      <c r="O904" s="1301"/>
      <c r="P904" s="1298"/>
      <c r="Q904" s="1307"/>
      <c r="R904" s="1307"/>
      <c r="S904" s="1307"/>
      <c r="T904" s="1307"/>
      <c r="U904" s="1307"/>
      <c r="V904" s="1307"/>
      <c r="W904" s="1307"/>
      <c r="X904" s="1308"/>
      <c r="Y904" s="1292"/>
      <c r="Z904" s="1292"/>
      <c r="AA904" s="1292"/>
      <c r="AB904" s="1293"/>
      <c r="AC904" s="1533"/>
      <c r="AD904" s="1534"/>
      <c r="AE904" s="1534"/>
      <c r="AF904" s="1535"/>
      <c r="AI904" s="3056" t="str">
        <f>"55:field232:" &amp; IF(I904="■",1,IF(M904="■",2,0))</f>
        <v>55:field232:0</v>
      </c>
    </row>
    <row r="905" spans="1:36" s="3056" customFormat="1" ht="18.75" hidden="1" customHeight="1">
      <c r="A905" s="735"/>
      <c r="B905" s="1407"/>
      <c r="C905" s="1287"/>
      <c r="D905" s="1288"/>
      <c r="E905" s="1275"/>
      <c r="F905" s="1289"/>
      <c r="G905" s="1275"/>
      <c r="H905" s="1539" t="s">
        <v>1247</v>
      </c>
      <c r="I905" s="3115" t="s">
        <v>121</v>
      </c>
      <c r="J905" s="1528" t="s">
        <v>1230</v>
      </c>
      <c r="K905" s="1528"/>
      <c r="L905" s="3135" t="s">
        <v>121</v>
      </c>
      <c r="M905" s="1528" t="s">
        <v>1248</v>
      </c>
      <c r="N905" s="1528"/>
      <c r="O905" s="1402"/>
      <c r="P905" s="1402"/>
      <c r="Q905" s="1402"/>
      <c r="R905" s="1402"/>
      <c r="S905" s="1402"/>
      <c r="T905" s="1402"/>
      <c r="U905" s="1402"/>
      <c r="V905" s="1402"/>
      <c r="W905" s="1402"/>
      <c r="X905" s="1291"/>
      <c r="Y905" s="1295"/>
      <c r="Z905" s="1292"/>
      <c r="AA905" s="1292"/>
      <c r="AB905" s="1293"/>
      <c r="AC905" s="1533"/>
      <c r="AD905" s="1534"/>
      <c r="AE905" s="1534"/>
      <c r="AF905" s="1535"/>
      <c r="AI905" s="3056" t="str">
        <f>"55:field206:" &amp; IF(I905="■",1,IF(L905="■",2,0))</f>
        <v>55:field206:0</v>
      </c>
    </row>
    <row r="906" spans="1:36" s="3056" customFormat="1" ht="18.75" hidden="1" customHeight="1">
      <c r="A906" s="735"/>
      <c r="B906" s="1407"/>
      <c r="C906" s="1287"/>
      <c r="D906" s="1288"/>
      <c r="E906" s="1275"/>
      <c r="F906" s="1289"/>
      <c r="G906" s="1275"/>
      <c r="H906" s="1540"/>
      <c r="I906" s="3081"/>
      <c r="J906" s="1529"/>
      <c r="K906" s="1529"/>
      <c r="L906" s="3080"/>
      <c r="M906" s="1529"/>
      <c r="N906" s="1529"/>
      <c r="O906" s="1403"/>
      <c r="P906" s="1403"/>
      <c r="Q906" s="1403"/>
      <c r="R906" s="1403"/>
      <c r="S906" s="1403"/>
      <c r="T906" s="1403"/>
      <c r="U906" s="1403"/>
      <c r="V906" s="1403"/>
      <c r="W906" s="1403"/>
      <c r="X906" s="1297"/>
      <c r="Y906" s="1295"/>
      <c r="Z906" s="1292"/>
      <c r="AA906" s="1292"/>
      <c r="AB906" s="1293"/>
      <c r="AC906" s="1533"/>
      <c r="AD906" s="1534"/>
      <c r="AE906" s="1534"/>
      <c r="AF906" s="1535"/>
    </row>
    <row r="907" spans="1:36" s="3056" customFormat="1" ht="18.75" hidden="1" customHeight="1">
      <c r="A907" s="3069" t="s">
        <v>121</v>
      </c>
      <c r="B907" s="1407">
        <v>55</v>
      </c>
      <c r="C907" s="1287" t="s">
        <v>2320</v>
      </c>
      <c r="D907" s="3069" t="s">
        <v>121</v>
      </c>
      <c r="E907" s="1275" t="s">
        <v>2329</v>
      </c>
      <c r="F907" s="3069" t="s">
        <v>121</v>
      </c>
      <c r="G907" s="1275" t="s">
        <v>2296</v>
      </c>
      <c r="H907" s="1409" t="s">
        <v>2295</v>
      </c>
      <c r="I907" s="3066" t="s">
        <v>121</v>
      </c>
      <c r="J907" s="1298" t="s">
        <v>2292</v>
      </c>
      <c r="K907" s="1299"/>
      <c r="L907" s="1300"/>
      <c r="M907" s="3065" t="s">
        <v>121</v>
      </c>
      <c r="N907" s="1298" t="s">
        <v>2291</v>
      </c>
      <c r="O907" s="1307"/>
      <c r="P907" s="1299"/>
      <c r="Q907" s="1299"/>
      <c r="R907" s="1299"/>
      <c r="S907" s="1299"/>
      <c r="T907" s="1299"/>
      <c r="U907" s="1299"/>
      <c r="V907" s="1299"/>
      <c r="W907" s="1299"/>
      <c r="X907" s="1302"/>
      <c r="Y907" s="1295"/>
      <c r="Z907" s="1292"/>
      <c r="AA907" s="1292"/>
      <c r="AB907" s="1293"/>
      <c r="AC907" s="1533"/>
      <c r="AD907" s="1534"/>
      <c r="AE907" s="1534"/>
      <c r="AF907" s="1535"/>
      <c r="AI907" s="3056" t="str">
        <f>"55:field190:" &amp; IF(I907="■",1,IF(M907="■",2,0))</f>
        <v>55:field190:0</v>
      </c>
    </row>
    <row r="908" spans="1:36" s="3056" customFormat="1" ht="18.75" hidden="1" customHeight="1">
      <c r="A908" s="735"/>
      <c r="B908" s="1407"/>
      <c r="C908" s="1287"/>
      <c r="D908" s="1288"/>
      <c r="E908" s="1275"/>
      <c r="F908" s="1288"/>
      <c r="G908" s="1275"/>
      <c r="H908" s="1409" t="s">
        <v>2293</v>
      </c>
      <c r="I908" s="3066" t="s">
        <v>121</v>
      </c>
      <c r="J908" s="1298" t="s">
        <v>2292</v>
      </c>
      <c r="K908" s="1299"/>
      <c r="L908" s="1300"/>
      <c r="M908" s="3065" t="s">
        <v>121</v>
      </c>
      <c r="N908" s="1298" t="s">
        <v>2291</v>
      </c>
      <c r="O908" s="1307"/>
      <c r="P908" s="1299"/>
      <c r="Q908" s="1299"/>
      <c r="R908" s="1299"/>
      <c r="S908" s="1299"/>
      <c r="T908" s="1299"/>
      <c r="U908" s="1299"/>
      <c r="V908" s="1299"/>
      <c r="W908" s="1299"/>
      <c r="X908" s="1302"/>
      <c r="Y908" s="1295"/>
      <c r="Z908" s="1292"/>
      <c r="AA908" s="1292"/>
      <c r="AB908" s="1293"/>
      <c r="AC908" s="1533"/>
      <c r="AD908" s="1534"/>
      <c r="AE908" s="1534"/>
      <c r="AF908" s="1535"/>
      <c r="AI908" s="3056" t="str">
        <f>"55:field191:" &amp; IF(I908="■",1,IF(M908="■",2,0))</f>
        <v>55:field191:0</v>
      </c>
    </row>
    <row r="909" spans="1:36" s="3056" customFormat="1" ht="18.75" hidden="1" customHeight="1">
      <c r="A909" s="735"/>
      <c r="B909" s="1407"/>
      <c r="C909" s="1287"/>
      <c r="D909" s="1288"/>
      <c r="E909" s="1275"/>
      <c r="F909" s="1288"/>
      <c r="G909" s="1275"/>
      <c r="H909" s="1409" t="s">
        <v>2290</v>
      </c>
      <c r="I909" s="3063" t="s">
        <v>121</v>
      </c>
      <c r="J909" s="1296" t="s">
        <v>1230</v>
      </c>
      <c r="K909" s="1309"/>
      <c r="L909" s="3062" t="s">
        <v>121</v>
      </c>
      <c r="M909" s="1296" t="s">
        <v>1248</v>
      </c>
      <c r="N909" s="1326"/>
      <c r="O909" s="1299"/>
      <c r="P909" s="1299"/>
      <c r="Q909" s="1299"/>
      <c r="R909" s="1299"/>
      <c r="S909" s="1299"/>
      <c r="T909" s="1299"/>
      <c r="U909" s="1299"/>
      <c r="V909" s="1299"/>
      <c r="W909" s="1299"/>
      <c r="X909" s="1302"/>
      <c r="Y909" s="1295"/>
      <c r="Z909" s="1292"/>
      <c r="AA909" s="1292"/>
      <c r="AB909" s="1293"/>
      <c r="AC909" s="1533"/>
      <c r="AD909" s="1534"/>
      <c r="AE909" s="1534"/>
      <c r="AF909" s="1535"/>
      <c r="AI909" s="3056" t="str">
        <f>"55:jyakuninti_uke_code:" &amp; IF(I909="■",1,IF(L909="■",2,0))</f>
        <v>55:jyakuninti_uke_code:0</v>
      </c>
    </row>
    <row r="910" spans="1:36" s="3056" customFormat="1" ht="18.75" hidden="1" customHeight="1">
      <c r="A910" s="735"/>
      <c r="B910" s="1407"/>
      <c r="C910" s="1287"/>
      <c r="D910" s="1288"/>
      <c r="E910" s="1275"/>
      <c r="F910" s="1288"/>
      <c r="G910" s="1275"/>
      <c r="H910" s="1409" t="s">
        <v>755</v>
      </c>
      <c r="I910" s="3063" t="s">
        <v>121</v>
      </c>
      <c r="J910" s="1296" t="s">
        <v>1230</v>
      </c>
      <c r="K910" s="1309"/>
      <c r="L910" s="3062" t="s">
        <v>121</v>
      </c>
      <c r="M910" s="1296" t="s">
        <v>1248</v>
      </c>
      <c r="N910" s="1326"/>
      <c r="O910" s="1299"/>
      <c r="P910" s="1299"/>
      <c r="Q910" s="1299"/>
      <c r="R910" s="1299"/>
      <c r="S910" s="1299"/>
      <c r="T910" s="1299"/>
      <c r="U910" s="1299"/>
      <c r="V910" s="1299"/>
      <c r="W910" s="1299"/>
      <c r="X910" s="1302"/>
      <c r="Y910" s="1295"/>
      <c r="Z910" s="1292"/>
      <c r="AA910" s="1292"/>
      <c r="AB910" s="1293"/>
      <c r="AC910" s="1533"/>
      <c r="AD910" s="1534"/>
      <c r="AE910" s="1534"/>
      <c r="AF910" s="1535"/>
      <c r="AI910" s="3056" t="str">
        <f>"55:field207:" &amp; IF(I910="■",1,IF(L910="■",2,0))</f>
        <v>55:field207:0</v>
      </c>
    </row>
    <row r="911" spans="1:36" s="3056" customFormat="1" ht="18.75" hidden="1" customHeight="1">
      <c r="A911" s="735"/>
      <c r="B911" s="1407"/>
      <c r="C911" s="1287"/>
      <c r="D911" s="1288"/>
      <c r="E911" s="1275"/>
      <c r="F911" s="1289"/>
      <c r="G911" s="1275"/>
      <c r="H911" s="1409" t="s">
        <v>145</v>
      </c>
      <c r="I911" s="3063" t="s">
        <v>122</v>
      </c>
      <c r="J911" s="1296" t="s">
        <v>1230</v>
      </c>
      <c r="K911" s="1309"/>
      <c r="L911" s="3062" t="s">
        <v>121</v>
      </c>
      <c r="M911" s="1296" t="s">
        <v>1248</v>
      </c>
      <c r="N911" s="1326"/>
      <c r="O911" s="1299"/>
      <c r="P911" s="1299"/>
      <c r="Q911" s="1299"/>
      <c r="R911" s="1299"/>
      <c r="S911" s="1299"/>
      <c r="T911" s="1299"/>
      <c r="U911" s="1299"/>
      <c r="V911" s="1299"/>
      <c r="W911" s="1299"/>
      <c r="X911" s="1302"/>
      <c r="Y911" s="1295"/>
      <c r="Z911" s="1292"/>
      <c r="AA911" s="1292"/>
      <c r="AB911" s="1293"/>
      <c r="AC911" s="1533"/>
      <c r="AD911" s="1534"/>
      <c r="AE911" s="1534"/>
      <c r="AF911" s="1535"/>
      <c r="AI911" s="3056" t="str">
        <f>"55:ryouyoushoku_code:" &amp; IF(I911="■",1,IF(L911="■",2,0))</f>
        <v>55:ryouyoushoku_code:0</v>
      </c>
    </row>
    <row r="912" spans="1:36" s="3056" customFormat="1" ht="18.75" hidden="1" customHeight="1">
      <c r="A912" s="735"/>
      <c r="B912" s="1407"/>
      <c r="C912" s="1287"/>
      <c r="D912" s="1288"/>
      <c r="E912" s="1275"/>
      <c r="F912" s="1289"/>
      <c r="G912" s="1275"/>
      <c r="H912" s="1409" t="s">
        <v>1260</v>
      </c>
      <c r="I912" s="3066" t="s">
        <v>121</v>
      </c>
      <c r="J912" s="1298" t="s">
        <v>1230</v>
      </c>
      <c r="K912" s="1298"/>
      <c r="L912" s="3065" t="s">
        <v>121</v>
      </c>
      <c r="M912" s="1298" t="s">
        <v>1256</v>
      </c>
      <c r="N912" s="1298"/>
      <c r="O912" s="3065" t="s">
        <v>121</v>
      </c>
      <c r="P912" s="1298" t="s">
        <v>1257</v>
      </c>
      <c r="Q912" s="1307"/>
      <c r="R912" s="1299"/>
      <c r="S912" s="1299"/>
      <c r="T912" s="1299"/>
      <c r="U912" s="1299"/>
      <c r="V912" s="1299"/>
      <c r="W912" s="1299"/>
      <c r="X912" s="1302"/>
      <c r="Y912" s="1295"/>
      <c r="Z912" s="1292"/>
      <c r="AA912" s="1292"/>
      <c r="AB912" s="1293"/>
      <c r="AC912" s="1533"/>
      <c r="AD912" s="1534"/>
      <c r="AE912" s="1534"/>
      <c r="AF912" s="1535"/>
      <c r="AI912" s="3056" t="str">
        <f>"55:ninti_senmoncare_code:" &amp; IF(I912="■",1,IF(O912="■",3,IF(L912="■",2,0)))</f>
        <v>55:ninti_senmoncare_code:0</v>
      </c>
    </row>
    <row r="913" spans="1:36" s="3056" customFormat="1" ht="18.75" hidden="1" customHeight="1">
      <c r="A913" s="735"/>
      <c r="B913" s="1407"/>
      <c r="C913" s="1287"/>
      <c r="D913" s="1288"/>
      <c r="E913" s="1275"/>
      <c r="F913" s="1289"/>
      <c r="G913" s="1275"/>
      <c r="H913" s="1409" t="s">
        <v>1261</v>
      </c>
      <c r="I913" s="3066" t="s">
        <v>121</v>
      </c>
      <c r="J913" s="1298" t="s">
        <v>1230</v>
      </c>
      <c r="K913" s="1298"/>
      <c r="L913" s="3065" t="s">
        <v>121</v>
      </c>
      <c r="M913" s="1298" t="s">
        <v>1256</v>
      </c>
      <c r="N913" s="1298"/>
      <c r="O913" s="3065" t="s">
        <v>121</v>
      </c>
      <c r="P913" s="1298" t="s">
        <v>1257</v>
      </c>
      <c r="Q913" s="1299"/>
      <c r="R913" s="1299"/>
      <c r="S913" s="1299"/>
      <c r="T913" s="1299"/>
      <c r="U913" s="1299"/>
      <c r="V913" s="1299"/>
      <c r="W913" s="1299"/>
      <c r="X913" s="1302"/>
      <c r="Y913" s="1295"/>
      <c r="Z913" s="1292"/>
      <c r="AA913" s="1292"/>
      <c r="AB913" s="1293"/>
      <c r="AC913" s="1533"/>
      <c r="AD913" s="1534"/>
      <c r="AE913" s="1534"/>
      <c r="AF913" s="1535"/>
      <c r="AI913" s="3056" t="str">
        <f>"55:field228:" &amp; IF(I913="■",1,IF(L913="■",2,IF(O913="■",3,0)))</f>
        <v>55:field228:0</v>
      </c>
    </row>
    <row r="914" spans="1:36" s="3056" customFormat="1" ht="18.75" hidden="1" customHeight="1">
      <c r="A914" s="735"/>
      <c r="B914" s="1407"/>
      <c r="C914" s="1287"/>
      <c r="D914" s="1288"/>
      <c r="E914" s="1275"/>
      <c r="F914" s="1289"/>
      <c r="G914" s="1275"/>
      <c r="H914" s="1409" t="s">
        <v>2289</v>
      </c>
      <c r="I914" s="3066" t="s">
        <v>121</v>
      </c>
      <c r="J914" s="1298" t="s">
        <v>1230</v>
      </c>
      <c r="K914" s="1298"/>
      <c r="L914" s="3065" t="s">
        <v>121</v>
      </c>
      <c r="M914" s="1298" t="s">
        <v>1256</v>
      </c>
      <c r="N914" s="1298"/>
      <c r="O914" s="3065" t="s">
        <v>121</v>
      </c>
      <c r="P914" s="1298" t="s">
        <v>1257</v>
      </c>
      <c r="Q914" s="1307"/>
      <c r="R914" s="1298"/>
      <c r="S914" s="1298"/>
      <c r="T914" s="1298"/>
      <c r="U914" s="1298"/>
      <c r="V914" s="1298"/>
      <c r="W914" s="1298"/>
      <c r="X914" s="1310"/>
      <c r="Y914" s="1295"/>
      <c r="Z914" s="1292"/>
      <c r="AA914" s="1292"/>
      <c r="AB914" s="1293"/>
      <c r="AC914" s="1533"/>
      <c r="AD914" s="1534"/>
      <c r="AE914" s="1534"/>
      <c r="AF914" s="1535"/>
      <c r="AI914" s="3056" t="str">
        <f>"55:field164:" &amp; IF(I914="■",1,IF(L914="■",2,IF(O914="■",3,0)))</f>
        <v>55:field164:0</v>
      </c>
    </row>
    <row r="915" spans="1:36" s="3056" customFormat="1" ht="18.75" hidden="1" customHeight="1">
      <c r="A915" s="735"/>
      <c r="B915" s="1407"/>
      <c r="C915" s="1287"/>
      <c r="D915" s="1288"/>
      <c r="E915" s="1275"/>
      <c r="F915" s="1289"/>
      <c r="G915" s="1275"/>
      <c r="H915" s="1409" t="s">
        <v>1288</v>
      </c>
      <c r="I915" s="3066" t="s">
        <v>121</v>
      </c>
      <c r="J915" s="1298" t="s">
        <v>1230</v>
      </c>
      <c r="K915" s="1298"/>
      <c r="L915" s="3065" t="s">
        <v>121</v>
      </c>
      <c r="M915" s="1296" t="s">
        <v>1248</v>
      </c>
      <c r="N915" s="1298"/>
      <c r="O915" s="1298"/>
      <c r="P915" s="1298"/>
      <c r="Q915" s="1299"/>
      <c r="R915" s="1299"/>
      <c r="S915" s="1299"/>
      <c r="T915" s="1299"/>
      <c r="U915" s="1299"/>
      <c r="V915" s="1299"/>
      <c r="W915" s="1299"/>
      <c r="X915" s="1302"/>
      <c r="Y915" s="1295"/>
      <c r="Z915" s="1292"/>
      <c r="AA915" s="1292"/>
      <c r="AB915" s="1293"/>
      <c r="AC915" s="1533"/>
      <c r="AD915" s="1534"/>
      <c r="AE915" s="1534"/>
      <c r="AF915" s="1535"/>
      <c r="AI915" s="3056" t="str">
        <f>"55:field226:" &amp; IF(I915="■",1,IF(L915="■",2,0))</f>
        <v>55:field226:0</v>
      </c>
    </row>
    <row r="916" spans="1:36" s="3056" customFormat="1" ht="18.75" hidden="1" customHeight="1">
      <c r="A916" s="735"/>
      <c r="B916" s="1407"/>
      <c r="C916" s="1287"/>
      <c r="D916" s="1288"/>
      <c r="E916" s="1275"/>
      <c r="F916" s="1289"/>
      <c r="G916" s="1275"/>
      <c r="H916" s="1409" t="s">
        <v>1289</v>
      </c>
      <c r="I916" s="3066" t="s">
        <v>121</v>
      </c>
      <c r="J916" s="1298" t="s">
        <v>1230</v>
      </c>
      <c r="K916" s="1298"/>
      <c r="L916" s="3065" t="s">
        <v>121</v>
      </c>
      <c r="M916" s="1296" t="s">
        <v>1248</v>
      </c>
      <c r="N916" s="1298"/>
      <c r="O916" s="1298"/>
      <c r="P916" s="1298"/>
      <c r="Q916" s="1299"/>
      <c r="R916" s="1299"/>
      <c r="S916" s="1299"/>
      <c r="T916" s="1299"/>
      <c r="U916" s="1299"/>
      <c r="V916" s="1299"/>
      <c r="W916" s="1299"/>
      <c r="X916" s="1302"/>
      <c r="Y916" s="1295"/>
      <c r="Z916" s="1292"/>
      <c r="AA916" s="1292"/>
      <c r="AB916" s="1293"/>
      <c r="AC916" s="1533"/>
      <c r="AD916" s="1534"/>
      <c r="AE916" s="1534"/>
      <c r="AF916" s="1535"/>
      <c r="AI916" s="3056" t="str">
        <f>"55:field227:" &amp; IF(I916="■",1,IF(L916="■",2,0))</f>
        <v>55:field227:0</v>
      </c>
    </row>
    <row r="917" spans="1:36" s="3056" customFormat="1" ht="18.75" hidden="1" customHeight="1">
      <c r="A917" s="735"/>
      <c r="B917" s="1407"/>
      <c r="C917" s="1287"/>
      <c r="D917" s="1288"/>
      <c r="E917" s="1275"/>
      <c r="F917" s="1289"/>
      <c r="G917" s="1275"/>
      <c r="H917" s="1313" t="s">
        <v>1265</v>
      </c>
      <c r="I917" s="3066" t="s">
        <v>121</v>
      </c>
      <c r="J917" s="1298" t="s">
        <v>1230</v>
      </c>
      <c r="K917" s="1298"/>
      <c r="L917" s="3065" t="s">
        <v>121</v>
      </c>
      <c r="M917" s="1298" t="s">
        <v>1256</v>
      </c>
      <c r="N917" s="1298"/>
      <c r="O917" s="3065" t="s">
        <v>121</v>
      </c>
      <c r="P917" s="1298" t="s">
        <v>1257</v>
      </c>
      <c r="Q917" s="1307"/>
      <c r="R917" s="1307"/>
      <c r="S917" s="1307"/>
      <c r="T917" s="1307"/>
      <c r="U917" s="1314"/>
      <c r="V917" s="1314"/>
      <c r="W917" s="1314"/>
      <c r="X917" s="1315"/>
      <c r="Y917" s="1295"/>
      <c r="Z917" s="1292"/>
      <c r="AA917" s="1292"/>
      <c r="AB917" s="1293"/>
      <c r="AC917" s="1533"/>
      <c r="AD917" s="1534"/>
      <c r="AE917" s="1534"/>
      <c r="AF917" s="1535"/>
      <c r="AI917" s="3056" t="str">
        <f>"55:field225:" &amp; IF(I917="■",1,IF(L917="■",2,IF(O917="■",3,0)))</f>
        <v>55:field225:0</v>
      </c>
    </row>
    <row r="918" spans="1:36" s="3056" customFormat="1" ht="18.75" hidden="1" customHeight="1">
      <c r="A918" s="735"/>
      <c r="B918" s="1407"/>
      <c r="C918" s="1287"/>
      <c r="D918" s="1288"/>
      <c r="E918" s="1275"/>
      <c r="F918" s="1289"/>
      <c r="G918" s="1275"/>
      <c r="H918" s="1409" t="s">
        <v>1266</v>
      </c>
      <c r="I918" s="3066" t="s">
        <v>121</v>
      </c>
      <c r="J918" s="1298" t="s">
        <v>1230</v>
      </c>
      <c r="K918" s="1298"/>
      <c r="L918" s="3065" t="s">
        <v>121</v>
      </c>
      <c r="M918" s="1298" t="s">
        <v>1267</v>
      </c>
      <c r="N918" s="1298"/>
      <c r="O918" s="3065" t="s">
        <v>121</v>
      </c>
      <c r="P918" s="1298" t="s">
        <v>1268</v>
      </c>
      <c r="Q918" s="1326"/>
      <c r="R918" s="3065" t="s">
        <v>121</v>
      </c>
      <c r="S918" s="1298" t="s">
        <v>1269</v>
      </c>
      <c r="T918" s="1298"/>
      <c r="U918" s="1298"/>
      <c r="V918" s="1298"/>
      <c r="W918" s="1298"/>
      <c r="X918" s="1310"/>
      <c r="Y918" s="1295"/>
      <c r="Z918" s="1292"/>
      <c r="AA918" s="1292"/>
      <c r="AB918" s="1293"/>
      <c r="AC918" s="1533"/>
      <c r="AD918" s="1534"/>
      <c r="AE918" s="1534"/>
      <c r="AF918" s="1535"/>
      <c r="AI918" s="3056" t="str">
        <f>"55:serteikyo_kyoka_code:" &amp; IF(I918="■",1,IF(L918="■",6,IF(O918="■",5,IF(R918="■",7,0))))</f>
        <v>55:serteikyo_kyoka_code:0</v>
      </c>
    </row>
    <row r="919" spans="1:36" s="3056" customFormat="1" ht="18.75" hidden="1" customHeight="1">
      <c r="A919" s="735"/>
      <c r="B919" s="1407"/>
      <c r="C919" s="1303"/>
      <c r="D919" s="1304"/>
      <c r="E919" s="1275"/>
      <c r="F919" s="1289"/>
      <c r="G919" s="1305"/>
      <c r="H919" s="3155" t="s">
        <v>2288</v>
      </c>
      <c r="I919" s="3137" t="s">
        <v>121</v>
      </c>
      <c r="J919" s="3151" t="s">
        <v>1230</v>
      </c>
      <c r="K919" s="3151"/>
      <c r="L919" s="3136" t="s">
        <v>121</v>
      </c>
      <c r="M919" s="3151" t="s">
        <v>2287</v>
      </c>
      <c r="N919" s="3154"/>
      <c r="O919" s="3136" t="s">
        <v>121</v>
      </c>
      <c r="P919" s="3153" t="s">
        <v>2286</v>
      </c>
      <c r="Q919" s="3152"/>
      <c r="R919" s="3136" t="s">
        <v>121</v>
      </c>
      <c r="S919" s="3151" t="s">
        <v>2285</v>
      </c>
      <c r="T919" s="3152"/>
      <c r="U919" s="3136" t="s">
        <v>121</v>
      </c>
      <c r="V919" s="3151" t="s">
        <v>2284</v>
      </c>
      <c r="W919" s="3150"/>
      <c r="X919" s="3149"/>
      <c r="Y919" s="1292"/>
      <c r="Z919" s="1292"/>
      <c r="AA919" s="1292"/>
      <c r="AB919" s="1293"/>
      <c r="AC919" s="1533"/>
      <c r="AD919" s="1534"/>
      <c r="AE919" s="1534"/>
      <c r="AF919" s="1535"/>
      <c r="AI919" s="3056" t="str">
        <f>"55:shoguukaizen_code:"&amp;IF(I919="■",1,IF(L919="■",7,IF(O919="■",8,IF(R919="■",9,IF(U919="■","A",0)))))</f>
        <v>55:shoguukaizen_code:0</v>
      </c>
    </row>
    <row r="920" spans="1:36" s="3056" customFormat="1" ht="18.75" hidden="1" customHeight="1">
      <c r="A920" s="1276"/>
      <c r="B920" s="1405"/>
      <c r="C920" s="1277"/>
      <c r="D920" s="1278"/>
      <c r="E920" s="1272"/>
      <c r="F920" s="1279"/>
      <c r="G920" s="1272"/>
      <c r="H920" s="1545" t="s">
        <v>1226</v>
      </c>
      <c r="I920" s="3119" t="s">
        <v>121</v>
      </c>
      <c r="J920" s="1270" t="s">
        <v>1227</v>
      </c>
      <c r="K920" s="3139"/>
      <c r="L920" s="1334"/>
      <c r="M920" s="3138" t="s">
        <v>121</v>
      </c>
      <c r="N920" s="1270" t="s">
        <v>2306</v>
      </c>
      <c r="O920" s="1334"/>
      <c r="P920" s="1334"/>
      <c r="Q920" s="3138" t="s">
        <v>121</v>
      </c>
      <c r="R920" s="1270" t="s">
        <v>2305</v>
      </c>
      <c r="S920" s="1334"/>
      <c r="T920" s="1334"/>
      <c r="U920" s="3138" t="s">
        <v>121</v>
      </c>
      <c r="V920" s="1270" t="s">
        <v>2304</v>
      </c>
      <c r="W920" s="1334"/>
      <c r="X920" s="1336"/>
      <c r="Y920" s="3119" t="s">
        <v>121</v>
      </c>
      <c r="Z920" s="1270" t="s">
        <v>1229</v>
      </c>
      <c r="AA920" s="1270"/>
      <c r="AB920" s="1286"/>
      <c r="AC920" s="1530"/>
      <c r="AD920" s="1531"/>
      <c r="AE920" s="1531"/>
      <c r="AF920" s="1532"/>
      <c r="AG920" s="3056" t="str">
        <f>"ser_code = '" &amp; IF(A930="■",55,"") &amp; "'"</f>
        <v>ser_code = ''</v>
      </c>
      <c r="AH920" s="3056" t="str">
        <f>"55:jininkbn_code:" &amp; IF(F930="■",2,0)</f>
        <v>55:jininkbn_code:0</v>
      </c>
      <c r="AI920" s="3056" t="str">
        <f>"55:yakan_kinmu_code:" &amp; IF(I920="■",1,IF(M920="■",2,IF(Q920="■",3,IF(U920="■",AJ7589,IF(I921="■",5,IF(M921="■",6,0))))))</f>
        <v>55:yakan_kinmu_code:0</v>
      </c>
      <c r="AJ920" s="3056" t="str">
        <f>"55:field203:" &amp; IF(Y920="■",1,IF(Y921="■",2,0))</f>
        <v>55:field203:0</v>
      </c>
    </row>
    <row r="921" spans="1:36" s="3056" customFormat="1" ht="18.75" hidden="1" customHeight="1">
      <c r="A921" s="735"/>
      <c r="B921" s="1407"/>
      <c r="C921" s="1287"/>
      <c r="D921" s="1288"/>
      <c r="E921" s="1275"/>
      <c r="F921" s="1289"/>
      <c r="G921" s="1275"/>
      <c r="H921" s="1542"/>
      <c r="I921" s="3063" t="s">
        <v>121</v>
      </c>
      <c r="J921" s="1296" t="s">
        <v>2303</v>
      </c>
      <c r="K921" s="1309"/>
      <c r="L921" s="1403"/>
      <c r="M921" s="3062" t="s">
        <v>121</v>
      </c>
      <c r="N921" s="1296" t="s">
        <v>1228</v>
      </c>
      <c r="O921" s="1403"/>
      <c r="P921" s="1403"/>
      <c r="Q921" s="1403"/>
      <c r="R921" s="1403"/>
      <c r="S921" s="1403"/>
      <c r="T921" s="1403"/>
      <c r="U921" s="1403"/>
      <c r="V921" s="1403"/>
      <c r="W921" s="1403"/>
      <c r="X921" s="1297"/>
      <c r="Y921" s="3069" t="s">
        <v>121</v>
      </c>
      <c r="Z921" s="1273" t="s">
        <v>1234</v>
      </c>
      <c r="AA921" s="1292"/>
      <c r="AB921" s="1293"/>
      <c r="AC921" s="1533"/>
      <c r="AD921" s="1534"/>
      <c r="AE921" s="1534"/>
      <c r="AF921" s="1535"/>
      <c r="AG921" s="3056" t="str">
        <f>"55:sisetukbn_code:" &amp; IF(D930="■",3,0)</f>
        <v>55:sisetukbn_code:0</v>
      </c>
    </row>
    <row r="922" spans="1:36" s="3056" customFormat="1" ht="18.75" hidden="1" customHeight="1">
      <c r="A922" s="735"/>
      <c r="B922" s="1407"/>
      <c r="C922" s="1287"/>
      <c r="D922" s="1288"/>
      <c r="E922" s="1275"/>
      <c r="F922" s="1289"/>
      <c r="G922" s="1275"/>
      <c r="H922" s="1541" t="s">
        <v>90</v>
      </c>
      <c r="I922" s="3137" t="s">
        <v>121</v>
      </c>
      <c r="J922" s="1290" t="s">
        <v>1230</v>
      </c>
      <c r="K922" s="1290"/>
      <c r="L922" s="1402"/>
      <c r="M922" s="3136" t="s">
        <v>121</v>
      </c>
      <c r="N922" s="1290" t="s">
        <v>1231</v>
      </c>
      <c r="O922" s="1290"/>
      <c r="P922" s="1402"/>
      <c r="Q922" s="3136" t="s">
        <v>121</v>
      </c>
      <c r="R922" s="1402" t="s">
        <v>2302</v>
      </c>
      <c r="S922" s="1402"/>
      <c r="T922" s="1402"/>
      <c r="U922" s="3136" t="s">
        <v>121</v>
      </c>
      <c r="V922" s="1402" t="s">
        <v>2301</v>
      </c>
      <c r="W922" s="1314"/>
      <c r="X922" s="1315"/>
      <c r="Y922" s="1295"/>
      <c r="Z922" s="1292"/>
      <c r="AA922" s="1292"/>
      <c r="AB922" s="1293"/>
      <c r="AC922" s="1533"/>
      <c r="AD922" s="1534"/>
      <c r="AE922" s="1534"/>
      <c r="AF922" s="1535"/>
      <c r="AI922" s="3056" t="str">
        <f>"55:"&amp;IF(AND(I922="□",M922="□",Q922="□",U922="□",I923="□",M923="□"),"ketu_doctor_code:0",IF(I922="■","ketu_doctor_code:1:field197:1:ketu_kangos_code:1:ketu_kshoku_code:1:ketu_ksiensou_code:1",IF(M922="■","ketu_doctor_code:2","ketu_doctor_code:1")
&amp;IF(Q922="■",":field197:2",":field197:1")
&amp;IF(U922="■",":ketu_kangos_code:2",":ketu_kangos_code:1")
&amp;IF(I923="■",":ketu_kshoku_code:2",":ketu_kshoku_code:1")
&amp;IF(M923="■",":ketu_ksiensou_code:2",":ketu_ksiensou_code:1")))</f>
        <v>55:ketu_doctor_code:0</v>
      </c>
    </row>
    <row r="923" spans="1:36" s="3056" customFormat="1" ht="18.75" hidden="1" customHeight="1">
      <c r="A923" s="735"/>
      <c r="B923" s="1407"/>
      <c r="C923" s="1287"/>
      <c r="D923" s="1288"/>
      <c r="E923" s="1275"/>
      <c r="F923" s="1289"/>
      <c r="G923" s="1275"/>
      <c r="H923" s="1542"/>
      <c r="I923" s="3063" t="s">
        <v>121</v>
      </c>
      <c r="J923" s="1403" t="s">
        <v>2300</v>
      </c>
      <c r="K923" s="1296"/>
      <c r="L923" s="1403"/>
      <c r="M923" s="3062" t="s">
        <v>121</v>
      </c>
      <c r="N923" s="1296" t="s">
        <v>2299</v>
      </c>
      <c r="O923" s="1296"/>
      <c r="P923" s="1403"/>
      <c r="Q923" s="1403"/>
      <c r="R923" s="1403"/>
      <c r="S923" s="1403"/>
      <c r="T923" s="1403"/>
      <c r="U923" s="1403"/>
      <c r="V923" s="1403"/>
      <c r="W923" s="1330"/>
      <c r="X923" s="1356"/>
      <c r="Y923" s="1295"/>
      <c r="Z923" s="1292"/>
      <c r="AA923" s="1292"/>
      <c r="AB923" s="1293"/>
      <c r="AC923" s="1533"/>
      <c r="AD923" s="1534"/>
      <c r="AE923" s="1534"/>
      <c r="AF923" s="1535"/>
    </row>
    <row r="924" spans="1:36" s="3056" customFormat="1" ht="18.75" hidden="1" customHeight="1">
      <c r="A924" s="735"/>
      <c r="B924" s="1407"/>
      <c r="C924" s="1287"/>
      <c r="D924" s="1288"/>
      <c r="E924" s="1275"/>
      <c r="F924" s="1289"/>
      <c r="G924" s="1275"/>
      <c r="H924" s="1409" t="s">
        <v>1241</v>
      </c>
      <c r="I924" s="3066" t="s">
        <v>121</v>
      </c>
      <c r="J924" s="1298" t="s">
        <v>1242</v>
      </c>
      <c r="K924" s="1299"/>
      <c r="L924" s="1300"/>
      <c r="M924" s="3065" t="s">
        <v>121</v>
      </c>
      <c r="N924" s="1298" t="s">
        <v>1243</v>
      </c>
      <c r="O924" s="1307"/>
      <c r="P924" s="1299"/>
      <c r="Q924" s="1299"/>
      <c r="R924" s="1299"/>
      <c r="S924" s="1299"/>
      <c r="T924" s="1299"/>
      <c r="U924" s="1299"/>
      <c r="V924" s="1299"/>
      <c r="W924" s="1299"/>
      <c r="X924" s="1302"/>
      <c r="Y924" s="1295"/>
      <c r="Z924" s="1292"/>
      <c r="AA924" s="1292"/>
      <c r="AB924" s="1293"/>
      <c r="AC924" s="1533"/>
      <c r="AD924" s="1534"/>
      <c r="AE924" s="1534"/>
      <c r="AF924" s="1535"/>
      <c r="AI924" s="3056" t="str">
        <f>"55:sintaikousoku_code:" &amp; IF(I924="■",1,IF(M924="■",2,0))</f>
        <v>55:sintaikousoku_code:0</v>
      </c>
    </row>
    <row r="925" spans="1:36" s="3056" customFormat="1" ht="18.75" hidden="1" customHeight="1">
      <c r="A925" s="735"/>
      <c r="B925" s="1407"/>
      <c r="C925" s="1287"/>
      <c r="D925" s="1288"/>
      <c r="E925" s="1275"/>
      <c r="F925" s="1289"/>
      <c r="G925" s="1275"/>
      <c r="H925" s="1409" t="s">
        <v>753</v>
      </c>
      <c r="I925" s="3066" t="s">
        <v>121</v>
      </c>
      <c r="J925" s="1298" t="s">
        <v>1242</v>
      </c>
      <c r="K925" s="1299"/>
      <c r="L925" s="1300"/>
      <c r="M925" s="3065" t="s">
        <v>121</v>
      </c>
      <c r="N925" s="1298" t="s">
        <v>1243</v>
      </c>
      <c r="O925" s="1307"/>
      <c r="P925" s="1299"/>
      <c r="Q925" s="1299"/>
      <c r="R925" s="1299"/>
      <c r="S925" s="1299"/>
      <c r="T925" s="1299"/>
      <c r="U925" s="1299"/>
      <c r="V925" s="1299"/>
      <c r="W925" s="1299"/>
      <c r="X925" s="1302"/>
      <c r="Y925" s="1295"/>
      <c r="Z925" s="1292"/>
      <c r="AA925" s="1292"/>
      <c r="AB925" s="1293"/>
      <c r="AC925" s="1533"/>
      <c r="AD925" s="1534"/>
      <c r="AE925" s="1534"/>
      <c r="AF925" s="1535"/>
      <c r="AI925" s="3056" t="str">
        <f>"55:field208:" &amp; IF(I925="■",1,IF(M925="■",2,0))</f>
        <v>55:field208:0</v>
      </c>
    </row>
    <row r="926" spans="1:36" s="3056" customFormat="1" ht="19.5" hidden="1" customHeight="1">
      <c r="A926" s="735"/>
      <c r="B926" s="1407"/>
      <c r="C926" s="1303"/>
      <c r="D926" s="1304"/>
      <c r="E926" s="1275"/>
      <c r="F926" s="1289"/>
      <c r="G926" s="1305"/>
      <c r="H926" s="1306" t="s">
        <v>1244</v>
      </c>
      <c r="I926" s="3066" t="s">
        <v>121</v>
      </c>
      <c r="J926" s="1298" t="s">
        <v>1242</v>
      </c>
      <c r="K926" s="1299"/>
      <c r="L926" s="1300"/>
      <c r="M926" s="3065" t="s">
        <v>121</v>
      </c>
      <c r="N926" s="1298" t="s">
        <v>1245</v>
      </c>
      <c r="O926" s="1301"/>
      <c r="P926" s="1298"/>
      <c r="Q926" s="1307"/>
      <c r="R926" s="1307"/>
      <c r="S926" s="1307"/>
      <c r="T926" s="1307"/>
      <c r="U926" s="1307"/>
      <c r="V926" s="1307"/>
      <c r="W926" s="1307"/>
      <c r="X926" s="1308"/>
      <c r="Y926" s="1292"/>
      <c r="Z926" s="1292"/>
      <c r="AA926" s="1292"/>
      <c r="AB926" s="1293"/>
      <c r="AC926" s="1533"/>
      <c r="AD926" s="1534"/>
      <c r="AE926" s="1534"/>
      <c r="AF926" s="1535"/>
      <c r="AI926" s="3056" t="str">
        <f>"55:field223:" &amp; IF(I926="■",1,IF(M926="■",2,0))</f>
        <v>55:field223:0</v>
      </c>
    </row>
    <row r="927" spans="1:36" s="3056" customFormat="1" ht="19.5" hidden="1" customHeight="1">
      <c r="A927" s="735"/>
      <c r="B927" s="1407"/>
      <c r="C927" s="1303"/>
      <c r="D927" s="1304"/>
      <c r="E927" s="1275"/>
      <c r="F927" s="1289"/>
      <c r="G927" s="1305"/>
      <c r="H927" s="1306" t="s">
        <v>1246</v>
      </c>
      <c r="I927" s="3066" t="s">
        <v>121</v>
      </c>
      <c r="J927" s="1298" t="s">
        <v>1242</v>
      </c>
      <c r="K927" s="1299"/>
      <c r="L927" s="1300"/>
      <c r="M927" s="3065" t="s">
        <v>121</v>
      </c>
      <c r="N927" s="1298" t="s">
        <v>1245</v>
      </c>
      <c r="O927" s="1301"/>
      <c r="P927" s="1298"/>
      <c r="Q927" s="1307"/>
      <c r="R927" s="1307"/>
      <c r="S927" s="1307"/>
      <c r="T927" s="1307"/>
      <c r="U927" s="1307"/>
      <c r="V927" s="1307"/>
      <c r="W927" s="1307"/>
      <c r="X927" s="1308"/>
      <c r="Y927" s="1292"/>
      <c r="Z927" s="1292"/>
      <c r="AA927" s="1292"/>
      <c r="AB927" s="1293"/>
      <c r="AC927" s="1533"/>
      <c r="AD927" s="1534"/>
      <c r="AE927" s="1534"/>
      <c r="AF927" s="1535"/>
      <c r="AI927" s="3056" t="str">
        <f>"55:field232:" &amp; IF(I927="■",1,IF(M927="■",2,0))</f>
        <v>55:field232:0</v>
      </c>
    </row>
    <row r="928" spans="1:36" s="3056" customFormat="1" ht="18.75" hidden="1" customHeight="1">
      <c r="A928" s="735"/>
      <c r="B928" s="1407"/>
      <c r="C928" s="1287"/>
      <c r="D928" s="1288"/>
      <c r="E928" s="1275"/>
      <c r="F928" s="1289"/>
      <c r="G928" s="1275"/>
      <c r="H928" s="1539" t="s">
        <v>1247</v>
      </c>
      <c r="I928" s="3115" t="s">
        <v>121</v>
      </c>
      <c r="J928" s="1528" t="s">
        <v>1230</v>
      </c>
      <c r="K928" s="1528"/>
      <c r="L928" s="3135" t="s">
        <v>121</v>
      </c>
      <c r="M928" s="1528" t="s">
        <v>1248</v>
      </c>
      <c r="N928" s="1528"/>
      <c r="O928" s="1402"/>
      <c r="P928" s="1402"/>
      <c r="Q928" s="1402"/>
      <c r="R928" s="1402"/>
      <c r="S928" s="1402"/>
      <c r="T928" s="1402"/>
      <c r="U928" s="1402"/>
      <c r="V928" s="1402"/>
      <c r="W928" s="1402"/>
      <c r="X928" s="1291"/>
      <c r="Y928" s="1295"/>
      <c r="Z928" s="1292"/>
      <c r="AA928" s="1292"/>
      <c r="AB928" s="1293"/>
      <c r="AC928" s="1533"/>
      <c r="AD928" s="1534"/>
      <c r="AE928" s="1534"/>
      <c r="AF928" s="1535"/>
      <c r="AI928" s="3056" t="str">
        <f>"55:field206:" &amp; IF(I928="■",1,IF(L928="■",2,0))</f>
        <v>55:field206:0</v>
      </c>
    </row>
    <row r="929" spans="1:36" s="3056" customFormat="1" ht="18.75" hidden="1" customHeight="1">
      <c r="A929" s="735"/>
      <c r="B929" s="1407"/>
      <c r="C929" s="1287"/>
      <c r="D929" s="1288"/>
      <c r="E929" s="1275"/>
      <c r="F929" s="1289"/>
      <c r="G929" s="1275"/>
      <c r="H929" s="1540"/>
      <c r="I929" s="3081"/>
      <c r="J929" s="1529"/>
      <c r="K929" s="1529"/>
      <c r="L929" s="3080"/>
      <c r="M929" s="1529"/>
      <c r="N929" s="1529"/>
      <c r="O929" s="1403"/>
      <c r="P929" s="1403"/>
      <c r="Q929" s="1403"/>
      <c r="R929" s="1403"/>
      <c r="S929" s="1403"/>
      <c r="T929" s="1403"/>
      <c r="U929" s="1403"/>
      <c r="V929" s="1403"/>
      <c r="W929" s="1403"/>
      <c r="X929" s="1297"/>
      <c r="Y929" s="1295"/>
      <c r="Z929" s="1292"/>
      <c r="AA929" s="1292"/>
      <c r="AB929" s="1293"/>
      <c r="AC929" s="1533"/>
      <c r="AD929" s="1534"/>
      <c r="AE929" s="1534"/>
      <c r="AF929" s="1535"/>
    </row>
    <row r="930" spans="1:36" s="3056" customFormat="1" ht="18.75" hidden="1" customHeight="1">
      <c r="A930" s="3069" t="s">
        <v>121</v>
      </c>
      <c r="B930" s="1407">
        <v>55</v>
      </c>
      <c r="C930" s="1287" t="s">
        <v>2320</v>
      </c>
      <c r="D930" s="3069" t="s">
        <v>121</v>
      </c>
      <c r="E930" s="1275" t="s">
        <v>2329</v>
      </c>
      <c r="F930" s="3069" t="s">
        <v>121</v>
      </c>
      <c r="G930" s="1275" t="s">
        <v>2294</v>
      </c>
      <c r="H930" s="1409" t="s">
        <v>2295</v>
      </c>
      <c r="I930" s="3066" t="s">
        <v>121</v>
      </c>
      <c r="J930" s="1298" t="s">
        <v>2292</v>
      </c>
      <c r="K930" s="1299"/>
      <c r="L930" s="1300"/>
      <c r="M930" s="3065" t="s">
        <v>121</v>
      </c>
      <c r="N930" s="1298" t="s">
        <v>2291</v>
      </c>
      <c r="O930" s="1307"/>
      <c r="P930" s="1299"/>
      <c r="Q930" s="1299"/>
      <c r="R930" s="1299"/>
      <c r="S930" s="1299"/>
      <c r="T930" s="1299"/>
      <c r="U930" s="1299"/>
      <c r="V930" s="1299"/>
      <c r="W930" s="1299"/>
      <c r="X930" s="1302"/>
      <c r="Y930" s="1295"/>
      <c r="Z930" s="1292"/>
      <c r="AA930" s="1292"/>
      <c r="AB930" s="1293"/>
      <c r="AC930" s="1533"/>
      <c r="AD930" s="1534"/>
      <c r="AE930" s="1534"/>
      <c r="AF930" s="1535"/>
      <c r="AI930" s="3056" t="str">
        <f>"55:field190:" &amp; IF(I930="■",1,IF(M930="■",2,0))</f>
        <v>55:field190:0</v>
      </c>
    </row>
    <row r="931" spans="1:36" s="3056" customFormat="1" ht="18.75" hidden="1" customHeight="1">
      <c r="A931" s="735"/>
      <c r="B931" s="1407"/>
      <c r="C931" s="1287"/>
      <c r="D931" s="1288"/>
      <c r="E931" s="1275"/>
      <c r="F931" s="1415"/>
      <c r="G931" s="617"/>
      <c r="H931" s="1409" t="s">
        <v>2293</v>
      </c>
      <c r="I931" s="3066" t="s">
        <v>121</v>
      </c>
      <c r="J931" s="1298" t="s">
        <v>2292</v>
      </c>
      <c r="K931" s="1299"/>
      <c r="L931" s="1300"/>
      <c r="M931" s="3065" t="s">
        <v>121</v>
      </c>
      <c r="N931" s="1298" t="s">
        <v>2291</v>
      </c>
      <c r="O931" s="1307"/>
      <c r="P931" s="1299"/>
      <c r="Q931" s="1299"/>
      <c r="R931" s="1299"/>
      <c r="S931" s="1299"/>
      <c r="T931" s="1299"/>
      <c r="U931" s="1299"/>
      <c r="V931" s="1299"/>
      <c r="W931" s="1299"/>
      <c r="X931" s="1302"/>
      <c r="Y931" s="1295"/>
      <c r="Z931" s="1292"/>
      <c r="AA931" s="1292"/>
      <c r="AB931" s="1293"/>
      <c r="AC931" s="1533"/>
      <c r="AD931" s="1534"/>
      <c r="AE931" s="1534"/>
      <c r="AF931" s="1535"/>
      <c r="AI931" s="3056" t="str">
        <f>"55:field191:" &amp; IF(I931="■",1,IF(M931="■",2,0))</f>
        <v>55:field191:0</v>
      </c>
    </row>
    <row r="932" spans="1:36" s="1418" customFormat="1" ht="19.5" hidden="1" customHeight="1">
      <c r="A932" s="625"/>
      <c r="B932" s="1416"/>
      <c r="C932" s="629"/>
      <c r="D932" s="1417"/>
      <c r="E932" s="1420"/>
      <c r="F932" s="1415"/>
      <c r="G932" s="617"/>
      <c r="H932" s="3148" t="s">
        <v>2328</v>
      </c>
      <c r="I932" s="3066" t="s">
        <v>2327</v>
      </c>
      <c r="J932" s="3144" t="s">
        <v>2326</v>
      </c>
      <c r="K932" s="3147"/>
      <c r="L932" s="3146"/>
      <c r="M932" s="3065" t="s">
        <v>121</v>
      </c>
      <c r="N932" s="3144" t="s">
        <v>2325</v>
      </c>
      <c r="O932" s="3145"/>
      <c r="P932" s="3144"/>
      <c r="Q932" s="3143"/>
      <c r="R932" s="3143"/>
      <c r="S932" s="3143"/>
      <c r="T932" s="3143"/>
      <c r="U932" s="3143"/>
      <c r="V932" s="3143"/>
      <c r="W932" s="3143"/>
      <c r="X932" s="3142"/>
      <c r="Y932" s="1421"/>
      <c r="Z932" s="2"/>
      <c r="AA932" s="626"/>
      <c r="AB932" s="627"/>
      <c r="AC932" s="1533"/>
      <c r="AD932" s="1534"/>
      <c r="AE932" s="1534"/>
      <c r="AF932" s="1535"/>
      <c r="AI932" s="3056" t="str">
        <f>"55:field242:" &amp; IF(I932="■",1,IF(M932="■",2,0))</f>
        <v>55:field242:1</v>
      </c>
    </row>
    <row r="933" spans="1:36" s="3056" customFormat="1" ht="18.75" hidden="1" customHeight="1">
      <c r="A933" s="735"/>
      <c r="B933" s="1407"/>
      <c r="C933" s="1287"/>
      <c r="D933" s="1288"/>
      <c r="E933" s="1275"/>
      <c r="F933" s="1288"/>
      <c r="G933" s="1275"/>
      <c r="H933" s="1409" t="s">
        <v>2290</v>
      </c>
      <c r="I933" s="3063" t="s">
        <v>121</v>
      </c>
      <c r="J933" s="1296" t="s">
        <v>1230</v>
      </c>
      <c r="K933" s="1309"/>
      <c r="L933" s="3062" t="s">
        <v>121</v>
      </c>
      <c r="M933" s="1296" t="s">
        <v>1248</v>
      </c>
      <c r="N933" s="1326"/>
      <c r="O933" s="1299"/>
      <c r="P933" s="1299"/>
      <c r="Q933" s="1299"/>
      <c r="R933" s="1299"/>
      <c r="S933" s="1299"/>
      <c r="T933" s="1299"/>
      <c r="U933" s="1299"/>
      <c r="V933" s="1299"/>
      <c r="W933" s="1299"/>
      <c r="X933" s="1302"/>
      <c r="Y933" s="1295"/>
      <c r="Z933" s="1292"/>
      <c r="AA933" s="1292"/>
      <c r="AB933" s="1293"/>
      <c r="AC933" s="1533"/>
      <c r="AD933" s="1534"/>
      <c r="AE933" s="1534"/>
      <c r="AF933" s="1535"/>
      <c r="AI933" s="3056" t="str">
        <f>"55:jyakuninti_uke_code:" &amp; IF(I933="■",1,IF(L933="■",2,0))</f>
        <v>55:jyakuninti_uke_code:0</v>
      </c>
    </row>
    <row r="934" spans="1:36" s="3056" customFormat="1" ht="18.75" hidden="1" customHeight="1">
      <c r="A934" s="735"/>
      <c r="B934" s="1407"/>
      <c r="C934" s="1287"/>
      <c r="D934" s="1288"/>
      <c r="E934" s="1275"/>
      <c r="F934" s="1288"/>
      <c r="G934" s="1275"/>
      <c r="H934" s="1409" t="s">
        <v>755</v>
      </c>
      <c r="I934" s="3063" t="s">
        <v>121</v>
      </c>
      <c r="J934" s="1296" t="s">
        <v>1230</v>
      </c>
      <c r="K934" s="1309"/>
      <c r="L934" s="3062" t="s">
        <v>121</v>
      </c>
      <c r="M934" s="1296" t="s">
        <v>1248</v>
      </c>
      <c r="N934" s="1326"/>
      <c r="O934" s="1299"/>
      <c r="P934" s="1299"/>
      <c r="Q934" s="1299"/>
      <c r="R934" s="1299"/>
      <c r="S934" s="1299"/>
      <c r="T934" s="1299"/>
      <c r="U934" s="1299"/>
      <c r="V934" s="1299"/>
      <c r="W934" s="1299"/>
      <c r="X934" s="1302"/>
      <c r="Y934" s="1295"/>
      <c r="Z934" s="1292"/>
      <c r="AA934" s="1292"/>
      <c r="AB934" s="1293"/>
      <c r="AC934" s="1533"/>
      <c r="AD934" s="1534"/>
      <c r="AE934" s="1534"/>
      <c r="AF934" s="1535"/>
      <c r="AI934" s="3056" t="str">
        <f>"55:field207:" &amp; IF(I934="■",1,IF(L934="■",2,0))</f>
        <v>55:field207:0</v>
      </c>
    </row>
    <row r="935" spans="1:36" s="3056" customFormat="1" ht="18.75" hidden="1" customHeight="1">
      <c r="A935" s="735"/>
      <c r="B935" s="1407"/>
      <c r="C935" s="1287"/>
      <c r="D935" s="1288"/>
      <c r="E935" s="1275"/>
      <c r="F935" s="1289"/>
      <c r="G935" s="1275"/>
      <c r="H935" s="1409" t="s">
        <v>145</v>
      </c>
      <c r="I935" s="3063" t="s">
        <v>122</v>
      </c>
      <c r="J935" s="1296" t="s">
        <v>1230</v>
      </c>
      <c r="K935" s="1309"/>
      <c r="L935" s="3062" t="s">
        <v>121</v>
      </c>
      <c r="M935" s="1296" t="s">
        <v>1248</v>
      </c>
      <c r="N935" s="1326"/>
      <c r="O935" s="1299"/>
      <c r="P935" s="1299"/>
      <c r="Q935" s="1299"/>
      <c r="R935" s="1299"/>
      <c r="S935" s="1299"/>
      <c r="T935" s="1299"/>
      <c r="U935" s="1299"/>
      <c r="V935" s="1299"/>
      <c r="W935" s="1299"/>
      <c r="X935" s="1302"/>
      <c r="Y935" s="1295"/>
      <c r="Z935" s="1292"/>
      <c r="AA935" s="1292"/>
      <c r="AB935" s="1293"/>
      <c r="AC935" s="1533"/>
      <c r="AD935" s="1534"/>
      <c r="AE935" s="1534"/>
      <c r="AF935" s="1535"/>
      <c r="AI935" s="3056" t="str">
        <f>"55:ryouyoushoku_code:" &amp; IF(I935="■",1,IF(L935="■",2,0))</f>
        <v>55:ryouyoushoku_code:0</v>
      </c>
    </row>
    <row r="936" spans="1:36" s="3056" customFormat="1" ht="18.75" hidden="1" customHeight="1">
      <c r="A936" s="735"/>
      <c r="B936" s="1407"/>
      <c r="C936" s="1287"/>
      <c r="D936" s="1288"/>
      <c r="E936" s="1275"/>
      <c r="F936" s="1289"/>
      <c r="G936" s="1275"/>
      <c r="H936" s="1409" t="s">
        <v>1260</v>
      </c>
      <c r="I936" s="3066" t="s">
        <v>121</v>
      </c>
      <c r="J936" s="1298" t="s">
        <v>1230</v>
      </c>
      <c r="K936" s="1298"/>
      <c r="L936" s="3065" t="s">
        <v>121</v>
      </c>
      <c r="M936" s="1298" t="s">
        <v>1256</v>
      </c>
      <c r="N936" s="1298"/>
      <c r="O936" s="3065" t="s">
        <v>121</v>
      </c>
      <c r="P936" s="1298" t="s">
        <v>1257</v>
      </c>
      <c r="Q936" s="1307"/>
      <c r="R936" s="1299"/>
      <c r="S936" s="1299"/>
      <c r="T936" s="1299"/>
      <c r="U936" s="1299"/>
      <c r="V936" s="1299"/>
      <c r="W936" s="1299"/>
      <c r="X936" s="1302"/>
      <c r="Y936" s="1295"/>
      <c r="Z936" s="1292"/>
      <c r="AA936" s="1292"/>
      <c r="AB936" s="1293"/>
      <c r="AC936" s="1533"/>
      <c r="AD936" s="1534"/>
      <c r="AE936" s="1534"/>
      <c r="AF936" s="1535"/>
      <c r="AI936" s="3056" t="str">
        <f>"55:ninti_senmoncare_code:" &amp; IF(I936="■",1,IF(O936="■",3,IF(L936="■",2,0)))</f>
        <v>55:ninti_senmoncare_code:0</v>
      </c>
    </row>
    <row r="937" spans="1:36" s="3056" customFormat="1" ht="18.75" hidden="1" customHeight="1">
      <c r="A937" s="735"/>
      <c r="B937" s="1407"/>
      <c r="C937" s="1287"/>
      <c r="D937" s="1288"/>
      <c r="E937" s="1275"/>
      <c r="F937" s="1289"/>
      <c r="G937" s="1275"/>
      <c r="H937" s="1409" t="s">
        <v>1261</v>
      </c>
      <c r="I937" s="3066" t="s">
        <v>121</v>
      </c>
      <c r="J937" s="1298" t="s">
        <v>1230</v>
      </c>
      <c r="K937" s="1298"/>
      <c r="L937" s="3065" t="s">
        <v>121</v>
      </c>
      <c r="M937" s="1298" t="s">
        <v>1256</v>
      </c>
      <c r="N937" s="1298"/>
      <c r="O937" s="3065" t="s">
        <v>121</v>
      </c>
      <c r="P937" s="1298" t="s">
        <v>1257</v>
      </c>
      <c r="Q937" s="1299"/>
      <c r="R937" s="1299"/>
      <c r="S937" s="1299"/>
      <c r="T937" s="1299"/>
      <c r="U937" s="1299"/>
      <c r="V937" s="1299"/>
      <c r="W937" s="1299"/>
      <c r="X937" s="1302"/>
      <c r="Y937" s="1295"/>
      <c r="Z937" s="1292"/>
      <c r="AA937" s="1292"/>
      <c r="AB937" s="1293"/>
      <c r="AC937" s="1533"/>
      <c r="AD937" s="1534"/>
      <c r="AE937" s="1534"/>
      <c r="AF937" s="1535"/>
      <c r="AI937" s="3056" t="str">
        <f>"55:field228:" &amp; IF(I937="■",1,IF(L937="■",2,IF(O937="■",3,0)))</f>
        <v>55:field228:0</v>
      </c>
    </row>
    <row r="938" spans="1:36" s="3056" customFormat="1" ht="18.75" hidden="1" customHeight="1">
      <c r="A938" s="735"/>
      <c r="B938" s="1407"/>
      <c r="C938" s="1287"/>
      <c r="D938" s="1288"/>
      <c r="E938" s="1275"/>
      <c r="F938" s="1289"/>
      <c r="G938" s="1275"/>
      <c r="H938" s="1409" t="s">
        <v>2289</v>
      </c>
      <c r="I938" s="3066" t="s">
        <v>121</v>
      </c>
      <c r="J938" s="1298" t="s">
        <v>1230</v>
      </c>
      <c r="K938" s="1298"/>
      <c r="L938" s="3065" t="s">
        <v>121</v>
      </c>
      <c r="M938" s="1298" t="s">
        <v>1256</v>
      </c>
      <c r="N938" s="1298"/>
      <c r="O938" s="3065" t="s">
        <v>121</v>
      </c>
      <c r="P938" s="1298" t="s">
        <v>1257</v>
      </c>
      <c r="Q938" s="1307"/>
      <c r="R938" s="1298"/>
      <c r="S938" s="1298"/>
      <c r="T938" s="1298"/>
      <c r="U938" s="1298"/>
      <c r="V938" s="1298"/>
      <c r="W938" s="1298"/>
      <c r="X938" s="1310"/>
      <c r="Y938" s="1295"/>
      <c r="Z938" s="1292"/>
      <c r="AA938" s="1292"/>
      <c r="AB938" s="1293"/>
      <c r="AC938" s="1533"/>
      <c r="AD938" s="1534"/>
      <c r="AE938" s="1534"/>
      <c r="AF938" s="1535"/>
      <c r="AI938" s="3056" t="str">
        <f>"55:field164:" &amp; IF(I938="■",1,IF(L938="■",2,IF(O938="■",3,0)))</f>
        <v>55:field164:0</v>
      </c>
    </row>
    <row r="939" spans="1:36" s="3056" customFormat="1" ht="18.75" hidden="1" customHeight="1">
      <c r="A939" s="735"/>
      <c r="B939" s="1407"/>
      <c r="C939" s="1287"/>
      <c r="D939" s="1288"/>
      <c r="E939" s="1275"/>
      <c r="F939" s="1289"/>
      <c r="G939" s="1275"/>
      <c r="H939" s="1409" t="s">
        <v>1288</v>
      </c>
      <c r="I939" s="3066" t="s">
        <v>121</v>
      </c>
      <c r="J939" s="1298" t="s">
        <v>1230</v>
      </c>
      <c r="K939" s="1298"/>
      <c r="L939" s="3065" t="s">
        <v>121</v>
      </c>
      <c r="M939" s="1296" t="s">
        <v>1248</v>
      </c>
      <c r="N939" s="1298"/>
      <c r="O939" s="1298"/>
      <c r="P939" s="1298"/>
      <c r="Q939" s="1299"/>
      <c r="R939" s="1299"/>
      <c r="S939" s="1299"/>
      <c r="T939" s="1299"/>
      <c r="U939" s="1299"/>
      <c r="V939" s="1299"/>
      <c r="W939" s="1299"/>
      <c r="X939" s="1302"/>
      <c r="Y939" s="1295"/>
      <c r="Z939" s="1292"/>
      <c r="AA939" s="1292"/>
      <c r="AB939" s="1293"/>
      <c r="AC939" s="1533"/>
      <c r="AD939" s="1534"/>
      <c r="AE939" s="1534"/>
      <c r="AF939" s="1535"/>
      <c r="AI939" s="3056" t="str">
        <f>"55:field226:" &amp; IF(I939="■",1,IF(L939="■",2,0))</f>
        <v>55:field226:0</v>
      </c>
    </row>
    <row r="940" spans="1:36" s="3056" customFormat="1" ht="18.75" hidden="1" customHeight="1">
      <c r="A940" s="735"/>
      <c r="B940" s="1407"/>
      <c r="C940" s="1287"/>
      <c r="D940" s="1288"/>
      <c r="E940" s="1275"/>
      <c r="F940" s="1289"/>
      <c r="G940" s="1275"/>
      <c r="H940" s="1409" t="s">
        <v>1289</v>
      </c>
      <c r="I940" s="3066" t="s">
        <v>121</v>
      </c>
      <c r="J940" s="1298" t="s">
        <v>1230</v>
      </c>
      <c r="K940" s="1298"/>
      <c r="L940" s="3065" t="s">
        <v>121</v>
      </c>
      <c r="M940" s="1296" t="s">
        <v>1248</v>
      </c>
      <c r="N940" s="1298"/>
      <c r="O940" s="1298"/>
      <c r="P940" s="1298"/>
      <c r="Q940" s="1299"/>
      <c r="R940" s="1299"/>
      <c r="S940" s="1299"/>
      <c r="T940" s="1299"/>
      <c r="U940" s="1299"/>
      <c r="V940" s="1299"/>
      <c r="W940" s="1299"/>
      <c r="X940" s="1302"/>
      <c r="Y940" s="1295"/>
      <c r="Z940" s="1292"/>
      <c r="AA940" s="1292"/>
      <c r="AB940" s="1293"/>
      <c r="AC940" s="1533"/>
      <c r="AD940" s="1534"/>
      <c r="AE940" s="1534"/>
      <c r="AF940" s="1535"/>
      <c r="AI940" s="3056" t="str">
        <f>"55:field227:" &amp; IF(I940="■",1,IF(L940="■",2,0))</f>
        <v>55:field227:0</v>
      </c>
    </row>
    <row r="941" spans="1:36" s="3056" customFormat="1" ht="18.75" hidden="1" customHeight="1">
      <c r="A941" s="735"/>
      <c r="B941" s="1407"/>
      <c r="C941" s="1287"/>
      <c r="D941" s="1288"/>
      <c r="E941" s="1275"/>
      <c r="F941" s="1289"/>
      <c r="G941" s="1275"/>
      <c r="H941" s="1313" t="s">
        <v>1265</v>
      </c>
      <c r="I941" s="3066" t="s">
        <v>121</v>
      </c>
      <c r="J941" s="1298" t="s">
        <v>1230</v>
      </c>
      <c r="K941" s="1298"/>
      <c r="L941" s="3065" t="s">
        <v>121</v>
      </c>
      <c r="M941" s="1298" t="s">
        <v>1256</v>
      </c>
      <c r="N941" s="1298"/>
      <c r="O941" s="3065" t="s">
        <v>121</v>
      </c>
      <c r="P941" s="1298" t="s">
        <v>1257</v>
      </c>
      <c r="Q941" s="1307"/>
      <c r="R941" s="1307"/>
      <c r="S941" s="1307"/>
      <c r="T941" s="1307"/>
      <c r="U941" s="1314"/>
      <c r="V941" s="1314"/>
      <c r="W941" s="1314"/>
      <c r="X941" s="1315"/>
      <c r="Y941" s="1295"/>
      <c r="Z941" s="1292"/>
      <c r="AA941" s="1292"/>
      <c r="AB941" s="1293"/>
      <c r="AC941" s="1533"/>
      <c r="AD941" s="1534"/>
      <c r="AE941" s="1534"/>
      <c r="AF941" s="1535"/>
      <c r="AI941" s="3056" t="str">
        <f>"55:field225:" &amp; IF(I941="■",1,IF(L941="■",2,IF(O941="■",3,0)))</f>
        <v>55:field225:0</v>
      </c>
    </row>
    <row r="942" spans="1:36" s="3056" customFormat="1" ht="18.75" hidden="1" customHeight="1">
      <c r="A942" s="735"/>
      <c r="B942" s="1407"/>
      <c r="C942" s="1287"/>
      <c r="D942" s="1288"/>
      <c r="E942" s="1275"/>
      <c r="F942" s="1289"/>
      <c r="G942" s="1275"/>
      <c r="H942" s="1409" t="s">
        <v>1266</v>
      </c>
      <c r="I942" s="3066" t="s">
        <v>121</v>
      </c>
      <c r="J942" s="1298" t="s">
        <v>1230</v>
      </c>
      <c r="K942" s="1298"/>
      <c r="L942" s="3065" t="s">
        <v>121</v>
      </c>
      <c r="M942" s="1298" t="s">
        <v>1267</v>
      </c>
      <c r="N942" s="1298"/>
      <c r="O942" s="3065" t="s">
        <v>121</v>
      </c>
      <c r="P942" s="1298" t="s">
        <v>1268</v>
      </c>
      <c r="Q942" s="1326"/>
      <c r="R942" s="3065" t="s">
        <v>121</v>
      </c>
      <c r="S942" s="1298" t="s">
        <v>1269</v>
      </c>
      <c r="T942" s="1298"/>
      <c r="U942" s="1298"/>
      <c r="V942" s="1298"/>
      <c r="W942" s="1298"/>
      <c r="X942" s="1310"/>
      <c r="Y942" s="1295"/>
      <c r="Z942" s="1292"/>
      <c r="AA942" s="1292"/>
      <c r="AB942" s="1293"/>
      <c r="AC942" s="1533"/>
      <c r="AD942" s="1534"/>
      <c r="AE942" s="1534"/>
      <c r="AF942" s="1535"/>
      <c r="AI942" s="3056" t="str">
        <f>"55:serteikyo_kyoka_code:" &amp; IF(I942="■",1,IF(L942="■",6,IF(O942="■",5,IF(R942="■",7,0))))</f>
        <v>55:serteikyo_kyoka_code:0</v>
      </c>
    </row>
    <row r="943" spans="1:36" s="3056" customFormat="1" ht="18.75" hidden="1" customHeight="1">
      <c r="A943" s="736"/>
      <c r="B943" s="1316"/>
      <c r="C943" s="1346"/>
      <c r="D943" s="1348"/>
      <c r="E943" s="1317"/>
      <c r="F943" s="1318"/>
      <c r="G943" s="1361"/>
      <c r="H943" s="3134" t="s">
        <v>2288</v>
      </c>
      <c r="I943" s="3060" t="s">
        <v>121</v>
      </c>
      <c r="J943" s="3130" t="s">
        <v>1230</v>
      </c>
      <c r="K943" s="3130"/>
      <c r="L943" s="3059" t="s">
        <v>121</v>
      </c>
      <c r="M943" s="3130" t="s">
        <v>2287</v>
      </c>
      <c r="N943" s="3133"/>
      <c r="O943" s="3059" t="s">
        <v>121</v>
      </c>
      <c r="P943" s="3132" t="s">
        <v>2286</v>
      </c>
      <c r="Q943" s="3131"/>
      <c r="R943" s="3059" t="s">
        <v>121</v>
      </c>
      <c r="S943" s="3130" t="s">
        <v>2285</v>
      </c>
      <c r="T943" s="3131"/>
      <c r="U943" s="3059" t="s">
        <v>121</v>
      </c>
      <c r="V943" s="3130" t="s">
        <v>2284</v>
      </c>
      <c r="W943" s="3129"/>
      <c r="X943" s="3128"/>
      <c r="Y943" s="1323"/>
      <c r="Z943" s="1323"/>
      <c r="AA943" s="1323"/>
      <c r="AB943" s="1324"/>
      <c r="AC943" s="1536"/>
      <c r="AD943" s="1537"/>
      <c r="AE943" s="1537"/>
      <c r="AF943" s="1538"/>
      <c r="AI943" s="3056" t="str">
        <f>"55:shoguukaizen_code:"&amp;IF(I943="■",1,IF(L943="■",7,IF(O943="■",8,IF(R943="■",9,IF(U943="■","A",0)))))</f>
        <v>55:shoguukaizen_code:0</v>
      </c>
    </row>
    <row r="944" spans="1:36" s="3056" customFormat="1" ht="18.75" hidden="1" customHeight="1">
      <c r="A944" s="1276"/>
      <c r="B944" s="1405"/>
      <c r="C944" s="1277"/>
      <c r="D944" s="1278"/>
      <c r="E944" s="1272"/>
      <c r="F944" s="1279"/>
      <c r="G944" s="1272"/>
      <c r="H944" s="1545" t="s">
        <v>1226</v>
      </c>
      <c r="I944" s="3119" t="s">
        <v>121</v>
      </c>
      <c r="J944" s="1270" t="s">
        <v>1227</v>
      </c>
      <c r="K944" s="3139"/>
      <c r="L944" s="1334"/>
      <c r="M944" s="3138" t="s">
        <v>121</v>
      </c>
      <c r="N944" s="1270" t="s">
        <v>2306</v>
      </c>
      <c r="O944" s="1334"/>
      <c r="P944" s="1334"/>
      <c r="Q944" s="3138" t="s">
        <v>121</v>
      </c>
      <c r="R944" s="1270" t="s">
        <v>2305</v>
      </c>
      <c r="S944" s="1334"/>
      <c r="T944" s="1334"/>
      <c r="U944" s="3138" t="s">
        <v>121</v>
      </c>
      <c r="V944" s="1270" t="s">
        <v>2304</v>
      </c>
      <c r="W944" s="1334"/>
      <c r="X944" s="1336"/>
      <c r="Y944" s="3119" t="s">
        <v>121</v>
      </c>
      <c r="Z944" s="1270" t="s">
        <v>1229</v>
      </c>
      <c r="AA944" s="1270"/>
      <c r="AB944" s="1286"/>
      <c r="AC944" s="1530"/>
      <c r="AD944" s="1531"/>
      <c r="AE944" s="1531"/>
      <c r="AF944" s="1532"/>
      <c r="AG944" s="3056" t="str">
        <f>"ser_code = '" &amp; IF(A960="■",55,"") &amp; "'"</f>
        <v>ser_code = ''</v>
      </c>
      <c r="AH944" s="3056" t="str">
        <f>"55:jininkbn_code:"&amp;IF(F960="■",1,IF(F961="■",2,0))</f>
        <v>55:jininkbn_code:0</v>
      </c>
      <c r="AI944" s="3056" t="str">
        <f>"55:yakan_kinmu_code:" &amp; IF(I944="■",1,IF(M944="■",2,IF(Q944="■",3,IF(U944="■",7,IF(I945="■",5,IF(M945="■",6,0))))))</f>
        <v>55:yakan_kinmu_code:0</v>
      </c>
      <c r="AJ944" s="3056" t="str">
        <f>"55:field203:" &amp; IF(Y944="■",1,IF(Y945="■",2,0))</f>
        <v>55:field203:0</v>
      </c>
    </row>
    <row r="945" spans="1:35" s="3056" customFormat="1" ht="18.75" hidden="1" customHeight="1">
      <c r="A945" s="735"/>
      <c r="B945" s="1407"/>
      <c r="C945" s="1287"/>
      <c r="D945" s="1288"/>
      <c r="E945" s="1275"/>
      <c r="F945" s="1289"/>
      <c r="G945" s="1275"/>
      <c r="H945" s="1542"/>
      <c r="I945" s="3063" t="s">
        <v>121</v>
      </c>
      <c r="J945" s="1296" t="s">
        <v>2303</v>
      </c>
      <c r="K945" s="1309"/>
      <c r="L945" s="1403"/>
      <c r="M945" s="3062" t="s">
        <v>121</v>
      </c>
      <c r="N945" s="1296" t="s">
        <v>1228</v>
      </c>
      <c r="O945" s="1403"/>
      <c r="P945" s="1403"/>
      <c r="Q945" s="1403"/>
      <c r="R945" s="1403"/>
      <c r="S945" s="1403"/>
      <c r="T945" s="1403"/>
      <c r="U945" s="1403"/>
      <c r="V945" s="1403"/>
      <c r="W945" s="1403"/>
      <c r="X945" s="1297"/>
      <c r="Y945" s="3069" t="s">
        <v>121</v>
      </c>
      <c r="Z945" s="1273" t="s">
        <v>1234</v>
      </c>
      <c r="AA945" s="1292"/>
      <c r="AB945" s="1293"/>
      <c r="AC945" s="1533"/>
      <c r="AD945" s="1534"/>
      <c r="AE945" s="1534"/>
      <c r="AF945" s="1535"/>
      <c r="AG945" s="3056" t="str">
        <f>"55:sisetukbn_code:" &amp; IF(D960="■",4,0)</f>
        <v>55:sisetukbn_code:0</v>
      </c>
    </row>
    <row r="946" spans="1:35" s="3056" customFormat="1" ht="18.75" hidden="1" customHeight="1">
      <c r="A946" s="735"/>
      <c r="B946" s="1407"/>
      <c r="C946" s="1287"/>
      <c r="D946" s="1288"/>
      <c r="E946" s="1275"/>
      <c r="F946" s="1289"/>
      <c r="G946" s="1275"/>
      <c r="H946" s="1541" t="s">
        <v>90</v>
      </c>
      <c r="I946" s="3137" t="s">
        <v>121</v>
      </c>
      <c r="J946" s="1290" t="s">
        <v>1230</v>
      </c>
      <c r="K946" s="1290"/>
      <c r="L946" s="1402"/>
      <c r="M946" s="3136" t="s">
        <v>121</v>
      </c>
      <c r="N946" s="1290" t="s">
        <v>1231</v>
      </c>
      <c r="O946" s="1290"/>
      <c r="P946" s="1402"/>
      <c r="Q946" s="3138" t="s">
        <v>121</v>
      </c>
      <c r="R946" s="1402" t="s">
        <v>2302</v>
      </c>
      <c r="S946" s="1402"/>
      <c r="T946" s="1402"/>
      <c r="U946" s="3138" t="s">
        <v>121</v>
      </c>
      <c r="V946" s="1402" t="s">
        <v>2301</v>
      </c>
      <c r="W946" s="1314"/>
      <c r="X946" s="1315"/>
      <c r="Y946" s="1295"/>
      <c r="Z946" s="1292"/>
      <c r="AA946" s="1292"/>
      <c r="AB946" s="1293"/>
      <c r="AC946" s="1533"/>
      <c r="AD946" s="1534"/>
      <c r="AE946" s="1534"/>
      <c r="AF946" s="1535"/>
      <c r="AI946" s="3056" t="str">
        <f>"55:"&amp;IF(AND(I946="□",M946="□",Q946="□",U946="□",I947="□",M947="□"),"ketu_doctor_code:0",IF(I946="■","ketu_doctor_code:1:field197:1:ketu_kangos_code:1:ketu_kshoku_code:1:ketu_ksiensou_code:1",IF(M946="■","ketu_doctor_code:2","ketu_doctor_code:1")
&amp;IF(Q946="■",":field197:2",":field197:1")
&amp;IF(U946="■",":ketu_kangos_code:2",":ketu_kangos_code:1")
&amp;IF(I947="■",":ketu_kshoku_code:2",":ketu_kshoku_code:1")
&amp;IF(M947="■",":ketu_ksiensou_code:2",":ketu_ksiensou_code:1")))</f>
        <v>55:ketu_doctor_code:0</v>
      </c>
    </row>
    <row r="947" spans="1:35" s="3056" customFormat="1" ht="18.75" hidden="1" customHeight="1">
      <c r="A947" s="735"/>
      <c r="B947" s="1407"/>
      <c r="C947" s="1287"/>
      <c r="D947" s="1288"/>
      <c r="E947" s="1275"/>
      <c r="F947" s="1289"/>
      <c r="G947" s="1275"/>
      <c r="H947" s="1542"/>
      <c r="I947" s="3063" t="s">
        <v>121</v>
      </c>
      <c r="J947" s="1403" t="s">
        <v>2300</v>
      </c>
      <c r="K947" s="1296"/>
      <c r="L947" s="1403"/>
      <c r="M947" s="3062" t="s">
        <v>121</v>
      </c>
      <c r="N947" s="1296" t="s">
        <v>2299</v>
      </c>
      <c r="O947" s="1296"/>
      <c r="P947" s="1403"/>
      <c r="Q947" s="1403"/>
      <c r="R947" s="1403"/>
      <c r="S947" s="1403"/>
      <c r="T947" s="1403"/>
      <c r="U947" s="1403"/>
      <c r="V947" s="1403"/>
      <c r="W947" s="1330"/>
      <c r="X947" s="1356"/>
      <c r="Y947" s="1295"/>
      <c r="Z947" s="1292"/>
      <c r="AA947" s="1292"/>
      <c r="AB947" s="1293"/>
      <c r="AC947" s="1533"/>
      <c r="AD947" s="1534"/>
      <c r="AE947" s="1534"/>
      <c r="AF947" s="1535"/>
    </row>
    <row r="948" spans="1:35" s="3056" customFormat="1" ht="18.75" hidden="1" customHeight="1">
      <c r="A948" s="735"/>
      <c r="B948" s="1407"/>
      <c r="C948" s="1287"/>
      <c r="D948" s="1288"/>
      <c r="E948" s="1275"/>
      <c r="F948" s="1289"/>
      <c r="G948" s="1275"/>
      <c r="H948" s="1409" t="s">
        <v>91</v>
      </c>
      <c r="I948" s="3066" t="s">
        <v>121</v>
      </c>
      <c r="J948" s="1298" t="s">
        <v>1239</v>
      </c>
      <c r="K948" s="1299"/>
      <c r="L948" s="1300"/>
      <c r="M948" s="3065" t="s">
        <v>121</v>
      </c>
      <c r="N948" s="1298" t="s">
        <v>1240</v>
      </c>
      <c r="O948" s="1299"/>
      <c r="P948" s="1299"/>
      <c r="Q948" s="1299"/>
      <c r="R948" s="1299"/>
      <c r="S948" s="1299"/>
      <c r="T948" s="1299"/>
      <c r="U948" s="1299"/>
      <c r="V948" s="1299"/>
      <c r="W948" s="1299"/>
      <c r="X948" s="1302"/>
      <c r="Y948" s="1295"/>
      <c r="Z948" s="1292"/>
      <c r="AA948" s="1292"/>
      <c r="AB948" s="1293"/>
      <c r="AC948" s="1533"/>
      <c r="AD948" s="1534"/>
      <c r="AE948" s="1534"/>
      <c r="AF948" s="1535"/>
      <c r="AI948" s="3056" t="str">
        <f>"55:unitcare_code:" &amp; IF(I948="■",1,IF(M948="■",2,0))</f>
        <v>55:unitcare_code:0</v>
      </c>
    </row>
    <row r="949" spans="1:35" s="3056" customFormat="1" ht="18.75" hidden="1" customHeight="1">
      <c r="A949" s="735"/>
      <c r="B949" s="1407"/>
      <c r="C949" s="1287"/>
      <c r="D949" s="1288"/>
      <c r="E949" s="1275"/>
      <c r="F949" s="1289"/>
      <c r="G949" s="1275"/>
      <c r="H949" s="1409" t="s">
        <v>1241</v>
      </c>
      <c r="I949" s="3066" t="s">
        <v>121</v>
      </c>
      <c r="J949" s="1298" t="s">
        <v>1242</v>
      </c>
      <c r="K949" s="1299"/>
      <c r="L949" s="1300"/>
      <c r="M949" s="3065" t="s">
        <v>121</v>
      </c>
      <c r="N949" s="1298" t="s">
        <v>1243</v>
      </c>
      <c r="O949" s="1307"/>
      <c r="P949" s="1299"/>
      <c r="Q949" s="1299"/>
      <c r="R949" s="1299"/>
      <c r="S949" s="1299"/>
      <c r="T949" s="1299"/>
      <c r="U949" s="1299"/>
      <c r="V949" s="1299"/>
      <c r="W949" s="1299"/>
      <c r="X949" s="1302"/>
      <c r="Y949" s="1295"/>
      <c r="Z949" s="1292"/>
      <c r="AA949" s="1292"/>
      <c r="AB949" s="1293"/>
      <c r="AC949" s="1533"/>
      <c r="AD949" s="1534"/>
      <c r="AE949" s="1534"/>
      <c r="AF949" s="1535"/>
      <c r="AI949" s="3056" t="str">
        <f>"55:sintaikousoku_code:" &amp; IF(I949="■",1,IF(M949="■",2,0))</f>
        <v>55:sintaikousoku_code:0</v>
      </c>
    </row>
    <row r="950" spans="1:35" s="3056" customFormat="1" ht="18.75" hidden="1" customHeight="1">
      <c r="A950" s="735"/>
      <c r="B950" s="1407"/>
      <c r="C950" s="1287"/>
      <c r="D950" s="1288"/>
      <c r="E950" s="1275"/>
      <c r="F950" s="1289"/>
      <c r="G950" s="1275"/>
      <c r="H950" s="1409" t="s">
        <v>753</v>
      </c>
      <c r="I950" s="3066" t="s">
        <v>121</v>
      </c>
      <c r="J950" s="1298" t="s">
        <v>1242</v>
      </c>
      <c r="K950" s="1299"/>
      <c r="L950" s="1300"/>
      <c r="M950" s="3065" t="s">
        <v>121</v>
      </c>
      <c r="N950" s="1298" t="s">
        <v>1243</v>
      </c>
      <c r="O950" s="1307"/>
      <c r="P950" s="1299"/>
      <c r="Q950" s="1299"/>
      <c r="R950" s="1299"/>
      <c r="S950" s="1299"/>
      <c r="T950" s="1299"/>
      <c r="U950" s="1299"/>
      <c r="V950" s="1299"/>
      <c r="W950" s="1299"/>
      <c r="X950" s="1302"/>
      <c r="Y950" s="1295"/>
      <c r="Z950" s="1292"/>
      <c r="AA950" s="1292"/>
      <c r="AB950" s="1293"/>
      <c r="AC950" s="1533"/>
      <c r="AD950" s="1534"/>
      <c r="AE950" s="1534"/>
      <c r="AF950" s="1535"/>
      <c r="AI950" s="3056" t="str">
        <f>"55:field208:" &amp; IF(I950="■",1,IF(M950="■",2,0))</f>
        <v>55:field208:0</v>
      </c>
    </row>
    <row r="951" spans="1:35" s="3056" customFormat="1" ht="19.5" hidden="1" customHeight="1">
      <c r="A951" s="735"/>
      <c r="B951" s="1407"/>
      <c r="C951" s="1303"/>
      <c r="D951" s="1304"/>
      <c r="E951" s="1275"/>
      <c r="F951" s="1289"/>
      <c r="G951" s="1305"/>
      <c r="H951" s="1306" t="s">
        <v>1244</v>
      </c>
      <c r="I951" s="3066" t="s">
        <v>121</v>
      </c>
      <c r="J951" s="1298" t="s">
        <v>1242</v>
      </c>
      <c r="K951" s="1299"/>
      <c r="L951" s="1300"/>
      <c r="M951" s="3065" t="s">
        <v>121</v>
      </c>
      <c r="N951" s="1298" t="s">
        <v>1245</v>
      </c>
      <c r="O951" s="1301"/>
      <c r="P951" s="1298"/>
      <c r="Q951" s="1307"/>
      <c r="R951" s="1307"/>
      <c r="S951" s="1307"/>
      <c r="T951" s="1307"/>
      <c r="U951" s="1307"/>
      <c r="V951" s="1307"/>
      <c r="W951" s="1307"/>
      <c r="X951" s="1308"/>
      <c r="Y951" s="1292"/>
      <c r="Z951" s="1292"/>
      <c r="AA951" s="1292"/>
      <c r="AB951" s="1293"/>
      <c r="AC951" s="1533"/>
      <c r="AD951" s="1534"/>
      <c r="AE951" s="1534"/>
      <c r="AF951" s="1535"/>
      <c r="AI951" s="3056" t="str">
        <f>"55:field223:" &amp; IF(I951="■",1,IF(M951="■",2,0))</f>
        <v>55:field223:0</v>
      </c>
    </row>
    <row r="952" spans="1:35" s="3056" customFormat="1" ht="19.5" hidden="1" customHeight="1">
      <c r="A952" s="735"/>
      <c r="B952" s="1407"/>
      <c r="C952" s="1303"/>
      <c r="D952" s="1304"/>
      <c r="E952" s="1275"/>
      <c r="F952" s="1289"/>
      <c r="G952" s="1305"/>
      <c r="H952" s="1306" t="s">
        <v>1246</v>
      </c>
      <c r="I952" s="3066" t="s">
        <v>121</v>
      </c>
      <c r="J952" s="1298" t="s">
        <v>1242</v>
      </c>
      <c r="K952" s="1299"/>
      <c r="L952" s="1300"/>
      <c r="M952" s="3065" t="s">
        <v>121</v>
      </c>
      <c r="N952" s="1298" t="s">
        <v>1245</v>
      </c>
      <c r="O952" s="1301"/>
      <c r="P952" s="1298"/>
      <c r="Q952" s="1307"/>
      <c r="R952" s="1307"/>
      <c r="S952" s="1307"/>
      <c r="T952" s="1307"/>
      <c r="U952" s="1307"/>
      <c r="V952" s="1307"/>
      <c r="W952" s="1307"/>
      <c r="X952" s="1308"/>
      <c r="Y952" s="1292"/>
      <c r="Z952" s="1292"/>
      <c r="AA952" s="1292"/>
      <c r="AB952" s="1293"/>
      <c r="AC952" s="1533"/>
      <c r="AD952" s="1534"/>
      <c r="AE952" s="1534"/>
      <c r="AF952" s="1535"/>
      <c r="AI952" s="3056" t="str">
        <f>"55:field232:" &amp; IF(I952="■",1,IF(M952="■",2,0))</f>
        <v>55:field232:0</v>
      </c>
    </row>
    <row r="953" spans="1:35" s="3056" customFormat="1" ht="18.75" hidden="1" customHeight="1">
      <c r="A953" s="735"/>
      <c r="B953" s="1407"/>
      <c r="C953" s="1287"/>
      <c r="D953" s="1288"/>
      <c r="E953" s="1275"/>
      <c r="F953" s="1289"/>
      <c r="G953" s="1275"/>
      <c r="H953" s="1539" t="s">
        <v>1247</v>
      </c>
      <c r="I953" s="3115" t="s">
        <v>121</v>
      </c>
      <c r="J953" s="1528" t="s">
        <v>1230</v>
      </c>
      <c r="K953" s="1528"/>
      <c r="L953" s="3135" t="s">
        <v>121</v>
      </c>
      <c r="M953" s="1528" t="s">
        <v>1248</v>
      </c>
      <c r="N953" s="1528"/>
      <c r="O953" s="1402"/>
      <c r="P953" s="1402"/>
      <c r="Q953" s="1402"/>
      <c r="R953" s="1402"/>
      <c r="S953" s="1402"/>
      <c r="T953" s="1402"/>
      <c r="U953" s="1402"/>
      <c r="V953" s="1402"/>
      <c r="W953" s="1402"/>
      <c r="X953" s="1291"/>
      <c r="Y953" s="1295"/>
      <c r="Z953" s="1292"/>
      <c r="AA953" s="1292"/>
      <c r="AB953" s="1293"/>
      <c r="AC953" s="1533"/>
      <c r="AD953" s="1534"/>
      <c r="AE953" s="1534"/>
      <c r="AF953" s="1535"/>
      <c r="AI953" s="3056" t="str">
        <f>"55:field206:" &amp; IF(I953="■",1,IF(L953="■",2,0))</f>
        <v>55:field206:0</v>
      </c>
    </row>
    <row r="954" spans="1:35" s="3056" customFormat="1" ht="18.75" hidden="1" customHeight="1">
      <c r="A954" s="735"/>
      <c r="B954" s="1407"/>
      <c r="C954" s="1287"/>
      <c r="D954" s="1288"/>
      <c r="E954" s="1275"/>
      <c r="F954" s="1289"/>
      <c r="G954" s="1275"/>
      <c r="H954" s="1540"/>
      <c r="I954" s="3081"/>
      <c r="J954" s="1529"/>
      <c r="K954" s="1529"/>
      <c r="L954" s="3080"/>
      <c r="M954" s="1529"/>
      <c r="N954" s="1529"/>
      <c r="O954" s="1403"/>
      <c r="P954" s="1403"/>
      <c r="Q954" s="1403"/>
      <c r="R954" s="1403"/>
      <c r="S954" s="1403"/>
      <c r="T954" s="1403"/>
      <c r="U954" s="1403"/>
      <c r="V954" s="1403"/>
      <c r="W954" s="1403"/>
      <c r="X954" s="1297"/>
      <c r="Y954" s="1295"/>
      <c r="Z954" s="1292"/>
      <c r="AA954" s="1292"/>
      <c r="AB954" s="1293"/>
      <c r="AC954" s="1533"/>
      <c r="AD954" s="1534"/>
      <c r="AE954" s="1534"/>
      <c r="AF954" s="1535"/>
    </row>
    <row r="955" spans="1:35" s="3056" customFormat="1" ht="18.75" hidden="1" customHeight="1">
      <c r="A955" s="735"/>
      <c r="B955" s="1407"/>
      <c r="C955" s="1287"/>
      <c r="D955" s="1288"/>
      <c r="E955" s="1275"/>
      <c r="F955" s="1289"/>
      <c r="G955" s="1275"/>
      <c r="H955" s="1409" t="s">
        <v>2295</v>
      </c>
      <c r="I955" s="3066" t="s">
        <v>121</v>
      </c>
      <c r="J955" s="1298" t="s">
        <v>2292</v>
      </c>
      <c r="K955" s="1299"/>
      <c r="L955" s="1300"/>
      <c r="M955" s="3065" t="s">
        <v>121</v>
      </c>
      <c r="N955" s="1298" t="s">
        <v>2291</v>
      </c>
      <c r="O955" s="1307"/>
      <c r="P955" s="1299"/>
      <c r="Q955" s="1299"/>
      <c r="R955" s="1299"/>
      <c r="S955" s="1299"/>
      <c r="T955" s="1299"/>
      <c r="U955" s="1299"/>
      <c r="V955" s="1299"/>
      <c r="W955" s="1299"/>
      <c r="X955" s="1302"/>
      <c r="Y955" s="1295"/>
      <c r="Z955" s="1292"/>
      <c r="AA955" s="1292"/>
      <c r="AB955" s="1293"/>
      <c r="AC955" s="1533"/>
      <c r="AD955" s="1534"/>
      <c r="AE955" s="1534"/>
      <c r="AF955" s="1535"/>
      <c r="AI955" s="3056" t="str">
        <f>"55:field190:" &amp; IF(I955="■",1,IF(M955="■",2,0))</f>
        <v>55:field190:0</v>
      </c>
    </row>
    <row r="956" spans="1:35" s="3056" customFormat="1" ht="18.75" hidden="1" customHeight="1">
      <c r="A956" s="735"/>
      <c r="B956" s="1407"/>
      <c r="C956" s="1287"/>
      <c r="D956" s="1288"/>
      <c r="E956" s="1275"/>
      <c r="F956" s="1289"/>
      <c r="G956" s="1275"/>
      <c r="H956" s="1409" t="s">
        <v>2293</v>
      </c>
      <c r="I956" s="3066" t="s">
        <v>121</v>
      </c>
      <c r="J956" s="1298" t="s">
        <v>2292</v>
      </c>
      <c r="K956" s="1299"/>
      <c r="L956" s="1300"/>
      <c r="M956" s="3065" t="s">
        <v>121</v>
      </c>
      <c r="N956" s="1298" t="s">
        <v>2291</v>
      </c>
      <c r="O956" s="1307"/>
      <c r="P956" s="1299"/>
      <c r="Q956" s="1299"/>
      <c r="R956" s="1299"/>
      <c r="S956" s="1299"/>
      <c r="T956" s="1299"/>
      <c r="U956" s="1299"/>
      <c r="V956" s="1299"/>
      <c r="W956" s="1299"/>
      <c r="X956" s="1302"/>
      <c r="Y956" s="1295"/>
      <c r="Z956" s="1292"/>
      <c r="AA956" s="1292"/>
      <c r="AB956" s="1293"/>
      <c r="AC956" s="1533"/>
      <c r="AD956" s="1534"/>
      <c r="AE956" s="1534"/>
      <c r="AF956" s="1535"/>
      <c r="AI956" s="3056" t="str">
        <f>"55:field191:" &amp; IF(I956="■",1,IF(M956="■",2,0))</f>
        <v>55:field191:0</v>
      </c>
    </row>
    <row r="957" spans="1:35" s="3056" customFormat="1" ht="18.75" hidden="1" customHeight="1">
      <c r="A957" s="735"/>
      <c r="B957" s="1407"/>
      <c r="C957" s="1287"/>
      <c r="D957" s="1288"/>
      <c r="E957" s="1275"/>
      <c r="F957" s="1289"/>
      <c r="G957" s="1275"/>
      <c r="H957" s="1409" t="s">
        <v>2290</v>
      </c>
      <c r="I957" s="3063" t="s">
        <v>121</v>
      </c>
      <c r="J957" s="1296" t="s">
        <v>1230</v>
      </c>
      <c r="K957" s="1309"/>
      <c r="L957" s="3062" t="s">
        <v>121</v>
      </c>
      <c r="M957" s="1296" t="s">
        <v>1248</v>
      </c>
      <c r="N957" s="1326"/>
      <c r="O957" s="1299"/>
      <c r="P957" s="1299"/>
      <c r="Q957" s="1299"/>
      <c r="R957" s="1299"/>
      <c r="S957" s="1299"/>
      <c r="T957" s="1299"/>
      <c r="U957" s="1299"/>
      <c r="V957" s="1299"/>
      <c r="W957" s="1299"/>
      <c r="X957" s="1302"/>
      <c r="Y957" s="1295"/>
      <c r="Z957" s="1292"/>
      <c r="AA957" s="1292"/>
      <c r="AB957" s="1293"/>
      <c r="AC957" s="1533"/>
      <c r="AD957" s="1534"/>
      <c r="AE957" s="1534"/>
      <c r="AF957" s="1535"/>
      <c r="AI957" s="3056" t="str">
        <f>"55:jyakuninti_uke_code:" &amp; IF(I957="■",1,IF(L957="■",2,0))</f>
        <v>55:jyakuninti_uke_code:0</v>
      </c>
    </row>
    <row r="958" spans="1:35" s="3056" customFormat="1" ht="18.75" hidden="1" customHeight="1">
      <c r="A958" s="735"/>
      <c r="B958" s="1407"/>
      <c r="C958" s="1287"/>
      <c r="D958" s="1288"/>
      <c r="E958" s="1275"/>
      <c r="F958" s="1289"/>
      <c r="G958" s="1275"/>
      <c r="H958" s="1409" t="s">
        <v>755</v>
      </c>
      <c r="I958" s="3063" t="s">
        <v>121</v>
      </c>
      <c r="J958" s="1296" t="s">
        <v>1230</v>
      </c>
      <c r="K958" s="1309"/>
      <c r="L958" s="3062" t="s">
        <v>121</v>
      </c>
      <c r="M958" s="1296" t="s">
        <v>1248</v>
      </c>
      <c r="N958" s="1326"/>
      <c r="O958" s="1299"/>
      <c r="P958" s="1299"/>
      <c r="Q958" s="1299"/>
      <c r="R958" s="1299"/>
      <c r="S958" s="1299"/>
      <c r="T958" s="1299"/>
      <c r="U958" s="1299"/>
      <c r="V958" s="1299"/>
      <c r="W958" s="1299"/>
      <c r="X958" s="1302"/>
      <c r="Y958" s="1295"/>
      <c r="Z958" s="1292"/>
      <c r="AA958" s="1292"/>
      <c r="AB958" s="1293"/>
      <c r="AC958" s="1533"/>
      <c r="AD958" s="1534"/>
      <c r="AE958" s="1534"/>
      <c r="AF958" s="1535"/>
      <c r="AI958" s="3056" t="str">
        <f>"55:field207:" &amp; IF(I958="■",1,IF(L958="■",2,0))</f>
        <v>55:field207:0</v>
      </c>
    </row>
    <row r="959" spans="1:35" s="3056" customFormat="1" ht="18.75" hidden="1" customHeight="1">
      <c r="A959" s="735"/>
      <c r="B959" s="1407"/>
      <c r="C959" s="1287"/>
      <c r="D959" s="1288"/>
      <c r="E959" s="1275"/>
      <c r="F959" s="1289"/>
      <c r="G959" s="1275"/>
      <c r="H959" s="1409" t="s">
        <v>145</v>
      </c>
      <c r="I959" s="3063" t="s">
        <v>121</v>
      </c>
      <c r="J959" s="1296" t="s">
        <v>1230</v>
      </c>
      <c r="K959" s="1309"/>
      <c r="L959" s="3062" t="s">
        <v>121</v>
      </c>
      <c r="M959" s="1296" t="s">
        <v>1248</v>
      </c>
      <c r="N959" s="1326"/>
      <c r="O959" s="1299"/>
      <c r="P959" s="1299"/>
      <c r="Q959" s="1299"/>
      <c r="R959" s="1299"/>
      <c r="S959" s="1299"/>
      <c r="T959" s="1299"/>
      <c r="U959" s="1299"/>
      <c r="V959" s="1299"/>
      <c r="W959" s="1299"/>
      <c r="X959" s="1302"/>
      <c r="Y959" s="1295"/>
      <c r="Z959" s="1292"/>
      <c r="AA959" s="1292"/>
      <c r="AB959" s="1293"/>
      <c r="AC959" s="1533"/>
      <c r="AD959" s="1534"/>
      <c r="AE959" s="1534"/>
      <c r="AF959" s="1535"/>
      <c r="AI959" s="3056" t="str">
        <f>"55:ryouyoushoku_code:" &amp; IF(I959="■",1,IF(L959="■",2,0))</f>
        <v>55:ryouyoushoku_code:0</v>
      </c>
    </row>
    <row r="960" spans="1:35" s="3056" customFormat="1" ht="18.75" hidden="1" customHeight="1">
      <c r="A960" s="3069" t="s">
        <v>121</v>
      </c>
      <c r="B960" s="1407">
        <v>55</v>
      </c>
      <c r="C960" s="1287" t="s">
        <v>2298</v>
      </c>
      <c r="D960" s="3069" t="s">
        <v>121</v>
      </c>
      <c r="E960" s="1275" t="s">
        <v>2324</v>
      </c>
      <c r="F960" s="3069" t="s">
        <v>121</v>
      </c>
      <c r="G960" s="1275" t="s">
        <v>2323</v>
      </c>
      <c r="H960" s="1541" t="s">
        <v>2321</v>
      </c>
      <c r="I960" s="3137" t="s">
        <v>121</v>
      </c>
      <c r="J960" s="1290" t="s">
        <v>1273</v>
      </c>
      <c r="K960" s="1290"/>
      <c r="L960" s="1314"/>
      <c r="M960" s="1314"/>
      <c r="N960" s="1314"/>
      <c r="O960" s="1314"/>
      <c r="P960" s="3136" t="s">
        <v>121</v>
      </c>
      <c r="Q960" s="1290" t="s">
        <v>1274</v>
      </c>
      <c r="R960" s="1314"/>
      <c r="S960" s="1314"/>
      <c r="T960" s="1314"/>
      <c r="U960" s="1314"/>
      <c r="V960" s="1314"/>
      <c r="W960" s="1314"/>
      <c r="X960" s="1315"/>
      <c r="Y960" s="1295"/>
      <c r="Z960" s="1292"/>
      <c r="AA960" s="1292"/>
      <c r="AB960" s="1293"/>
      <c r="AC960" s="1533"/>
      <c r="AD960" s="1534"/>
      <c r="AE960" s="1534"/>
      <c r="AF960" s="1535"/>
      <c r="AI960" s="3056" t="str">
        <f>"55:" &amp; IF(AND(I960="□",P960="□",I961="□"),"tokusin_jyusho_code:0:tokusin_yakuzai_code:0:shuudan_comu_code:0",IF(I960="■","tokusin_jyusho_code:2","tokusin_jyusho_code:1")
&amp;IF(P960="■",":tokusin_yakuzai_code:2",":tokusin_yakuzai_code:1")
&amp;IF(I961="■",":shuudan_comu_code:2",":shuudan_comu_code:1"))</f>
        <v>55:tokusin_jyusho_code:0:tokusin_yakuzai_code:0:shuudan_comu_code:0</v>
      </c>
    </row>
    <row r="961" spans="1:35" s="3056" customFormat="1" ht="18.75" hidden="1" customHeight="1">
      <c r="A961" s="735"/>
      <c r="B961" s="1407"/>
      <c r="C961" s="1287"/>
      <c r="D961" s="1288"/>
      <c r="E961" s="1275"/>
      <c r="F961" s="3069" t="s">
        <v>121</v>
      </c>
      <c r="G961" s="1275" t="s">
        <v>2322</v>
      </c>
      <c r="H961" s="1542"/>
      <c r="I961" s="3063" t="s">
        <v>121</v>
      </c>
      <c r="J961" s="1296" t="s">
        <v>2318</v>
      </c>
      <c r="K961" s="1330"/>
      <c r="L961" s="1330"/>
      <c r="M961" s="1330"/>
      <c r="N961" s="1330"/>
      <c r="O961" s="1330"/>
      <c r="P961" s="1330"/>
      <c r="Q961" s="1403"/>
      <c r="R961" s="1330"/>
      <c r="S961" s="1330"/>
      <c r="T961" s="1330"/>
      <c r="U961" s="1330"/>
      <c r="V961" s="1330"/>
      <c r="W961" s="1330"/>
      <c r="X961" s="1356"/>
      <c r="Y961" s="1295"/>
      <c r="Z961" s="1292"/>
      <c r="AA961" s="1292"/>
      <c r="AB961" s="1293"/>
      <c r="AC961" s="1533"/>
      <c r="AD961" s="1534"/>
      <c r="AE961" s="1534"/>
      <c r="AF961" s="1535"/>
    </row>
    <row r="962" spans="1:35" s="3056" customFormat="1" ht="18.75" hidden="1" customHeight="1">
      <c r="A962" s="735"/>
      <c r="B962" s="1407"/>
      <c r="C962" s="1287"/>
      <c r="D962" s="1288"/>
      <c r="E962" s="1275"/>
      <c r="F962" s="1289"/>
      <c r="G962" s="1275"/>
      <c r="H962" s="1541" t="s">
        <v>1280</v>
      </c>
      <c r="I962" s="3137" t="s">
        <v>121</v>
      </c>
      <c r="J962" s="1290" t="s">
        <v>2317</v>
      </c>
      <c r="K962" s="1328"/>
      <c r="L962" s="1329"/>
      <c r="M962" s="3136" t="s">
        <v>121</v>
      </c>
      <c r="N962" s="1290" t="s">
        <v>2316</v>
      </c>
      <c r="O962" s="1314"/>
      <c r="P962" s="1314"/>
      <c r="Q962" s="3136" t="s">
        <v>121</v>
      </c>
      <c r="R962" s="1290" t="s">
        <v>2315</v>
      </c>
      <c r="S962" s="1314"/>
      <c r="T962" s="1314"/>
      <c r="U962" s="1314"/>
      <c r="V962" s="1314"/>
      <c r="W962" s="1314"/>
      <c r="X962" s="1315"/>
      <c r="Y962" s="1295"/>
      <c r="Z962" s="1292"/>
      <c r="AA962" s="1292"/>
      <c r="AB962" s="1293"/>
      <c r="AC962" s="1533"/>
      <c r="AD962" s="1534"/>
      <c r="AE962" s="1534"/>
      <c r="AF962" s="1535"/>
      <c r="AI962" s="3056" t="str">
        <f>"55:"&amp;IF(AND(I962="□",M962="□",Q962="□",I963="□",Q963="□"),"koriha_rryoho1_code:0:koriha_sryoho_code:0:koriha_gengo_code:0:riha_seisin_code:0:koriha_other_code:0",IF(I962="■","koriha_rryoho1_code:2","koriha_rryoho1_code:1")
&amp;IF(M962="■",":koriha_sryoho_code:2",":koriha_sryoho_code:1")
&amp;IF(Q962="■",":koriha_gengo_code:2",":koriha_gengo_code:1")
&amp;IF(I963="■",":riha_seisin_code:2",":riha_seisin_code:1")
&amp;IF(Q963="■",":koriha_other_code:2",":koriha_other_code:1"))</f>
        <v>55:koriha_rryoho1_code:0:koriha_sryoho_code:0:koriha_gengo_code:0:riha_seisin_code:0:koriha_other_code:0</v>
      </c>
    </row>
    <row r="963" spans="1:35" s="3056" customFormat="1" ht="18.75" hidden="1" customHeight="1">
      <c r="A963" s="735"/>
      <c r="B963" s="1407"/>
      <c r="C963" s="1287"/>
      <c r="D963" s="1288"/>
      <c r="E963" s="1275"/>
      <c r="F963" s="1289"/>
      <c r="G963" s="1275"/>
      <c r="H963" s="1542"/>
      <c r="I963" s="3063" t="s">
        <v>121</v>
      </c>
      <c r="J963" s="1296" t="s">
        <v>2314</v>
      </c>
      <c r="K963" s="1330"/>
      <c r="L963" s="1330"/>
      <c r="M963" s="1330"/>
      <c r="N963" s="1330"/>
      <c r="O963" s="1330"/>
      <c r="P963" s="1330"/>
      <c r="Q963" s="3062" t="s">
        <v>121</v>
      </c>
      <c r="R963" s="1296" t="s">
        <v>2313</v>
      </c>
      <c r="S963" s="1403"/>
      <c r="T963" s="1330"/>
      <c r="U963" s="1330"/>
      <c r="V963" s="1330"/>
      <c r="W963" s="1330"/>
      <c r="X963" s="1356"/>
      <c r="Y963" s="1295"/>
      <c r="Z963" s="1292"/>
      <c r="AA963" s="1292"/>
      <c r="AB963" s="1293"/>
      <c r="AC963" s="1533"/>
      <c r="AD963" s="1534"/>
      <c r="AE963" s="1534"/>
      <c r="AF963" s="1535"/>
    </row>
    <row r="964" spans="1:35" s="3056" customFormat="1" ht="18.75" hidden="1" customHeight="1">
      <c r="A964" s="735"/>
      <c r="B964" s="1407"/>
      <c r="C964" s="1287"/>
      <c r="D964" s="1288"/>
      <c r="E964" s="1275"/>
      <c r="F964" s="1289"/>
      <c r="G964" s="1275"/>
      <c r="H964" s="1539" t="s">
        <v>2312</v>
      </c>
      <c r="I964" s="3115" t="s">
        <v>121</v>
      </c>
      <c r="J964" s="1528" t="s">
        <v>1230</v>
      </c>
      <c r="K964" s="1528"/>
      <c r="L964" s="3135" t="s">
        <v>121</v>
      </c>
      <c r="M964" s="1528" t="s">
        <v>2311</v>
      </c>
      <c r="N964" s="1528"/>
      <c r="O964" s="1528"/>
      <c r="P964" s="3135" t="s">
        <v>121</v>
      </c>
      <c r="Q964" s="1528" t="s">
        <v>2310</v>
      </c>
      <c r="R964" s="1528"/>
      <c r="S964" s="1528"/>
      <c r="T964" s="3135" t="s">
        <v>121</v>
      </c>
      <c r="U964" s="1528" t="s">
        <v>2309</v>
      </c>
      <c r="V964" s="1528"/>
      <c r="W964" s="1528"/>
      <c r="X964" s="3141"/>
      <c r="Y964" s="1295"/>
      <c r="Z964" s="1292"/>
      <c r="AA964" s="1292"/>
      <c r="AB964" s="1293"/>
      <c r="AC964" s="1533"/>
      <c r="AD964" s="1534"/>
      <c r="AE964" s="1534"/>
      <c r="AF964" s="1535"/>
      <c r="AI964" s="3056" t="str">
        <f>"55:"&amp;IF(AND(I964="□",L964="□",P964="□",T964="□"),"field236:0:field237:0:field238:0",IF(I964="■","field236:1:field237:1:field238:1",IF(L964="■","field236:2","field236:1")
&amp;IF(P964="■",":field237:2",":field237:1")
&amp;IF(T964="■",":field238:2",":field238:1")))</f>
        <v>55:field236:0:field237:0:field238:0</v>
      </c>
    </row>
    <row r="965" spans="1:35" s="3056" customFormat="1" ht="18.75" hidden="1" customHeight="1">
      <c r="A965" s="735"/>
      <c r="B965" s="1407"/>
      <c r="C965" s="1287"/>
      <c r="D965" s="1288"/>
      <c r="E965" s="1275"/>
      <c r="F965" s="1289"/>
      <c r="G965" s="1275"/>
      <c r="H965" s="1540"/>
      <c r="I965" s="3081"/>
      <c r="J965" s="1529"/>
      <c r="K965" s="1529"/>
      <c r="L965" s="3080"/>
      <c r="M965" s="1529"/>
      <c r="N965" s="1529"/>
      <c r="O965" s="1529"/>
      <c r="P965" s="3080"/>
      <c r="Q965" s="1529"/>
      <c r="R965" s="1529"/>
      <c r="S965" s="1529"/>
      <c r="T965" s="3080"/>
      <c r="U965" s="1529"/>
      <c r="V965" s="1529"/>
      <c r="W965" s="1529"/>
      <c r="X965" s="3140"/>
      <c r="Y965" s="1295"/>
      <c r="Z965" s="1292"/>
      <c r="AA965" s="1292"/>
      <c r="AB965" s="1293"/>
      <c r="AC965" s="1533"/>
      <c r="AD965" s="1534"/>
      <c r="AE965" s="1534"/>
      <c r="AF965" s="1535"/>
    </row>
    <row r="966" spans="1:35" s="3056" customFormat="1" ht="18.75" hidden="1" customHeight="1">
      <c r="A966" s="735"/>
      <c r="B966" s="1407"/>
      <c r="C966" s="1287"/>
      <c r="D966" s="1288"/>
      <c r="E966" s="1275"/>
      <c r="F966" s="1289"/>
      <c r="G966" s="1275"/>
      <c r="H966" s="1410" t="s">
        <v>2308</v>
      </c>
      <c r="I966" s="3063" t="s">
        <v>121</v>
      </c>
      <c r="J966" s="1296" t="s">
        <v>1230</v>
      </c>
      <c r="K966" s="1309"/>
      <c r="L966" s="3062" t="s">
        <v>121</v>
      </c>
      <c r="M966" s="1296" t="s">
        <v>1248</v>
      </c>
      <c r="N966" s="1299"/>
      <c r="O966" s="1299"/>
      <c r="P966" s="1299"/>
      <c r="Q966" s="1299"/>
      <c r="R966" s="1299"/>
      <c r="S966" s="1299"/>
      <c r="T966" s="1299"/>
      <c r="U966" s="1299"/>
      <c r="V966" s="1299"/>
      <c r="W966" s="1299"/>
      <c r="X966" s="1302"/>
      <c r="Y966" s="1295"/>
      <c r="Z966" s="1292"/>
      <c r="AA966" s="1292"/>
      <c r="AB966" s="1293"/>
      <c r="AC966" s="1533"/>
      <c r="AD966" s="1534"/>
      <c r="AE966" s="1534"/>
      <c r="AF966" s="1535"/>
      <c r="AI966" s="3056" t="str">
        <f>"55:ninti_riha_code:" &amp; IF(I966="■",1,IF(L966="■",2,0))</f>
        <v>55:ninti_riha_code:0</v>
      </c>
    </row>
    <row r="967" spans="1:35" s="3056" customFormat="1" ht="18.75" hidden="1" customHeight="1">
      <c r="A967" s="735"/>
      <c r="B967" s="1407"/>
      <c r="C967" s="1287"/>
      <c r="D967" s="1288"/>
      <c r="E967" s="1275"/>
      <c r="F967" s="1289"/>
      <c r="G967" s="1275"/>
      <c r="H967" s="1409" t="s">
        <v>1260</v>
      </c>
      <c r="I967" s="3066" t="s">
        <v>121</v>
      </c>
      <c r="J967" s="1298" t="s">
        <v>1230</v>
      </c>
      <c r="K967" s="1298"/>
      <c r="L967" s="3065" t="s">
        <v>121</v>
      </c>
      <c r="M967" s="1298" t="s">
        <v>1256</v>
      </c>
      <c r="N967" s="1298"/>
      <c r="O967" s="3065" t="s">
        <v>121</v>
      </c>
      <c r="P967" s="1298" t="s">
        <v>1257</v>
      </c>
      <c r="Q967" s="1307"/>
      <c r="R967" s="1299"/>
      <c r="S967" s="1299"/>
      <c r="T967" s="1299"/>
      <c r="U967" s="1299"/>
      <c r="V967" s="1299"/>
      <c r="W967" s="1299"/>
      <c r="X967" s="1302"/>
      <c r="Y967" s="1295"/>
      <c r="Z967" s="1292"/>
      <c r="AA967" s="1292"/>
      <c r="AB967" s="1293"/>
      <c r="AC967" s="1533"/>
      <c r="AD967" s="1534"/>
      <c r="AE967" s="1534"/>
      <c r="AF967" s="1535"/>
      <c r="AI967" s="3056" t="str">
        <f>"55:ninti_senmoncare_code:" &amp; IF(I967="■",1,IF(O967="■",3,IF(L967="■",2,0)))</f>
        <v>55:ninti_senmoncare_code:0</v>
      </c>
    </row>
    <row r="968" spans="1:35" s="3056" customFormat="1" ht="18.75" hidden="1" customHeight="1">
      <c r="A968" s="735"/>
      <c r="B968" s="1407"/>
      <c r="C968" s="1287"/>
      <c r="D968" s="1288"/>
      <c r="E968" s="1275"/>
      <c r="F968" s="1289"/>
      <c r="G968" s="1275"/>
      <c r="H968" s="1409" t="s">
        <v>1261</v>
      </c>
      <c r="I968" s="3066" t="s">
        <v>121</v>
      </c>
      <c r="J968" s="1298" t="s">
        <v>1230</v>
      </c>
      <c r="K968" s="1298"/>
      <c r="L968" s="3065" t="s">
        <v>121</v>
      </c>
      <c r="M968" s="1298" t="s">
        <v>1256</v>
      </c>
      <c r="N968" s="1298"/>
      <c r="O968" s="3065" t="s">
        <v>121</v>
      </c>
      <c r="P968" s="1298" t="s">
        <v>1257</v>
      </c>
      <c r="Q968" s="1299"/>
      <c r="R968" s="1299"/>
      <c r="S968" s="1299"/>
      <c r="T968" s="1299"/>
      <c r="U968" s="1299"/>
      <c r="V968" s="1299"/>
      <c r="W968" s="1299"/>
      <c r="X968" s="1302"/>
      <c r="Y968" s="1295"/>
      <c r="Z968" s="1292"/>
      <c r="AA968" s="1292"/>
      <c r="AB968" s="1293"/>
      <c r="AC968" s="1533"/>
      <c r="AD968" s="1534"/>
      <c r="AE968" s="1534"/>
      <c r="AF968" s="1535"/>
      <c r="AI968" s="3056" t="str">
        <f>"55:field228:" &amp; IF(I968="■",1,IF(L968="■",2,IF(O968="■",3,0)))</f>
        <v>55:field228:0</v>
      </c>
    </row>
    <row r="969" spans="1:35" s="3056" customFormat="1" ht="18.75" hidden="1" customHeight="1">
      <c r="A969" s="735"/>
      <c r="B969" s="1407"/>
      <c r="C969" s="1287"/>
      <c r="D969" s="1288"/>
      <c r="E969" s="1275"/>
      <c r="F969" s="1289"/>
      <c r="G969" s="1275"/>
      <c r="H969" s="1409" t="s">
        <v>2307</v>
      </c>
      <c r="I969" s="3066" t="s">
        <v>121</v>
      </c>
      <c r="J969" s="1298" t="s">
        <v>1230</v>
      </c>
      <c r="K969" s="1298"/>
      <c r="L969" s="3065" t="s">
        <v>121</v>
      </c>
      <c r="M969" s="1298" t="s">
        <v>1256</v>
      </c>
      <c r="N969" s="1298"/>
      <c r="O969" s="3065" t="s">
        <v>121</v>
      </c>
      <c r="P969" s="1298" t="s">
        <v>1257</v>
      </c>
      <c r="Q969" s="1307"/>
      <c r="R969" s="1298"/>
      <c r="S969" s="1298"/>
      <c r="T969" s="1298"/>
      <c r="U969" s="1298"/>
      <c r="V969" s="1298"/>
      <c r="W969" s="1298"/>
      <c r="X969" s="1310"/>
      <c r="Y969" s="1295"/>
      <c r="Z969" s="1292"/>
      <c r="AA969" s="1292"/>
      <c r="AB969" s="1293"/>
      <c r="AC969" s="1533"/>
      <c r="AD969" s="1534"/>
      <c r="AE969" s="1534"/>
      <c r="AF969" s="1535"/>
      <c r="AI969" s="3056" t="str">
        <f>"55:field164:" &amp; IF(I969="■",1,IF(L969="■",2,IF(O969="■",3,0)))</f>
        <v>55:field164:0</v>
      </c>
    </row>
    <row r="970" spans="1:35" s="3056" customFormat="1" ht="18.75" hidden="1" customHeight="1">
      <c r="A970" s="735"/>
      <c r="B970" s="1407"/>
      <c r="C970" s="1287"/>
      <c r="D970" s="1288"/>
      <c r="E970" s="1275"/>
      <c r="F970" s="1289"/>
      <c r="G970" s="1275"/>
      <c r="H970" s="1312" t="s">
        <v>757</v>
      </c>
      <c r="I970" s="3063" t="s">
        <v>121</v>
      </c>
      <c r="J970" s="1296" t="s">
        <v>1230</v>
      </c>
      <c r="K970" s="1309"/>
      <c r="L970" s="3062" t="s">
        <v>121</v>
      </c>
      <c r="M970" s="1296" t="s">
        <v>1248</v>
      </c>
      <c r="N970" s="1299"/>
      <c r="O970" s="1299"/>
      <c r="P970" s="1299"/>
      <c r="Q970" s="1299"/>
      <c r="R970" s="1299"/>
      <c r="S970" s="1299"/>
      <c r="T970" s="1299"/>
      <c r="U970" s="1299"/>
      <c r="V970" s="1299"/>
      <c r="W970" s="1299"/>
      <c r="X970" s="1302"/>
      <c r="Y970" s="1295"/>
      <c r="Z970" s="1292"/>
      <c r="AA970" s="1292"/>
      <c r="AB970" s="1293"/>
      <c r="AC970" s="1533"/>
      <c r="AD970" s="1534"/>
      <c r="AE970" s="1534"/>
      <c r="AF970" s="1535"/>
      <c r="AI970" s="3056" t="str">
        <f>"55:field210:" &amp; IF(I970="■",1,IF(L970="■",2,0))</f>
        <v>55:field210:0</v>
      </c>
    </row>
    <row r="971" spans="1:35" s="3056" customFormat="1" ht="18.75" hidden="1" customHeight="1">
      <c r="A971" s="735"/>
      <c r="B971" s="1407"/>
      <c r="C971" s="1287"/>
      <c r="D971" s="1288"/>
      <c r="E971" s="1275"/>
      <c r="F971" s="1289"/>
      <c r="G971" s="1275"/>
      <c r="H971" s="1409" t="s">
        <v>758</v>
      </c>
      <c r="I971" s="3063" t="s">
        <v>121</v>
      </c>
      <c r="J971" s="1296" t="s">
        <v>1230</v>
      </c>
      <c r="K971" s="1309"/>
      <c r="L971" s="3062" t="s">
        <v>121</v>
      </c>
      <c r="M971" s="1296" t="s">
        <v>1248</v>
      </c>
      <c r="N971" s="1299"/>
      <c r="O971" s="1299"/>
      <c r="P971" s="1299"/>
      <c r="Q971" s="1299"/>
      <c r="R971" s="1299"/>
      <c r="S971" s="1299"/>
      <c r="T971" s="1299"/>
      <c r="U971" s="1299"/>
      <c r="V971" s="1299"/>
      <c r="W971" s="1299"/>
      <c r="X971" s="1302"/>
      <c r="Y971" s="1295"/>
      <c r="Z971" s="1292"/>
      <c r="AA971" s="1292"/>
      <c r="AB971" s="1293"/>
      <c r="AC971" s="1533"/>
      <c r="AD971" s="1534"/>
      <c r="AE971" s="1534"/>
      <c r="AF971" s="1535"/>
      <c r="AI971" s="3056" t="str">
        <f>"55:field211:" &amp; IF(I971="■",1,IF(L971="■",2,0))</f>
        <v>55:field211:0</v>
      </c>
    </row>
    <row r="972" spans="1:35" s="3056" customFormat="1" ht="18.75" hidden="1" customHeight="1">
      <c r="A972" s="735"/>
      <c r="B972" s="1407"/>
      <c r="C972" s="1287"/>
      <c r="D972" s="1288"/>
      <c r="E972" s="1275"/>
      <c r="F972" s="1289"/>
      <c r="G972" s="1275"/>
      <c r="H972" s="1409" t="s">
        <v>764</v>
      </c>
      <c r="I972" s="3063" t="s">
        <v>121</v>
      </c>
      <c r="J972" s="1296" t="s">
        <v>1230</v>
      </c>
      <c r="K972" s="1309"/>
      <c r="L972" s="3062" t="s">
        <v>121</v>
      </c>
      <c r="M972" s="1296" t="s">
        <v>1248</v>
      </c>
      <c r="N972" s="1299"/>
      <c r="O972" s="1299"/>
      <c r="P972" s="1299"/>
      <c r="Q972" s="1299"/>
      <c r="R972" s="1299"/>
      <c r="S972" s="1299"/>
      <c r="T972" s="1299"/>
      <c r="U972" s="1299"/>
      <c r="V972" s="1299"/>
      <c r="W972" s="1299"/>
      <c r="X972" s="1302"/>
      <c r="Y972" s="1295"/>
      <c r="Z972" s="1292"/>
      <c r="AA972" s="1292"/>
      <c r="AB972" s="1293"/>
      <c r="AC972" s="1533"/>
      <c r="AD972" s="1534"/>
      <c r="AE972" s="1534"/>
      <c r="AF972" s="1535"/>
      <c r="AI972" s="3056" t="str">
        <f>"55:field212:" &amp; IF(I972="■",1,IF(L972="■",2,0))</f>
        <v>55:field212:0</v>
      </c>
    </row>
    <row r="973" spans="1:35" s="3056" customFormat="1" ht="18.75" hidden="1" customHeight="1">
      <c r="A973" s="735"/>
      <c r="B973" s="1407"/>
      <c r="C973" s="1287"/>
      <c r="D973" s="1288"/>
      <c r="E973" s="1275"/>
      <c r="F973" s="1289"/>
      <c r="G973" s="1275"/>
      <c r="H973" s="1409" t="s">
        <v>760</v>
      </c>
      <c r="I973" s="3063" t="s">
        <v>121</v>
      </c>
      <c r="J973" s="1296" t="s">
        <v>1230</v>
      </c>
      <c r="K973" s="1309"/>
      <c r="L973" s="3062" t="s">
        <v>121</v>
      </c>
      <c r="M973" s="1296" t="s">
        <v>1248</v>
      </c>
      <c r="N973" s="1299"/>
      <c r="O973" s="1299"/>
      <c r="P973" s="1299"/>
      <c r="Q973" s="1299"/>
      <c r="R973" s="1299"/>
      <c r="S973" s="1299"/>
      <c r="T973" s="1299"/>
      <c r="U973" s="1299"/>
      <c r="V973" s="1299"/>
      <c r="W973" s="1299"/>
      <c r="X973" s="1302"/>
      <c r="Y973" s="1295"/>
      <c r="Z973" s="1292"/>
      <c r="AA973" s="1292"/>
      <c r="AB973" s="1293"/>
      <c r="AC973" s="1533"/>
      <c r="AD973" s="1534"/>
      <c r="AE973" s="1534"/>
      <c r="AF973" s="1535"/>
      <c r="AI973" s="3056" t="str">
        <f>"55:field209:" &amp; IF(I973="■",1,IF(L973="■",2,0))</f>
        <v>55:field209:0</v>
      </c>
    </row>
    <row r="974" spans="1:35" s="3056" customFormat="1" ht="18.75" hidden="1" customHeight="1">
      <c r="A974" s="735"/>
      <c r="B974" s="1407"/>
      <c r="C974" s="1287"/>
      <c r="D974" s="1288"/>
      <c r="E974" s="1275"/>
      <c r="F974" s="1289"/>
      <c r="G974" s="1275"/>
      <c r="H974" s="1409" t="s">
        <v>1288</v>
      </c>
      <c r="I974" s="3066" t="s">
        <v>121</v>
      </c>
      <c r="J974" s="1298" t="s">
        <v>1230</v>
      </c>
      <c r="K974" s="1298"/>
      <c r="L974" s="3065" t="s">
        <v>121</v>
      </c>
      <c r="M974" s="1296" t="s">
        <v>1248</v>
      </c>
      <c r="N974" s="1298"/>
      <c r="O974" s="1298"/>
      <c r="P974" s="1298"/>
      <c r="Q974" s="1299"/>
      <c r="R974" s="1299"/>
      <c r="S974" s="1299"/>
      <c r="T974" s="1299"/>
      <c r="U974" s="1299"/>
      <c r="V974" s="1299"/>
      <c r="W974" s="1299"/>
      <c r="X974" s="1302"/>
      <c r="Y974" s="1295"/>
      <c r="Z974" s="1292"/>
      <c r="AA974" s="1292"/>
      <c r="AB974" s="1293"/>
      <c r="AC974" s="1533"/>
      <c r="AD974" s="1534"/>
      <c r="AE974" s="1534"/>
      <c r="AF974" s="1535"/>
      <c r="AI974" s="3056" t="str">
        <f>"55:field226:" &amp; IF(I974="■",1,IF(L974="■",2,0))</f>
        <v>55:field226:0</v>
      </c>
    </row>
    <row r="975" spans="1:35" s="3056" customFormat="1" ht="18.75" hidden="1" customHeight="1">
      <c r="A975" s="735"/>
      <c r="B975" s="1407"/>
      <c r="C975" s="1287"/>
      <c r="D975" s="1288"/>
      <c r="E975" s="1275"/>
      <c r="F975" s="1289"/>
      <c r="G975" s="1275"/>
      <c r="H975" s="1409" t="s">
        <v>1289</v>
      </c>
      <c r="I975" s="3066" t="s">
        <v>121</v>
      </c>
      <c r="J975" s="1298" t="s">
        <v>1230</v>
      </c>
      <c r="K975" s="1298"/>
      <c r="L975" s="3065" t="s">
        <v>121</v>
      </c>
      <c r="M975" s="1296" t="s">
        <v>1248</v>
      </c>
      <c r="N975" s="1298"/>
      <c r="O975" s="1298"/>
      <c r="P975" s="1298"/>
      <c r="Q975" s="1299"/>
      <c r="R975" s="1299"/>
      <c r="S975" s="1299"/>
      <c r="T975" s="1299"/>
      <c r="U975" s="1299"/>
      <c r="V975" s="1299"/>
      <c r="W975" s="1299"/>
      <c r="X975" s="1302"/>
      <c r="Y975" s="1295"/>
      <c r="Z975" s="1292"/>
      <c r="AA975" s="1292"/>
      <c r="AB975" s="1293"/>
      <c r="AC975" s="1533"/>
      <c r="AD975" s="1534"/>
      <c r="AE975" s="1534"/>
      <c r="AF975" s="1535"/>
      <c r="AI975" s="3056" t="str">
        <f>"55:field227:" &amp; IF(I975="■",1,IF(L975="■",2,0))</f>
        <v>55:field227:0</v>
      </c>
    </row>
    <row r="976" spans="1:35" s="3056" customFormat="1" ht="18.75" hidden="1" customHeight="1">
      <c r="A976" s="735"/>
      <c r="B976" s="1407"/>
      <c r="C976" s="1287"/>
      <c r="D976" s="1288"/>
      <c r="E976" s="1275"/>
      <c r="F976" s="1289"/>
      <c r="G976" s="1275"/>
      <c r="H976" s="1313" t="s">
        <v>1265</v>
      </c>
      <c r="I976" s="3066" t="s">
        <v>121</v>
      </c>
      <c r="J976" s="1298" t="s">
        <v>1230</v>
      </c>
      <c r="K976" s="1298"/>
      <c r="L976" s="3065" t="s">
        <v>121</v>
      </c>
      <c r="M976" s="1298" t="s">
        <v>1256</v>
      </c>
      <c r="N976" s="1298"/>
      <c r="O976" s="3065" t="s">
        <v>121</v>
      </c>
      <c r="P976" s="1298" t="s">
        <v>1257</v>
      </c>
      <c r="Q976" s="1307"/>
      <c r="R976" s="1307"/>
      <c r="S976" s="1307"/>
      <c r="T976" s="1307"/>
      <c r="U976" s="1314"/>
      <c r="V976" s="1314"/>
      <c r="W976" s="1314"/>
      <c r="X976" s="1315"/>
      <c r="Y976" s="1295"/>
      <c r="Z976" s="1292"/>
      <c r="AA976" s="1292"/>
      <c r="AB976" s="1293"/>
      <c r="AC976" s="1533"/>
      <c r="AD976" s="1534"/>
      <c r="AE976" s="1534"/>
      <c r="AF976" s="1535"/>
      <c r="AI976" s="3056" t="str">
        <f>"55:field225:" &amp; IF(I976="■",1,IF(L976="■",2,IF(O976="■",3,0)))</f>
        <v>55:field225:0</v>
      </c>
    </row>
    <row r="977" spans="1:36" s="3056" customFormat="1" ht="18.75" hidden="1" customHeight="1">
      <c r="A977" s="735"/>
      <c r="B977" s="1407"/>
      <c r="C977" s="1287"/>
      <c r="D977" s="1288"/>
      <c r="E977" s="1275"/>
      <c r="F977" s="1289"/>
      <c r="G977" s="1275"/>
      <c r="H977" s="1409" t="s">
        <v>1266</v>
      </c>
      <c r="I977" s="3066" t="s">
        <v>121</v>
      </c>
      <c r="J977" s="1298" t="s">
        <v>1230</v>
      </c>
      <c r="K977" s="1298"/>
      <c r="L977" s="3065" t="s">
        <v>121</v>
      </c>
      <c r="M977" s="1298" t="s">
        <v>1267</v>
      </c>
      <c r="N977" s="1298"/>
      <c r="O977" s="3065" t="s">
        <v>121</v>
      </c>
      <c r="P977" s="1298" t="s">
        <v>1268</v>
      </c>
      <c r="Q977" s="1326"/>
      <c r="R977" s="3065" t="s">
        <v>121</v>
      </c>
      <c r="S977" s="1298" t="s">
        <v>1269</v>
      </c>
      <c r="T977" s="1298"/>
      <c r="U977" s="1298"/>
      <c r="V977" s="1298"/>
      <c r="W977" s="1298"/>
      <c r="X977" s="1310"/>
      <c r="Y977" s="1295"/>
      <c r="Z977" s="1292"/>
      <c r="AA977" s="1292"/>
      <c r="AB977" s="1293"/>
      <c r="AC977" s="1533"/>
      <c r="AD977" s="1534"/>
      <c r="AE977" s="1534"/>
      <c r="AF977" s="1535"/>
      <c r="AI977" s="3056" t="str">
        <f>"55:serteikyo_kyoka_code:" &amp; IF(I977="■",1,IF(L977="■",6,IF(O977="■",5,IF(R977="■",7,0))))</f>
        <v>55:serteikyo_kyoka_code:0</v>
      </c>
    </row>
    <row r="978" spans="1:36" s="3056" customFormat="1" ht="18.75" hidden="1" customHeight="1">
      <c r="A978" s="736"/>
      <c r="B978" s="1316"/>
      <c r="C978" s="1346"/>
      <c r="D978" s="1348"/>
      <c r="E978" s="1317"/>
      <c r="F978" s="1318"/>
      <c r="G978" s="1361"/>
      <c r="H978" s="3134" t="s">
        <v>2288</v>
      </c>
      <c r="I978" s="3060" t="s">
        <v>121</v>
      </c>
      <c r="J978" s="3130" t="s">
        <v>1230</v>
      </c>
      <c r="K978" s="3130"/>
      <c r="L978" s="3059" t="s">
        <v>121</v>
      </c>
      <c r="M978" s="3130" t="s">
        <v>2287</v>
      </c>
      <c r="N978" s="3133"/>
      <c r="O978" s="3059" t="s">
        <v>121</v>
      </c>
      <c r="P978" s="3132" t="s">
        <v>2286</v>
      </c>
      <c r="Q978" s="3131"/>
      <c r="R978" s="3059" t="s">
        <v>121</v>
      </c>
      <c r="S978" s="3130" t="s">
        <v>2285</v>
      </c>
      <c r="T978" s="3131"/>
      <c r="U978" s="3059" t="s">
        <v>121</v>
      </c>
      <c r="V978" s="3130" t="s">
        <v>2284</v>
      </c>
      <c r="W978" s="3129"/>
      <c r="X978" s="3128"/>
      <c r="Y978" s="1323"/>
      <c r="Z978" s="1323"/>
      <c r="AA978" s="1323"/>
      <c r="AB978" s="1324"/>
      <c r="AC978" s="1536"/>
      <c r="AD978" s="1537"/>
      <c r="AE978" s="1537"/>
      <c r="AF978" s="1538"/>
      <c r="AI978" s="3056" t="str">
        <f>"55:shoguukaizen_code:"&amp;IF(I978="■",1,IF(L978="■",7,IF(O978="■",8,IF(R978="■",9,IF(U978="■","A",0)))))</f>
        <v>55:shoguukaizen_code:0</v>
      </c>
    </row>
    <row r="979" spans="1:36" s="3056" customFormat="1" ht="18.75" hidden="1" customHeight="1">
      <c r="A979" s="1276"/>
      <c r="B979" s="1405"/>
      <c r="C979" s="1277"/>
      <c r="D979" s="1278"/>
      <c r="E979" s="1272"/>
      <c r="F979" s="1279"/>
      <c r="G979" s="1272"/>
      <c r="H979" s="1545" t="s">
        <v>1226</v>
      </c>
      <c r="I979" s="3119" t="s">
        <v>121</v>
      </c>
      <c r="J979" s="1270" t="s">
        <v>1227</v>
      </c>
      <c r="K979" s="3139"/>
      <c r="L979" s="1334"/>
      <c r="M979" s="3138" t="s">
        <v>121</v>
      </c>
      <c r="N979" s="1270" t="s">
        <v>2306</v>
      </c>
      <c r="O979" s="1334"/>
      <c r="P979" s="1334"/>
      <c r="Q979" s="3138" t="s">
        <v>121</v>
      </c>
      <c r="R979" s="1270" t="s">
        <v>2305</v>
      </c>
      <c r="S979" s="1334"/>
      <c r="T979" s="1334"/>
      <c r="U979" s="3138" t="s">
        <v>121</v>
      </c>
      <c r="V979" s="1270" t="s">
        <v>2304</v>
      </c>
      <c r="W979" s="1334"/>
      <c r="X979" s="1336"/>
      <c r="Y979" s="3119" t="s">
        <v>121</v>
      </c>
      <c r="Z979" s="1270" t="s">
        <v>1229</v>
      </c>
      <c r="AA979" s="1270"/>
      <c r="AB979" s="1286"/>
      <c r="AC979" s="1530"/>
      <c r="AD979" s="1531"/>
      <c r="AE979" s="1531"/>
      <c r="AF979" s="1532"/>
      <c r="AG979" s="3056" t="str">
        <f>"ser_code = '" &amp; IF(A996="■",55,"") &amp; "'"</f>
        <v>ser_code = ''</v>
      </c>
      <c r="AI979" s="3056" t="str">
        <f>"55:yakan_kinmu_code:" &amp; IF(I979="■",1,IF(M979="■",2,IF(Q979="■",3,IF(U979="■",7,IF(I980="■",5,IF(M980="■",6,0))))))</f>
        <v>55:yakan_kinmu_code:0</v>
      </c>
      <c r="AJ979" s="3056" t="str">
        <f>"55:field203:" &amp; IF(Y979="■",1,IF(Y980="■",2,0))</f>
        <v>55:field203:0</v>
      </c>
    </row>
    <row r="980" spans="1:36" s="3056" customFormat="1" ht="18.75" hidden="1" customHeight="1">
      <c r="A980" s="735"/>
      <c r="B980" s="1407"/>
      <c r="C980" s="1287"/>
      <c r="D980" s="1288"/>
      <c r="E980" s="1275"/>
      <c r="F980" s="1289"/>
      <c r="G980" s="1275"/>
      <c r="H980" s="1542"/>
      <c r="I980" s="3063" t="s">
        <v>121</v>
      </c>
      <c r="J980" s="1296" t="s">
        <v>2303</v>
      </c>
      <c r="K980" s="1309"/>
      <c r="L980" s="1403"/>
      <c r="M980" s="3062" t="s">
        <v>121</v>
      </c>
      <c r="N980" s="1296" t="s">
        <v>1228</v>
      </c>
      <c r="O980" s="1403"/>
      <c r="P980" s="1403"/>
      <c r="Q980" s="1403"/>
      <c r="R980" s="1403"/>
      <c r="S980" s="1403"/>
      <c r="T980" s="1403"/>
      <c r="U980" s="1403"/>
      <c r="V980" s="1403"/>
      <c r="W980" s="1403"/>
      <c r="X980" s="1297"/>
      <c r="Y980" s="3069" t="s">
        <v>121</v>
      </c>
      <c r="Z980" s="1273" t="s">
        <v>1234</v>
      </c>
      <c r="AA980" s="1292"/>
      <c r="AB980" s="1293"/>
      <c r="AC980" s="1533"/>
      <c r="AD980" s="1534"/>
      <c r="AE980" s="1534"/>
      <c r="AF980" s="1535"/>
      <c r="AG980" s="3056" t="str">
        <f>"55:sisetukbn_code:" &amp; IF(D996="■",5,0)</f>
        <v>55:sisetukbn_code:0</v>
      </c>
    </row>
    <row r="981" spans="1:36" s="3056" customFormat="1" ht="18.75" hidden="1" customHeight="1">
      <c r="A981" s="735"/>
      <c r="B981" s="1407"/>
      <c r="C981" s="1287"/>
      <c r="D981" s="1288"/>
      <c r="E981" s="1275"/>
      <c r="F981" s="1289"/>
      <c r="G981" s="1275"/>
      <c r="H981" s="1541" t="s">
        <v>90</v>
      </c>
      <c r="I981" s="3137" t="s">
        <v>121</v>
      </c>
      <c r="J981" s="1290" t="s">
        <v>1230</v>
      </c>
      <c r="K981" s="1290"/>
      <c r="L981" s="1402"/>
      <c r="M981" s="3136" t="s">
        <v>121</v>
      </c>
      <c r="N981" s="1290" t="s">
        <v>1231</v>
      </c>
      <c r="O981" s="1290"/>
      <c r="P981" s="1402"/>
      <c r="Q981" s="3136" t="s">
        <v>121</v>
      </c>
      <c r="R981" s="1402" t="s">
        <v>2302</v>
      </c>
      <c r="S981" s="1402"/>
      <c r="T981" s="1402"/>
      <c r="U981" s="3136" t="s">
        <v>121</v>
      </c>
      <c r="V981" s="1402" t="s">
        <v>2301</v>
      </c>
      <c r="W981" s="1314"/>
      <c r="X981" s="1315"/>
      <c r="Y981" s="1295"/>
      <c r="Z981" s="1292"/>
      <c r="AA981" s="1292"/>
      <c r="AB981" s="1293"/>
      <c r="AC981" s="1533"/>
      <c r="AD981" s="1534"/>
      <c r="AE981" s="1534"/>
      <c r="AF981" s="1535"/>
      <c r="AI981" s="3056" t="str">
        <f>"55:"&amp;IF(AND(I981="□",M981="□",Q981="□",U981="□",I982="□",M982="□"),"ketu_doctor_code:0",IF(I981="■","ketu_doctor_code:1:field197:1:ketu_kangos_code:1:ketu_kshoku_code:1:ketu_ksiensou_code:1",IF(M981="■","ketu_doctor_code:2","ketu_doctor_code:1")
&amp;IF(Q981="■",":field197:2",":field197:1")
&amp;IF(U981="■",":ketu_kangos_code:2",":ketu_kangos_code:1")
&amp;IF(I982="■",":ketu_kshoku_code:2",":ketu_kshoku_code:1")
&amp;IF(M982="■",":ketu_ksiensou_code:2",":ketu_ksiensou_code:1")))</f>
        <v>55:ketu_doctor_code:0</v>
      </c>
    </row>
    <row r="982" spans="1:36" s="3056" customFormat="1" ht="18.75" hidden="1" customHeight="1">
      <c r="A982" s="735"/>
      <c r="B982" s="1407"/>
      <c r="C982" s="1287"/>
      <c r="D982" s="1288"/>
      <c r="E982" s="1275"/>
      <c r="F982" s="1289"/>
      <c r="G982" s="1275"/>
      <c r="H982" s="1542"/>
      <c r="I982" s="3063" t="s">
        <v>121</v>
      </c>
      <c r="J982" s="1403" t="s">
        <v>2300</v>
      </c>
      <c r="K982" s="1296"/>
      <c r="L982" s="1403"/>
      <c r="M982" s="3062" t="s">
        <v>121</v>
      </c>
      <c r="N982" s="1296" t="s">
        <v>2299</v>
      </c>
      <c r="O982" s="1296"/>
      <c r="P982" s="1403"/>
      <c r="Q982" s="1403"/>
      <c r="R982" s="1403"/>
      <c r="S982" s="1403"/>
      <c r="T982" s="1403"/>
      <c r="U982" s="1403"/>
      <c r="V982" s="1403"/>
      <c r="W982" s="1330"/>
      <c r="X982" s="1356"/>
      <c r="Y982" s="1295"/>
      <c r="Z982" s="1292"/>
      <c r="AA982" s="1292"/>
      <c r="AB982" s="1293"/>
      <c r="AC982" s="1533"/>
      <c r="AD982" s="1534"/>
      <c r="AE982" s="1534"/>
      <c r="AF982" s="1535"/>
    </row>
    <row r="983" spans="1:36" s="3056" customFormat="1" ht="18.75" hidden="1" customHeight="1">
      <c r="A983" s="735"/>
      <c r="B983" s="1407"/>
      <c r="C983" s="1287"/>
      <c r="D983" s="1288"/>
      <c r="E983" s="1275"/>
      <c r="F983" s="1289"/>
      <c r="G983" s="1275"/>
      <c r="H983" s="1409" t="s">
        <v>91</v>
      </c>
      <c r="I983" s="3066" t="s">
        <v>121</v>
      </c>
      <c r="J983" s="1298" t="s">
        <v>1239</v>
      </c>
      <c r="K983" s="1299"/>
      <c r="L983" s="1300"/>
      <c r="M983" s="3065" t="s">
        <v>121</v>
      </c>
      <c r="N983" s="1298" t="s">
        <v>1240</v>
      </c>
      <c r="O983" s="1299"/>
      <c r="P983" s="1299"/>
      <c r="Q983" s="1326"/>
      <c r="R983" s="1326"/>
      <c r="S983" s="1326"/>
      <c r="T983" s="1326"/>
      <c r="U983" s="1326"/>
      <c r="V983" s="1326"/>
      <c r="W983" s="1326"/>
      <c r="X983" s="1327"/>
      <c r="Y983" s="1295"/>
      <c r="Z983" s="1292"/>
      <c r="AA983" s="1292"/>
      <c r="AB983" s="1293"/>
      <c r="AC983" s="1533"/>
      <c r="AD983" s="1534"/>
      <c r="AE983" s="1534"/>
      <c r="AF983" s="1535"/>
      <c r="AI983" s="3056" t="str">
        <f>"55:unitcare_code:" &amp; IF(I983="■",1,IF(M983="■",2,0))</f>
        <v>55:unitcare_code:0</v>
      </c>
    </row>
    <row r="984" spans="1:36" s="3056" customFormat="1" ht="18.75" hidden="1" customHeight="1">
      <c r="A984" s="735"/>
      <c r="B984" s="1407"/>
      <c r="C984" s="1287"/>
      <c r="D984" s="1288"/>
      <c r="E984" s="1275"/>
      <c r="F984" s="1289"/>
      <c r="G984" s="1275"/>
      <c r="H984" s="1409" t="s">
        <v>1241</v>
      </c>
      <c r="I984" s="3066" t="s">
        <v>121</v>
      </c>
      <c r="J984" s="1298" t="s">
        <v>1242</v>
      </c>
      <c r="K984" s="1299"/>
      <c r="L984" s="1300"/>
      <c r="M984" s="3065" t="s">
        <v>121</v>
      </c>
      <c r="N984" s="1298" t="s">
        <v>1243</v>
      </c>
      <c r="O984" s="1307"/>
      <c r="P984" s="1299"/>
      <c r="Q984" s="1326"/>
      <c r="R984" s="1326"/>
      <c r="S984" s="1326"/>
      <c r="T984" s="1326"/>
      <c r="U984" s="1326"/>
      <c r="V984" s="1326"/>
      <c r="W984" s="1326"/>
      <c r="X984" s="1327"/>
      <c r="Y984" s="1295"/>
      <c r="Z984" s="1292"/>
      <c r="AA984" s="1292"/>
      <c r="AB984" s="1293"/>
      <c r="AC984" s="1533"/>
      <c r="AD984" s="1534"/>
      <c r="AE984" s="1534"/>
      <c r="AF984" s="1535"/>
      <c r="AI984" s="3056" t="str">
        <f>"55:sintaikousoku_code:" &amp; IF(I984="■",1,IF(M984="■",2,0))</f>
        <v>55:sintaikousoku_code:0</v>
      </c>
    </row>
    <row r="985" spans="1:36" s="3056" customFormat="1" ht="18.75" hidden="1" customHeight="1">
      <c r="A985" s="735"/>
      <c r="B985" s="1407"/>
      <c r="C985" s="1287"/>
      <c r="D985" s="1288"/>
      <c r="E985" s="1275"/>
      <c r="F985" s="1289"/>
      <c r="G985" s="1275"/>
      <c r="H985" s="1409" t="s">
        <v>753</v>
      </c>
      <c r="I985" s="3066" t="s">
        <v>121</v>
      </c>
      <c r="J985" s="1298" t="s">
        <v>1242</v>
      </c>
      <c r="K985" s="1299"/>
      <c r="L985" s="1300"/>
      <c r="M985" s="3065" t="s">
        <v>121</v>
      </c>
      <c r="N985" s="1298" t="s">
        <v>1243</v>
      </c>
      <c r="O985" s="1307"/>
      <c r="P985" s="1299"/>
      <c r="Q985" s="1307"/>
      <c r="R985" s="1307"/>
      <c r="S985" s="1307"/>
      <c r="T985" s="1307"/>
      <c r="U985" s="1307"/>
      <c r="V985" s="1307"/>
      <c r="W985" s="1307"/>
      <c r="X985" s="1308"/>
      <c r="Y985" s="1295"/>
      <c r="Z985" s="1292"/>
      <c r="AA985" s="1292"/>
      <c r="AB985" s="1293"/>
      <c r="AC985" s="1533"/>
      <c r="AD985" s="1534"/>
      <c r="AE985" s="1534"/>
      <c r="AF985" s="1535"/>
      <c r="AI985" s="3056" t="str">
        <f>"55:field208:" &amp; IF(I985="■",1,IF(M985="■",2,0))</f>
        <v>55:field208:0</v>
      </c>
    </row>
    <row r="986" spans="1:36" s="3056" customFormat="1" ht="19.5" hidden="1" customHeight="1">
      <c r="A986" s="735"/>
      <c r="B986" s="1407"/>
      <c r="C986" s="1303"/>
      <c r="D986" s="1304"/>
      <c r="E986" s="1275"/>
      <c r="F986" s="1289"/>
      <c r="G986" s="1305"/>
      <c r="H986" s="1306" t="s">
        <v>1244</v>
      </c>
      <c r="I986" s="3066" t="s">
        <v>121</v>
      </c>
      <c r="J986" s="1298" t="s">
        <v>1242</v>
      </c>
      <c r="K986" s="1299"/>
      <c r="L986" s="1300"/>
      <c r="M986" s="3065" t="s">
        <v>121</v>
      </c>
      <c r="N986" s="1298" t="s">
        <v>1245</v>
      </c>
      <c r="O986" s="1301"/>
      <c r="P986" s="1298"/>
      <c r="Q986" s="1307"/>
      <c r="R986" s="1307"/>
      <c r="S986" s="1307"/>
      <c r="T986" s="1307"/>
      <c r="U986" s="1307"/>
      <c r="V986" s="1307"/>
      <c r="W986" s="1307"/>
      <c r="X986" s="1308"/>
      <c r="Y986" s="1292"/>
      <c r="Z986" s="1292"/>
      <c r="AA986" s="1292"/>
      <c r="AB986" s="1293"/>
      <c r="AC986" s="1533"/>
      <c r="AD986" s="1534"/>
      <c r="AE986" s="1534"/>
      <c r="AF986" s="1535"/>
      <c r="AI986" s="3056" t="str">
        <f>"55:field223:" &amp; IF(I986="■",1,IF(M986="■",2,0))</f>
        <v>55:field223:0</v>
      </c>
    </row>
    <row r="987" spans="1:36" s="3056" customFormat="1" ht="19.5" hidden="1" customHeight="1">
      <c r="A987" s="735"/>
      <c r="B987" s="1407"/>
      <c r="C987" s="1303"/>
      <c r="D987" s="1304"/>
      <c r="E987" s="1275"/>
      <c r="F987" s="1289"/>
      <c r="G987" s="1305"/>
      <c r="H987" s="1306" t="s">
        <v>1246</v>
      </c>
      <c r="I987" s="3066" t="s">
        <v>121</v>
      </c>
      <c r="J987" s="1298" t="s">
        <v>1242</v>
      </c>
      <c r="K987" s="1299"/>
      <c r="L987" s="1300"/>
      <c r="M987" s="3065" t="s">
        <v>121</v>
      </c>
      <c r="N987" s="1298" t="s">
        <v>1245</v>
      </c>
      <c r="O987" s="1301"/>
      <c r="P987" s="1298"/>
      <c r="Q987" s="1307"/>
      <c r="R987" s="1307"/>
      <c r="S987" s="1307"/>
      <c r="T987" s="1307"/>
      <c r="U987" s="1307"/>
      <c r="V987" s="1307"/>
      <c r="W987" s="1307"/>
      <c r="X987" s="1308"/>
      <c r="Y987" s="1292"/>
      <c r="Z987" s="1292"/>
      <c r="AA987" s="1292"/>
      <c r="AB987" s="1293"/>
      <c r="AC987" s="1533"/>
      <c r="AD987" s="1534"/>
      <c r="AE987" s="1534"/>
      <c r="AF987" s="1535"/>
      <c r="AI987" s="3056" t="str">
        <f>"55:field232:" &amp; IF(I987="■",1,IF(M987="■",2,0))</f>
        <v>55:field232:0</v>
      </c>
    </row>
    <row r="988" spans="1:36" s="3056" customFormat="1" ht="18.75" hidden="1" customHeight="1">
      <c r="A988" s="735"/>
      <c r="B988" s="1407"/>
      <c r="C988" s="1287"/>
      <c r="D988" s="1288"/>
      <c r="E988" s="1275"/>
      <c r="F988" s="1289"/>
      <c r="G988" s="1275"/>
      <c r="H988" s="1539" t="s">
        <v>1247</v>
      </c>
      <c r="I988" s="3115" t="s">
        <v>121</v>
      </c>
      <c r="J988" s="1528" t="s">
        <v>1230</v>
      </c>
      <c r="K988" s="1528"/>
      <c r="L988" s="3135" t="s">
        <v>121</v>
      </c>
      <c r="M988" s="1528" t="s">
        <v>1248</v>
      </c>
      <c r="N988" s="1528"/>
      <c r="O988" s="1402"/>
      <c r="P988" s="1402"/>
      <c r="Q988" s="1402"/>
      <c r="R988" s="1402"/>
      <c r="S988" s="1402"/>
      <c r="T988" s="1402"/>
      <c r="U988" s="1402"/>
      <c r="V988" s="1402"/>
      <c r="W988" s="1402"/>
      <c r="X988" s="1291"/>
      <c r="Y988" s="1295"/>
      <c r="Z988" s="1292"/>
      <c r="AA988" s="1292"/>
      <c r="AB988" s="1293"/>
      <c r="AC988" s="1533"/>
      <c r="AD988" s="1534"/>
      <c r="AE988" s="1534"/>
      <c r="AF988" s="1535"/>
      <c r="AI988" s="3056" t="str">
        <f>"55:field206:" &amp; IF(I988="■",1,IF(L988="■",2,0))</f>
        <v>55:field206:0</v>
      </c>
    </row>
    <row r="989" spans="1:36" s="3056" customFormat="1" ht="18.75" hidden="1" customHeight="1">
      <c r="A989" s="735"/>
      <c r="B989" s="1407"/>
      <c r="C989" s="1287"/>
      <c r="D989" s="1288"/>
      <c r="E989" s="1275"/>
      <c r="F989" s="1289"/>
      <c r="G989" s="1275"/>
      <c r="H989" s="1540"/>
      <c r="I989" s="3081"/>
      <c r="J989" s="1529"/>
      <c r="K989" s="1529"/>
      <c r="L989" s="3080"/>
      <c r="M989" s="1529"/>
      <c r="N989" s="1529"/>
      <c r="O989" s="1403"/>
      <c r="P989" s="1403"/>
      <c r="Q989" s="1403"/>
      <c r="R989" s="1403"/>
      <c r="S989" s="1403"/>
      <c r="T989" s="1403"/>
      <c r="U989" s="1403"/>
      <c r="V989" s="1403"/>
      <c r="W989" s="1403"/>
      <c r="X989" s="1297"/>
      <c r="Y989" s="1295"/>
      <c r="Z989" s="1292"/>
      <c r="AA989" s="1292"/>
      <c r="AB989" s="1293"/>
      <c r="AC989" s="1533"/>
      <c r="AD989" s="1534"/>
      <c r="AE989" s="1534"/>
      <c r="AF989" s="1535"/>
    </row>
    <row r="990" spans="1:36" s="3056" customFormat="1" ht="18.75" hidden="1" customHeight="1">
      <c r="A990" s="735"/>
      <c r="B990" s="1407"/>
      <c r="C990" s="1287"/>
      <c r="D990" s="1288"/>
      <c r="E990" s="1275"/>
      <c r="F990" s="1289"/>
      <c r="G990" s="1275"/>
      <c r="H990" s="1409" t="s">
        <v>2295</v>
      </c>
      <c r="I990" s="3066" t="s">
        <v>121</v>
      </c>
      <c r="J990" s="1298" t="s">
        <v>2292</v>
      </c>
      <c r="K990" s="1299"/>
      <c r="L990" s="1300"/>
      <c r="M990" s="3065" t="s">
        <v>121</v>
      </c>
      <c r="N990" s="1298" t="s">
        <v>2291</v>
      </c>
      <c r="O990" s="1307"/>
      <c r="P990" s="1326"/>
      <c r="Q990" s="1326"/>
      <c r="R990" s="1326"/>
      <c r="S990" s="1326"/>
      <c r="T990" s="1326"/>
      <c r="U990" s="1326"/>
      <c r="V990" s="1326"/>
      <c r="W990" s="1326"/>
      <c r="X990" s="1327"/>
      <c r="Y990" s="1295"/>
      <c r="Z990" s="1292"/>
      <c r="AA990" s="1292"/>
      <c r="AB990" s="1293"/>
      <c r="AC990" s="1533"/>
      <c r="AD990" s="1534"/>
      <c r="AE990" s="1534"/>
      <c r="AF990" s="1535"/>
      <c r="AI990" s="3056" t="str">
        <f>"55:field190:" &amp; IF(I990="■",1,IF(M990="■",2,0))</f>
        <v>55:field190:0</v>
      </c>
    </row>
    <row r="991" spans="1:36" s="3056" customFormat="1" ht="18.75" hidden="1" customHeight="1">
      <c r="A991" s="735"/>
      <c r="B991" s="1407"/>
      <c r="C991" s="1287"/>
      <c r="D991" s="1288"/>
      <c r="E991" s="1275"/>
      <c r="F991" s="1289"/>
      <c r="G991" s="1275"/>
      <c r="H991" s="1409" t="s">
        <v>2293</v>
      </c>
      <c r="I991" s="3066" t="s">
        <v>121</v>
      </c>
      <c r="J991" s="1298" t="s">
        <v>2292</v>
      </c>
      <c r="K991" s="1299"/>
      <c r="L991" s="1300"/>
      <c r="M991" s="3065" t="s">
        <v>121</v>
      </c>
      <c r="N991" s="1298" t="s">
        <v>2291</v>
      </c>
      <c r="O991" s="1307"/>
      <c r="P991" s="1326"/>
      <c r="Q991" s="1326"/>
      <c r="R991" s="1326"/>
      <c r="S991" s="1326"/>
      <c r="T991" s="1326"/>
      <c r="U991" s="1326"/>
      <c r="V991" s="1326"/>
      <c r="W991" s="1326"/>
      <c r="X991" s="1327"/>
      <c r="Y991" s="1295"/>
      <c r="Z991" s="1292"/>
      <c r="AA991" s="1292"/>
      <c r="AB991" s="1293"/>
      <c r="AC991" s="1533"/>
      <c r="AD991" s="1534"/>
      <c r="AE991" s="1534"/>
      <c r="AF991" s="1535"/>
      <c r="AI991" s="3056" t="str">
        <f>"55:field191:" &amp; IF(I991="■",1,IF(M991="■",2,0))</f>
        <v>55:field191:0</v>
      </c>
    </row>
    <row r="992" spans="1:36" s="3056" customFormat="1" ht="18.75" hidden="1" customHeight="1">
      <c r="A992" s="735"/>
      <c r="B992" s="1407"/>
      <c r="C992" s="1287"/>
      <c r="D992" s="1288"/>
      <c r="E992" s="1275"/>
      <c r="F992" s="1289"/>
      <c r="G992" s="1275"/>
      <c r="H992" s="1409" t="s">
        <v>2290</v>
      </c>
      <c r="I992" s="3063" t="s">
        <v>121</v>
      </c>
      <c r="J992" s="1296" t="s">
        <v>1230</v>
      </c>
      <c r="K992" s="1309"/>
      <c r="L992" s="3062" t="s">
        <v>121</v>
      </c>
      <c r="M992" s="1296" t="s">
        <v>1248</v>
      </c>
      <c r="N992" s="1299"/>
      <c r="O992" s="1326"/>
      <c r="P992" s="1326"/>
      <c r="Q992" s="1326"/>
      <c r="R992" s="1326"/>
      <c r="S992" s="1326"/>
      <c r="T992" s="1326"/>
      <c r="U992" s="1326"/>
      <c r="V992" s="1326"/>
      <c r="W992" s="1326"/>
      <c r="X992" s="1327"/>
      <c r="Y992" s="1295"/>
      <c r="Z992" s="1292"/>
      <c r="AA992" s="1292"/>
      <c r="AB992" s="1293"/>
      <c r="AC992" s="1533"/>
      <c r="AD992" s="1534"/>
      <c r="AE992" s="1534"/>
      <c r="AF992" s="1535"/>
      <c r="AI992" s="3056" t="str">
        <f>"55:jyakuninti_uke_code:" &amp; IF(I992="■",1,IF(L992="■",2,0))</f>
        <v>55:jyakuninti_uke_code:0</v>
      </c>
    </row>
    <row r="993" spans="1:35" s="3056" customFormat="1" ht="18.75" hidden="1" customHeight="1">
      <c r="A993" s="735"/>
      <c r="B993" s="1407"/>
      <c r="C993" s="1287"/>
      <c r="D993" s="1288"/>
      <c r="E993" s="1275"/>
      <c r="F993" s="1289"/>
      <c r="G993" s="1275"/>
      <c r="H993" s="1409" t="s">
        <v>755</v>
      </c>
      <c r="I993" s="3063" t="s">
        <v>121</v>
      </c>
      <c r="J993" s="1296" t="s">
        <v>1230</v>
      </c>
      <c r="K993" s="1309"/>
      <c r="L993" s="3062" t="s">
        <v>121</v>
      </c>
      <c r="M993" s="1296" t="s">
        <v>1248</v>
      </c>
      <c r="N993" s="1299"/>
      <c r="O993" s="1326"/>
      <c r="P993" s="1326"/>
      <c r="Q993" s="1326"/>
      <c r="R993" s="1326"/>
      <c r="S993" s="1326"/>
      <c r="T993" s="1326"/>
      <c r="U993" s="1326"/>
      <c r="V993" s="1326"/>
      <c r="W993" s="1326"/>
      <c r="X993" s="1327"/>
      <c r="Y993" s="1295"/>
      <c r="Z993" s="1292"/>
      <c r="AA993" s="1292"/>
      <c r="AB993" s="1293"/>
      <c r="AC993" s="1533"/>
      <c r="AD993" s="1534"/>
      <c r="AE993" s="1534"/>
      <c r="AF993" s="1535"/>
      <c r="AI993" s="3056" t="str">
        <f>"55:field207:" &amp; IF(I993="■",1,IF(L993="■",2,0))</f>
        <v>55:field207:0</v>
      </c>
    </row>
    <row r="994" spans="1:35" s="3056" customFormat="1" ht="18.75" hidden="1" customHeight="1">
      <c r="A994" s="735"/>
      <c r="B994" s="1407"/>
      <c r="C994" s="1287"/>
      <c r="D994" s="1288"/>
      <c r="E994" s="1275"/>
      <c r="F994" s="1289"/>
      <c r="G994" s="1275"/>
      <c r="H994" s="1409" t="s">
        <v>145</v>
      </c>
      <c r="I994" s="3063" t="s">
        <v>121</v>
      </c>
      <c r="J994" s="1296" t="s">
        <v>1230</v>
      </c>
      <c r="K994" s="1309"/>
      <c r="L994" s="3062" t="s">
        <v>121</v>
      </c>
      <c r="M994" s="1296" t="s">
        <v>1248</v>
      </c>
      <c r="N994" s="1299"/>
      <c r="O994" s="1326"/>
      <c r="P994" s="1326"/>
      <c r="Q994" s="1326"/>
      <c r="R994" s="1326"/>
      <c r="S994" s="1326"/>
      <c r="T994" s="1326"/>
      <c r="U994" s="1326"/>
      <c r="V994" s="1326"/>
      <c r="W994" s="1326"/>
      <c r="X994" s="1327"/>
      <c r="Y994" s="1295"/>
      <c r="Z994" s="1292"/>
      <c r="AA994" s="1292"/>
      <c r="AB994" s="1293"/>
      <c r="AC994" s="1533"/>
      <c r="AD994" s="1534"/>
      <c r="AE994" s="1534"/>
      <c r="AF994" s="1535"/>
      <c r="AI994" s="3056" t="str">
        <f>"55:ryouyoushoku_code:" &amp; IF(I994="■",1,IF(L994="■",2,0))</f>
        <v>55:ryouyoushoku_code:0</v>
      </c>
    </row>
    <row r="995" spans="1:35" s="3056" customFormat="1" ht="18.75" hidden="1" customHeight="1">
      <c r="A995" s="735"/>
      <c r="B995" s="1407"/>
      <c r="C995" s="1287"/>
      <c r="D995" s="1288"/>
      <c r="E995" s="1275"/>
      <c r="F995" s="1289"/>
      <c r="G995" s="1275"/>
      <c r="H995" s="1541" t="s">
        <v>2321</v>
      </c>
      <c r="I995" s="3137" t="s">
        <v>121</v>
      </c>
      <c r="J995" s="1290" t="s">
        <v>1273</v>
      </c>
      <c r="K995" s="1290"/>
      <c r="L995" s="1314"/>
      <c r="M995" s="1314"/>
      <c r="N995" s="1314"/>
      <c r="O995" s="1314"/>
      <c r="P995" s="3136" t="s">
        <v>121</v>
      </c>
      <c r="Q995" s="1290" t="s">
        <v>1274</v>
      </c>
      <c r="R995" s="1314"/>
      <c r="S995" s="1314"/>
      <c r="T995" s="1314"/>
      <c r="U995" s="1314"/>
      <c r="V995" s="1314"/>
      <c r="W995" s="1314"/>
      <c r="X995" s="1315"/>
      <c r="Y995" s="1295"/>
      <c r="Z995" s="1292"/>
      <c r="AA995" s="1292"/>
      <c r="AB995" s="1293"/>
      <c r="AC995" s="1533"/>
      <c r="AD995" s="1534"/>
      <c r="AE995" s="1534"/>
      <c r="AF995" s="1535"/>
      <c r="AI995" s="3056" t="str">
        <f>"55:" &amp; IF(AND(I995="□",P995="□",I996="□"),"tokusin_jyusho_code:0:tokusin_yakuzai_code:0:shuudan_comu_code:0",IF(I995="■","tokusin_jyusho_code:2","tokusin_jyusho_code:1")
&amp;IF(P995="■",":tokusin_yakuzai_code:2",":tokusin_yakuzai_code:1")
&amp;IF(I996="■",":shuudan_comu_code:2",":shuudan_comu_code:1"))</f>
        <v>55:tokusin_jyusho_code:0:tokusin_yakuzai_code:0:shuudan_comu_code:0</v>
      </c>
    </row>
    <row r="996" spans="1:35" s="3056" customFormat="1" ht="18.75" hidden="1" customHeight="1">
      <c r="A996" s="3069" t="s">
        <v>121</v>
      </c>
      <c r="B996" s="1407">
        <v>55</v>
      </c>
      <c r="C996" s="1287" t="s">
        <v>2320</v>
      </c>
      <c r="D996" s="3069" t="s">
        <v>121</v>
      </c>
      <c r="E996" s="1275" t="s">
        <v>2319</v>
      </c>
      <c r="F996" s="1289"/>
      <c r="G996" s="1275"/>
      <c r="H996" s="1542"/>
      <c r="I996" s="3063" t="s">
        <v>121</v>
      </c>
      <c r="J996" s="1296" t="s">
        <v>2318</v>
      </c>
      <c r="K996" s="1330"/>
      <c r="L996" s="1330"/>
      <c r="M996" s="1330"/>
      <c r="N996" s="1330"/>
      <c r="O996" s="1330"/>
      <c r="P996" s="1330"/>
      <c r="Q996" s="1403"/>
      <c r="R996" s="1330"/>
      <c r="S996" s="1330"/>
      <c r="T996" s="1330"/>
      <c r="U996" s="1330"/>
      <c r="V996" s="1330"/>
      <c r="W996" s="1330"/>
      <c r="X996" s="1356"/>
      <c r="Y996" s="1295"/>
      <c r="Z996" s="1292"/>
      <c r="AA996" s="1292"/>
      <c r="AB996" s="1293"/>
      <c r="AC996" s="1533"/>
      <c r="AD996" s="1534"/>
      <c r="AE996" s="1534"/>
      <c r="AF996" s="1535"/>
    </row>
    <row r="997" spans="1:35" s="3056" customFormat="1" ht="18.75" hidden="1" customHeight="1">
      <c r="A997" s="735"/>
      <c r="B997" s="1407"/>
      <c r="C997" s="1287"/>
      <c r="D997" s="1288"/>
      <c r="E997" s="1275"/>
      <c r="F997" s="1289"/>
      <c r="G997" s="1275"/>
      <c r="H997" s="1541" t="s">
        <v>1280</v>
      </c>
      <c r="I997" s="3137" t="s">
        <v>121</v>
      </c>
      <c r="J997" s="1290" t="s">
        <v>2317</v>
      </c>
      <c r="K997" s="1328"/>
      <c r="L997" s="1329"/>
      <c r="M997" s="3136" t="s">
        <v>121</v>
      </c>
      <c r="N997" s="1290" t="s">
        <v>2316</v>
      </c>
      <c r="O997" s="1314"/>
      <c r="P997" s="1314"/>
      <c r="Q997" s="3136" t="s">
        <v>121</v>
      </c>
      <c r="R997" s="1290" t="s">
        <v>2315</v>
      </c>
      <c r="S997" s="1314"/>
      <c r="T997" s="1314"/>
      <c r="U997" s="1314"/>
      <c r="V997" s="1314"/>
      <c r="W997" s="1314"/>
      <c r="X997" s="1315"/>
      <c r="Y997" s="1295"/>
      <c r="Z997" s="1292"/>
      <c r="AA997" s="1292"/>
      <c r="AB997" s="1293"/>
      <c r="AC997" s="1533"/>
      <c r="AD997" s="1534"/>
      <c r="AE997" s="1534"/>
      <c r="AF997" s="1535"/>
      <c r="AI997" s="3056" t="str">
        <f>"55:"&amp;IF(AND(I997="□",M997="□",Q997="□",I998="□",Q998="□"),"koriha_rryoho1_code:0:koriha_sryoho_code:0:koriha_gengo_code:0:riha_seisin_code:0:koriha_other_code:0",IF(I997="■","koriha_rryoho1_code:2","koriha_rryoho1_code:1")
&amp;IF(M997="■",":koriha_sryoho_code:2",":koriha_sryoho_code:1")
&amp;IF(Q997="■",":koriha_gengo_code:2",":koriha_gengo_code:1")
&amp;IF(I998="■",":riha_seisin_code:2",":riha_seisin_code:1")
&amp;IF(Q998="■",":koriha_other_code:2",":koriha_other_code:1"))</f>
        <v>55:koriha_rryoho1_code:0:koriha_sryoho_code:0:koriha_gengo_code:0:riha_seisin_code:0:koriha_other_code:0</v>
      </c>
    </row>
    <row r="998" spans="1:35" s="3056" customFormat="1" ht="18.75" hidden="1" customHeight="1">
      <c r="A998" s="735"/>
      <c r="B998" s="1407"/>
      <c r="C998" s="1287"/>
      <c r="D998" s="735"/>
      <c r="E998" s="1275"/>
      <c r="F998" s="1289"/>
      <c r="G998" s="1275"/>
      <c r="H998" s="1542"/>
      <c r="I998" s="3063" t="s">
        <v>121</v>
      </c>
      <c r="J998" s="1296" t="s">
        <v>2314</v>
      </c>
      <c r="K998" s="1330"/>
      <c r="L998" s="1330"/>
      <c r="M998" s="1330"/>
      <c r="N998" s="1330"/>
      <c r="O998" s="1330"/>
      <c r="P998" s="1330"/>
      <c r="Q998" s="3062" t="s">
        <v>121</v>
      </c>
      <c r="R998" s="1296" t="s">
        <v>2313</v>
      </c>
      <c r="S998" s="1403"/>
      <c r="T998" s="1330"/>
      <c r="U998" s="1330"/>
      <c r="V998" s="1330"/>
      <c r="W998" s="1330"/>
      <c r="X998" s="1356"/>
      <c r="Y998" s="1295"/>
      <c r="Z998" s="1292"/>
      <c r="AA998" s="1292"/>
      <c r="AB998" s="1293"/>
      <c r="AC998" s="1533"/>
      <c r="AD998" s="1534"/>
      <c r="AE998" s="1534"/>
      <c r="AF998" s="1535"/>
    </row>
    <row r="999" spans="1:35" s="3056" customFormat="1" ht="18.75" hidden="1" customHeight="1">
      <c r="A999" s="735"/>
      <c r="B999" s="1407"/>
      <c r="C999" s="1287"/>
      <c r="D999" s="1288"/>
      <c r="E999" s="1275"/>
      <c r="F999" s="1289"/>
      <c r="G999" s="1275"/>
      <c r="H999" s="1539" t="s">
        <v>2312</v>
      </c>
      <c r="I999" s="3115" t="s">
        <v>121</v>
      </c>
      <c r="J999" s="1528" t="s">
        <v>1230</v>
      </c>
      <c r="K999" s="1528"/>
      <c r="L999" s="3135" t="s">
        <v>121</v>
      </c>
      <c r="M999" s="1528" t="s">
        <v>2311</v>
      </c>
      <c r="N999" s="1528"/>
      <c r="O999" s="1528"/>
      <c r="P999" s="3135" t="s">
        <v>121</v>
      </c>
      <c r="Q999" s="1528" t="s">
        <v>2310</v>
      </c>
      <c r="R999" s="1528"/>
      <c r="S999" s="1528"/>
      <c r="T999" s="3135" t="s">
        <v>121</v>
      </c>
      <c r="U999" s="1528" t="s">
        <v>2309</v>
      </c>
      <c r="V999" s="1528"/>
      <c r="W999" s="1528"/>
      <c r="X999" s="3141"/>
      <c r="Y999" s="1295"/>
      <c r="Z999" s="1292"/>
      <c r="AA999" s="1292"/>
      <c r="AB999" s="1293"/>
      <c r="AC999" s="1533"/>
      <c r="AD999" s="1534"/>
      <c r="AE999" s="1534"/>
      <c r="AF999" s="1535"/>
      <c r="AI999" s="3056" t="str">
        <f>"55:"&amp;IF(AND(I999="□",L999="□",P999="□",T999="□"),"field236:0:field237:0:field238:0",IF(I999="■","field236:1:field237:1:field238:1",IF(L999="■","field236:2","field236:1")
&amp;IF(P999="■",":field237:2",":field237:1")
&amp;IF(T999="■",":field238:2",":field238:1")))</f>
        <v>55:field236:0:field237:0:field238:0</v>
      </c>
    </row>
    <row r="1000" spans="1:35" s="3056" customFormat="1" ht="18.75" hidden="1" customHeight="1">
      <c r="A1000" s="735"/>
      <c r="B1000" s="1407"/>
      <c r="C1000" s="1287"/>
      <c r="D1000" s="1288"/>
      <c r="E1000" s="1275"/>
      <c r="F1000" s="1289"/>
      <c r="G1000" s="1275"/>
      <c r="H1000" s="1540"/>
      <c r="I1000" s="3081"/>
      <c r="J1000" s="1529"/>
      <c r="K1000" s="1529"/>
      <c r="L1000" s="3080"/>
      <c r="M1000" s="1529"/>
      <c r="N1000" s="1529"/>
      <c r="O1000" s="1529"/>
      <c r="P1000" s="3080"/>
      <c r="Q1000" s="1529"/>
      <c r="R1000" s="1529"/>
      <c r="S1000" s="1529"/>
      <c r="T1000" s="3080"/>
      <c r="U1000" s="1529"/>
      <c r="V1000" s="1529"/>
      <c r="W1000" s="1529"/>
      <c r="X1000" s="3140"/>
      <c r="Y1000" s="1295"/>
      <c r="Z1000" s="1292"/>
      <c r="AA1000" s="1292"/>
      <c r="AB1000" s="1293"/>
      <c r="AC1000" s="1533"/>
      <c r="AD1000" s="1534"/>
      <c r="AE1000" s="1534"/>
      <c r="AF1000" s="1535"/>
    </row>
    <row r="1001" spans="1:35" s="3056" customFormat="1" ht="18.75" hidden="1" customHeight="1">
      <c r="A1001" s="735"/>
      <c r="B1001" s="1407"/>
      <c r="C1001" s="1287"/>
      <c r="D1001" s="1288"/>
      <c r="E1001" s="1275"/>
      <c r="F1001" s="1289"/>
      <c r="G1001" s="1275"/>
      <c r="H1001" s="1410" t="s">
        <v>2308</v>
      </c>
      <c r="I1001" s="3063" t="s">
        <v>121</v>
      </c>
      <c r="J1001" s="1296" t="s">
        <v>1230</v>
      </c>
      <c r="K1001" s="1309"/>
      <c r="L1001" s="3062" t="s">
        <v>121</v>
      </c>
      <c r="M1001" s="1296" t="s">
        <v>1248</v>
      </c>
      <c r="N1001" s="1299"/>
      <c r="O1001" s="1299"/>
      <c r="P1001" s="1299"/>
      <c r="Q1001" s="1299"/>
      <c r="R1001" s="1299"/>
      <c r="S1001" s="1299"/>
      <c r="T1001" s="1299"/>
      <c r="U1001" s="1299"/>
      <c r="V1001" s="1299"/>
      <c r="W1001" s="1299"/>
      <c r="X1001" s="1302"/>
      <c r="Y1001" s="1295"/>
      <c r="Z1001" s="1292"/>
      <c r="AA1001" s="1292"/>
      <c r="AB1001" s="1293"/>
      <c r="AC1001" s="1533"/>
      <c r="AD1001" s="1534"/>
      <c r="AE1001" s="1534"/>
      <c r="AF1001" s="1535"/>
      <c r="AI1001" s="3056" t="str">
        <f>"55:ninti_riha_code:" &amp; IF(I1001="■",1,IF(L1001="■",2,0))</f>
        <v>55:ninti_riha_code:0</v>
      </c>
    </row>
    <row r="1002" spans="1:35" s="3056" customFormat="1" ht="18.75" hidden="1" customHeight="1">
      <c r="A1002" s="735"/>
      <c r="B1002" s="1407"/>
      <c r="C1002" s="1287"/>
      <c r="D1002" s="1288"/>
      <c r="E1002" s="1275"/>
      <c r="F1002" s="1289"/>
      <c r="G1002" s="1275"/>
      <c r="H1002" s="1409" t="s">
        <v>1260</v>
      </c>
      <c r="I1002" s="3066" t="s">
        <v>121</v>
      </c>
      <c r="J1002" s="1298" t="s">
        <v>1230</v>
      </c>
      <c r="K1002" s="1298"/>
      <c r="L1002" s="3065" t="s">
        <v>121</v>
      </c>
      <c r="M1002" s="1298" t="s">
        <v>1256</v>
      </c>
      <c r="N1002" s="1298"/>
      <c r="O1002" s="3065" t="s">
        <v>121</v>
      </c>
      <c r="P1002" s="1298" t="s">
        <v>1257</v>
      </c>
      <c r="Q1002" s="1307"/>
      <c r="R1002" s="1299"/>
      <c r="S1002" s="1299"/>
      <c r="T1002" s="1299"/>
      <c r="U1002" s="1299"/>
      <c r="V1002" s="1299"/>
      <c r="W1002" s="1299"/>
      <c r="X1002" s="1302"/>
      <c r="Y1002" s="1295"/>
      <c r="Z1002" s="1292"/>
      <c r="AA1002" s="1292"/>
      <c r="AB1002" s="1293"/>
      <c r="AC1002" s="1533"/>
      <c r="AD1002" s="1534"/>
      <c r="AE1002" s="1534"/>
      <c r="AF1002" s="1535"/>
      <c r="AI1002" s="3056" t="str">
        <f>"55:ninti_senmoncare_code:" &amp; IF(I1002="■",1,IF(O1002="■",3,IF(L1002="■",2,0)))</f>
        <v>55:ninti_senmoncare_code:0</v>
      </c>
    </row>
    <row r="1003" spans="1:35" s="3056" customFormat="1" ht="18.75" hidden="1" customHeight="1">
      <c r="A1003" s="735"/>
      <c r="B1003" s="1407"/>
      <c r="C1003" s="1287"/>
      <c r="D1003" s="1288"/>
      <c r="E1003" s="1275"/>
      <c r="F1003" s="1289"/>
      <c r="G1003" s="1275"/>
      <c r="H1003" s="1409" t="s">
        <v>1261</v>
      </c>
      <c r="I1003" s="3066" t="s">
        <v>121</v>
      </c>
      <c r="J1003" s="1298" t="s">
        <v>1230</v>
      </c>
      <c r="K1003" s="1298"/>
      <c r="L1003" s="3065" t="s">
        <v>121</v>
      </c>
      <c r="M1003" s="1298" t="s">
        <v>1256</v>
      </c>
      <c r="N1003" s="1298"/>
      <c r="O1003" s="3065" t="s">
        <v>121</v>
      </c>
      <c r="P1003" s="1298" t="s">
        <v>1257</v>
      </c>
      <c r="Q1003" s="1299"/>
      <c r="R1003" s="1299"/>
      <c r="S1003" s="1299"/>
      <c r="T1003" s="1299"/>
      <c r="U1003" s="1299"/>
      <c r="V1003" s="1299"/>
      <c r="W1003" s="1299"/>
      <c r="X1003" s="1302"/>
      <c r="Y1003" s="1295"/>
      <c r="Z1003" s="1292"/>
      <c r="AA1003" s="1292"/>
      <c r="AB1003" s="1293"/>
      <c r="AC1003" s="1533"/>
      <c r="AD1003" s="1534"/>
      <c r="AE1003" s="1534"/>
      <c r="AF1003" s="1535"/>
      <c r="AI1003" s="3056" t="str">
        <f>"55:field228:" &amp; IF(I1003="■",1,IF(L1003="■",2,IF(O1003="■",3,0)))</f>
        <v>55:field228:0</v>
      </c>
    </row>
    <row r="1004" spans="1:35" s="3056" customFormat="1" ht="18.75" hidden="1" customHeight="1">
      <c r="A1004" s="735"/>
      <c r="B1004" s="1407"/>
      <c r="C1004" s="1287"/>
      <c r="D1004" s="1288"/>
      <c r="E1004" s="1275"/>
      <c r="F1004" s="1289"/>
      <c r="G1004" s="1275"/>
      <c r="H1004" s="1409" t="s">
        <v>2307</v>
      </c>
      <c r="I1004" s="3066" t="s">
        <v>121</v>
      </c>
      <c r="J1004" s="1298" t="s">
        <v>1230</v>
      </c>
      <c r="K1004" s="1298"/>
      <c r="L1004" s="3065" t="s">
        <v>121</v>
      </c>
      <c r="M1004" s="1298" t="s">
        <v>1256</v>
      </c>
      <c r="N1004" s="1298"/>
      <c r="O1004" s="3065" t="s">
        <v>121</v>
      </c>
      <c r="P1004" s="1298" t="s">
        <v>1257</v>
      </c>
      <c r="Q1004" s="1307"/>
      <c r="R1004" s="1298"/>
      <c r="S1004" s="1298"/>
      <c r="T1004" s="1298"/>
      <c r="U1004" s="1298"/>
      <c r="V1004" s="1298"/>
      <c r="W1004" s="1298"/>
      <c r="X1004" s="1310"/>
      <c r="Y1004" s="1295"/>
      <c r="Z1004" s="1292"/>
      <c r="AA1004" s="1292"/>
      <c r="AB1004" s="1293"/>
      <c r="AC1004" s="1533"/>
      <c r="AD1004" s="1534"/>
      <c r="AE1004" s="1534"/>
      <c r="AF1004" s="1535"/>
      <c r="AI1004" s="3056" t="str">
        <f>"55:field164:" &amp; IF(I1004="■",1,IF(L1004="■",2,IF(O1004="■",3,0)))</f>
        <v>55:field164:0</v>
      </c>
    </row>
    <row r="1005" spans="1:35" s="3056" customFormat="1" ht="18.75" hidden="1" customHeight="1">
      <c r="A1005" s="735"/>
      <c r="B1005" s="1407"/>
      <c r="C1005" s="1287"/>
      <c r="D1005" s="1288"/>
      <c r="E1005" s="1275"/>
      <c r="F1005" s="1289"/>
      <c r="G1005" s="1275"/>
      <c r="H1005" s="1312" t="s">
        <v>757</v>
      </c>
      <c r="I1005" s="3063" t="s">
        <v>121</v>
      </c>
      <c r="J1005" s="1296" t="s">
        <v>1230</v>
      </c>
      <c r="K1005" s="1309"/>
      <c r="L1005" s="3062" t="s">
        <v>121</v>
      </c>
      <c r="M1005" s="1296" t="s">
        <v>1248</v>
      </c>
      <c r="N1005" s="1299"/>
      <c r="O1005" s="1299"/>
      <c r="P1005" s="1299"/>
      <c r="Q1005" s="1299"/>
      <c r="R1005" s="1299"/>
      <c r="S1005" s="1299"/>
      <c r="T1005" s="1299"/>
      <c r="U1005" s="1299"/>
      <c r="V1005" s="1299"/>
      <c r="W1005" s="1299"/>
      <c r="X1005" s="1302"/>
      <c r="Y1005" s="1295"/>
      <c r="Z1005" s="1292"/>
      <c r="AA1005" s="1292"/>
      <c r="AB1005" s="1293"/>
      <c r="AC1005" s="1533"/>
      <c r="AD1005" s="1534"/>
      <c r="AE1005" s="1534"/>
      <c r="AF1005" s="1535"/>
      <c r="AI1005" s="3056" t="str">
        <f>"55:field210:" &amp; IF(I1005="■",1,IF(L1005="■",2,0))</f>
        <v>55:field210:0</v>
      </c>
    </row>
    <row r="1006" spans="1:35" s="3056" customFormat="1" ht="18.75" hidden="1" customHeight="1">
      <c r="A1006" s="735"/>
      <c r="B1006" s="1407"/>
      <c r="C1006" s="1287"/>
      <c r="D1006" s="1288"/>
      <c r="E1006" s="1275"/>
      <c r="F1006" s="1289"/>
      <c r="G1006" s="1275"/>
      <c r="H1006" s="1409" t="s">
        <v>758</v>
      </c>
      <c r="I1006" s="3063" t="s">
        <v>121</v>
      </c>
      <c r="J1006" s="1296" t="s">
        <v>1230</v>
      </c>
      <c r="K1006" s="1309"/>
      <c r="L1006" s="3062" t="s">
        <v>121</v>
      </c>
      <c r="M1006" s="1296" t="s">
        <v>1248</v>
      </c>
      <c r="N1006" s="1299"/>
      <c r="O1006" s="1299"/>
      <c r="P1006" s="1299"/>
      <c r="Q1006" s="1299"/>
      <c r="R1006" s="1299"/>
      <c r="S1006" s="1299"/>
      <c r="T1006" s="1299"/>
      <c r="U1006" s="1299"/>
      <c r="V1006" s="1299"/>
      <c r="W1006" s="1299"/>
      <c r="X1006" s="1302"/>
      <c r="Y1006" s="1295"/>
      <c r="Z1006" s="1292"/>
      <c r="AA1006" s="1292"/>
      <c r="AB1006" s="1293"/>
      <c r="AC1006" s="1533"/>
      <c r="AD1006" s="1534"/>
      <c r="AE1006" s="1534"/>
      <c r="AF1006" s="1535"/>
      <c r="AI1006" s="3056" t="str">
        <f>"55:field211:" &amp; IF(I1006="■",1,IF(L1006="■",2,0))</f>
        <v>55:field211:0</v>
      </c>
    </row>
    <row r="1007" spans="1:35" s="3056" customFormat="1" ht="18.75" hidden="1" customHeight="1">
      <c r="A1007" s="735"/>
      <c r="B1007" s="1407"/>
      <c r="C1007" s="1287"/>
      <c r="D1007" s="1288"/>
      <c r="E1007" s="1275"/>
      <c r="F1007" s="1289"/>
      <c r="G1007" s="1275"/>
      <c r="H1007" s="1409" t="s">
        <v>764</v>
      </c>
      <c r="I1007" s="3063" t="s">
        <v>121</v>
      </c>
      <c r="J1007" s="1296" t="s">
        <v>1230</v>
      </c>
      <c r="K1007" s="1309"/>
      <c r="L1007" s="3062" t="s">
        <v>121</v>
      </c>
      <c r="M1007" s="1296" t="s">
        <v>1248</v>
      </c>
      <c r="N1007" s="1299"/>
      <c r="O1007" s="1299"/>
      <c r="P1007" s="1299"/>
      <c r="Q1007" s="1299"/>
      <c r="R1007" s="1299"/>
      <c r="S1007" s="1299"/>
      <c r="T1007" s="1299"/>
      <c r="U1007" s="1299"/>
      <c r="V1007" s="1299"/>
      <c r="W1007" s="1299"/>
      <c r="X1007" s="1302"/>
      <c r="Y1007" s="1295"/>
      <c r="Z1007" s="1292"/>
      <c r="AA1007" s="1292"/>
      <c r="AB1007" s="1293"/>
      <c r="AC1007" s="1533"/>
      <c r="AD1007" s="1534"/>
      <c r="AE1007" s="1534"/>
      <c r="AF1007" s="1535"/>
      <c r="AI1007" s="3056" t="str">
        <f>"55:field212:" &amp; IF(I1007="■",1,IF(L1007="■",2,0))</f>
        <v>55:field212:0</v>
      </c>
    </row>
    <row r="1008" spans="1:35" s="3056" customFormat="1" ht="18.75" hidden="1" customHeight="1">
      <c r="A1008" s="735"/>
      <c r="B1008" s="1407"/>
      <c r="C1008" s="1287"/>
      <c r="D1008" s="1288"/>
      <c r="E1008" s="1275"/>
      <c r="F1008" s="1289"/>
      <c r="G1008" s="1275"/>
      <c r="H1008" s="1409" t="s">
        <v>760</v>
      </c>
      <c r="I1008" s="3063" t="s">
        <v>121</v>
      </c>
      <c r="J1008" s="1296" t="s">
        <v>1230</v>
      </c>
      <c r="K1008" s="1309"/>
      <c r="L1008" s="3062" t="s">
        <v>121</v>
      </c>
      <c r="M1008" s="1296" t="s">
        <v>1248</v>
      </c>
      <c r="N1008" s="1299"/>
      <c r="O1008" s="1299"/>
      <c r="P1008" s="1299"/>
      <c r="Q1008" s="1299"/>
      <c r="R1008" s="1299"/>
      <c r="S1008" s="1299"/>
      <c r="T1008" s="1299"/>
      <c r="U1008" s="1299"/>
      <c r="V1008" s="1299"/>
      <c r="W1008" s="1299"/>
      <c r="X1008" s="1302"/>
      <c r="Y1008" s="1295"/>
      <c r="Z1008" s="1292"/>
      <c r="AA1008" s="1292"/>
      <c r="AB1008" s="1293"/>
      <c r="AC1008" s="1533"/>
      <c r="AD1008" s="1534"/>
      <c r="AE1008" s="1534"/>
      <c r="AF1008" s="1535"/>
      <c r="AI1008" s="3056" t="str">
        <f>"55:field209:" &amp; IF(I1008="■",1,IF(L1008="■",2,0))</f>
        <v>55:field209:0</v>
      </c>
    </row>
    <row r="1009" spans="1:36" s="3056" customFormat="1" ht="18.75" hidden="1" customHeight="1">
      <c r="A1009" s="735"/>
      <c r="B1009" s="1407"/>
      <c r="C1009" s="1287"/>
      <c r="D1009" s="1288"/>
      <c r="E1009" s="1275"/>
      <c r="F1009" s="1289"/>
      <c r="G1009" s="1275"/>
      <c r="H1009" s="1409" t="s">
        <v>1288</v>
      </c>
      <c r="I1009" s="3066" t="s">
        <v>121</v>
      </c>
      <c r="J1009" s="1298" t="s">
        <v>1230</v>
      </c>
      <c r="K1009" s="1298"/>
      <c r="L1009" s="3065" t="s">
        <v>121</v>
      </c>
      <c r="M1009" s="1296" t="s">
        <v>1248</v>
      </c>
      <c r="N1009" s="1298"/>
      <c r="O1009" s="1298"/>
      <c r="P1009" s="1298"/>
      <c r="Q1009" s="1299"/>
      <c r="R1009" s="1299"/>
      <c r="S1009" s="1299"/>
      <c r="T1009" s="1299"/>
      <c r="U1009" s="1299"/>
      <c r="V1009" s="1299"/>
      <c r="W1009" s="1299"/>
      <c r="X1009" s="1302"/>
      <c r="Y1009" s="1295"/>
      <c r="Z1009" s="1292"/>
      <c r="AA1009" s="1292"/>
      <c r="AB1009" s="1293"/>
      <c r="AC1009" s="1533"/>
      <c r="AD1009" s="1534"/>
      <c r="AE1009" s="1534"/>
      <c r="AF1009" s="1535"/>
      <c r="AI1009" s="3056" t="str">
        <f>"55:field226:" &amp; IF(I1009="■",1,IF(L1009="■",2,0))</f>
        <v>55:field226:0</v>
      </c>
    </row>
    <row r="1010" spans="1:36" s="3056" customFormat="1" ht="18.75" hidden="1" customHeight="1">
      <c r="A1010" s="735"/>
      <c r="B1010" s="1407"/>
      <c r="C1010" s="1287"/>
      <c r="D1010" s="1288"/>
      <c r="E1010" s="1275"/>
      <c r="F1010" s="1289"/>
      <c r="G1010" s="1275"/>
      <c r="H1010" s="1409" t="s">
        <v>1289</v>
      </c>
      <c r="I1010" s="3066" t="s">
        <v>121</v>
      </c>
      <c r="J1010" s="1298" t="s">
        <v>1230</v>
      </c>
      <c r="K1010" s="1298"/>
      <c r="L1010" s="3065" t="s">
        <v>121</v>
      </c>
      <c r="M1010" s="1296" t="s">
        <v>1248</v>
      </c>
      <c r="N1010" s="1298"/>
      <c r="O1010" s="1298"/>
      <c r="P1010" s="1298"/>
      <c r="Q1010" s="1299"/>
      <c r="R1010" s="1299"/>
      <c r="S1010" s="1299"/>
      <c r="T1010" s="1299"/>
      <c r="U1010" s="1299"/>
      <c r="V1010" s="1299"/>
      <c r="W1010" s="1299"/>
      <c r="X1010" s="1302"/>
      <c r="Y1010" s="1295"/>
      <c r="Z1010" s="1292"/>
      <c r="AA1010" s="1292"/>
      <c r="AB1010" s="1293"/>
      <c r="AC1010" s="1533"/>
      <c r="AD1010" s="1534"/>
      <c r="AE1010" s="1534"/>
      <c r="AF1010" s="1535"/>
      <c r="AI1010" s="3056" t="str">
        <f>"55:field227:" &amp; IF(I1010="■",1,IF(L1010="■",2,0))</f>
        <v>55:field227:0</v>
      </c>
    </row>
    <row r="1011" spans="1:36" s="3056" customFormat="1" ht="18.75" hidden="1" customHeight="1">
      <c r="A1011" s="735"/>
      <c r="B1011" s="1407"/>
      <c r="C1011" s="1287"/>
      <c r="D1011" s="1288"/>
      <c r="E1011" s="1275"/>
      <c r="F1011" s="1289"/>
      <c r="G1011" s="1275"/>
      <c r="H1011" s="1313" t="s">
        <v>1265</v>
      </c>
      <c r="I1011" s="3066" t="s">
        <v>121</v>
      </c>
      <c r="J1011" s="1298" t="s">
        <v>1230</v>
      </c>
      <c r="K1011" s="1298"/>
      <c r="L1011" s="3065" t="s">
        <v>121</v>
      </c>
      <c r="M1011" s="1298" t="s">
        <v>1256</v>
      </c>
      <c r="N1011" s="1298"/>
      <c r="O1011" s="3065" t="s">
        <v>121</v>
      </c>
      <c r="P1011" s="1298" t="s">
        <v>1257</v>
      </c>
      <c r="Q1011" s="1307"/>
      <c r="R1011" s="1307"/>
      <c r="S1011" s="1307"/>
      <c r="T1011" s="1307"/>
      <c r="U1011" s="1314"/>
      <c r="V1011" s="1314"/>
      <c r="W1011" s="1314"/>
      <c r="X1011" s="1315"/>
      <c r="Y1011" s="1295"/>
      <c r="Z1011" s="1292"/>
      <c r="AA1011" s="1292"/>
      <c r="AB1011" s="1293"/>
      <c r="AC1011" s="1533"/>
      <c r="AD1011" s="1534"/>
      <c r="AE1011" s="1534"/>
      <c r="AF1011" s="1535"/>
      <c r="AI1011" s="3056" t="str">
        <f>"55:field225:" &amp; IF(I1011="■",1,IF(L1011="■",2,IF(O1011="■",3,0)))</f>
        <v>55:field225:0</v>
      </c>
    </row>
    <row r="1012" spans="1:36" s="3056" customFormat="1" ht="18.75" hidden="1" customHeight="1">
      <c r="A1012" s="735"/>
      <c r="B1012" s="1407"/>
      <c r="C1012" s="1287"/>
      <c r="D1012" s="1288"/>
      <c r="E1012" s="1275"/>
      <c r="F1012" s="1289"/>
      <c r="G1012" s="1275"/>
      <c r="H1012" s="1409" t="s">
        <v>1266</v>
      </c>
      <c r="I1012" s="3066" t="s">
        <v>121</v>
      </c>
      <c r="J1012" s="1298" t="s">
        <v>1230</v>
      </c>
      <c r="K1012" s="1298"/>
      <c r="L1012" s="3065" t="s">
        <v>121</v>
      </c>
      <c r="M1012" s="1298" t="s">
        <v>1267</v>
      </c>
      <c r="N1012" s="1298"/>
      <c r="O1012" s="3065" t="s">
        <v>121</v>
      </c>
      <c r="P1012" s="1298" t="s">
        <v>1268</v>
      </c>
      <c r="Q1012" s="1326"/>
      <c r="R1012" s="3065" t="s">
        <v>121</v>
      </c>
      <c r="S1012" s="1298" t="s">
        <v>1269</v>
      </c>
      <c r="T1012" s="1298"/>
      <c r="U1012" s="1298"/>
      <c r="V1012" s="1298"/>
      <c r="W1012" s="1298"/>
      <c r="X1012" s="1310"/>
      <c r="Y1012" s="1295"/>
      <c r="Z1012" s="1292"/>
      <c r="AA1012" s="1292"/>
      <c r="AB1012" s="1293"/>
      <c r="AC1012" s="1533"/>
      <c r="AD1012" s="1534"/>
      <c r="AE1012" s="1534"/>
      <c r="AF1012" s="1535"/>
      <c r="AI1012" s="3056" t="str">
        <f>"55:serteikyo_kyoka_code:" &amp; IF(I1012="■",1,IF(L1012="■",6,IF(O1012="■",5,IF(R1012="■",7,0))))</f>
        <v>55:serteikyo_kyoka_code:0</v>
      </c>
    </row>
    <row r="1013" spans="1:36" s="3056" customFormat="1" ht="18.75" hidden="1" customHeight="1">
      <c r="A1013" s="736"/>
      <c r="B1013" s="1316"/>
      <c r="C1013" s="1346"/>
      <c r="D1013" s="1348"/>
      <c r="E1013" s="1317"/>
      <c r="F1013" s="1318"/>
      <c r="G1013" s="1361"/>
      <c r="H1013" s="3134" t="s">
        <v>2288</v>
      </c>
      <c r="I1013" s="3060" t="s">
        <v>121</v>
      </c>
      <c r="J1013" s="3130" t="s">
        <v>1230</v>
      </c>
      <c r="K1013" s="3130"/>
      <c r="L1013" s="3059" t="s">
        <v>121</v>
      </c>
      <c r="M1013" s="3130" t="s">
        <v>2287</v>
      </c>
      <c r="N1013" s="3133"/>
      <c r="O1013" s="3059" t="s">
        <v>121</v>
      </c>
      <c r="P1013" s="3132" t="s">
        <v>2286</v>
      </c>
      <c r="Q1013" s="3131"/>
      <c r="R1013" s="3059" t="s">
        <v>121</v>
      </c>
      <c r="S1013" s="3130" t="s">
        <v>2285</v>
      </c>
      <c r="T1013" s="3131"/>
      <c r="U1013" s="3059" t="s">
        <v>121</v>
      </c>
      <c r="V1013" s="3130" t="s">
        <v>2284</v>
      </c>
      <c r="W1013" s="3129"/>
      <c r="X1013" s="3128"/>
      <c r="Y1013" s="1323"/>
      <c r="Z1013" s="1323"/>
      <c r="AA1013" s="1323"/>
      <c r="AB1013" s="1324"/>
      <c r="AC1013" s="1536"/>
      <c r="AD1013" s="1537"/>
      <c r="AE1013" s="1537"/>
      <c r="AF1013" s="1538"/>
      <c r="AI1013" s="3056" t="str">
        <f>"55:shoguukaizen_code:"&amp;IF(I1013="■",1,IF(L1013="■",7,IF(O1013="■",8,IF(R1013="■",9,IF(U1013="■","A",0)))))</f>
        <v>55:shoguukaizen_code:0</v>
      </c>
    </row>
    <row r="1014" spans="1:36" s="3056" customFormat="1" ht="18.75" hidden="1" customHeight="1">
      <c r="A1014" s="1276"/>
      <c r="B1014" s="1405"/>
      <c r="C1014" s="1277"/>
      <c r="D1014" s="1278"/>
      <c r="E1014" s="1272"/>
      <c r="F1014" s="1279"/>
      <c r="G1014" s="1272"/>
      <c r="H1014" s="1545" t="s">
        <v>1226</v>
      </c>
      <c r="I1014" s="3119" t="s">
        <v>121</v>
      </c>
      <c r="J1014" s="1270" t="s">
        <v>1227</v>
      </c>
      <c r="K1014" s="3139"/>
      <c r="L1014" s="1334"/>
      <c r="M1014" s="3138" t="s">
        <v>121</v>
      </c>
      <c r="N1014" s="1270" t="s">
        <v>2306</v>
      </c>
      <c r="O1014" s="1334"/>
      <c r="P1014" s="1334"/>
      <c r="Q1014" s="3138" t="s">
        <v>121</v>
      </c>
      <c r="R1014" s="1270" t="s">
        <v>2305</v>
      </c>
      <c r="S1014" s="1334"/>
      <c r="T1014" s="1334"/>
      <c r="U1014" s="3138" t="s">
        <v>121</v>
      </c>
      <c r="V1014" s="1270" t="s">
        <v>2304</v>
      </c>
      <c r="W1014" s="1334"/>
      <c r="X1014" s="1336"/>
      <c r="Y1014" s="3119" t="s">
        <v>121</v>
      </c>
      <c r="Z1014" s="1270" t="s">
        <v>1229</v>
      </c>
      <c r="AA1014" s="1270"/>
      <c r="AB1014" s="1286"/>
      <c r="AC1014" s="1530"/>
      <c r="AD1014" s="1531"/>
      <c r="AE1014" s="1531"/>
      <c r="AF1014" s="1532"/>
      <c r="AG1014" s="3056" t="str">
        <f>"ser_code = '" &amp; IF(A1025="■",55,"") &amp; "'"</f>
        <v>ser_code = ''</v>
      </c>
      <c r="AH1014" s="3056" t="str">
        <f>"55:jininkbn_code:"&amp;IF(F1025="■",1,IF(F1026="■",2,0))</f>
        <v>55:jininkbn_code:0</v>
      </c>
      <c r="AI1014" s="3056" t="str">
        <f>"55:yakan_kinmu_code:" &amp; IF(I1014="■",1,IF(M1014="■",2,IF(Q1014="■",3,IF(U1014="■",7,IF(I1015="■",5,IF(M1015="■",6,0))))))</f>
        <v>55:yakan_kinmu_code:0</v>
      </c>
      <c r="AJ1014" s="3056" t="str">
        <f>"55:field203:" &amp; IF(Y1014="■",1,IF(Y1015="■",2,0))</f>
        <v>55:field203:0</v>
      </c>
    </row>
    <row r="1015" spans="1:36" s="3056" customFormat="1" ht="18.75" hidden="1" customHeight="1">
      <c r="A1015" s="735"/>
      <c r="B1015" s="1407"/>
      <c r="C1015" s="1287"/>
      <c r="D1015" s="1288"/>
      <c r="E1015" s="1275"/>
      <c r="F1015" s="1289"/>
      <c r="G1015" s="1275"/>
      <c r="H1015" s="1542"/>
      <c r="I1015" s="3063" t="s">
        <v>121</v>
      </c>
      <c r="J1015" s="1296" t="s">
        <v>2303</v>
      </c>
      <c r="K1015" s="1309"/>
      <c r="L1015" s="1403"/>
      <c r="M1015" s="3062" t="s">
        <v>121</v>
      </c>
      <c r="N1015" s="1296" t="s">
        <v>1228</v>
      </c>
      <c r="O1015" s="1403"/>
      <c r="P1015" s="1403"/>
      <c r="Q1015" s="1403"/>
      <c r="R1015" s="1403"/>
      <c r="S1015" s="1403"/>
      <c r="T1015" s="1403"/>
      <c r="U1015" s="1403"/>
      <c r="V1015" s="1403"/>
      <c r="W1015" s="1403"/>
      <c r="X1015" s="1297"/>
      <c r="Y1015" s="3069" t="s">
        <v>121</v>
      </c>
      <c r="Z1015" s="1273" t="s">
        <v>1234</v>
      </c>
      <c r="AA1015" s="1292"/>
      <c r="AB1015" s="1293"/>
      <c r="AC1015" s="1533"/>
      <c r="AD1015" s="1534"/>
      <c r="AE1015" s="1534"/>
      <c r="AF1015" s="1535"/>
      <c r="AG1015" s="3056" t="str">
        <f>"55:sisetukbn_code:" &amp; IF(D1025="■",6,0)</f>
        <v>55:sisetukbn_code:0</v>
      </c>
    </row>
    <row r="1016" spans="1:36" s="3056" customFormat="1" ht="18.75" hidden="1" customHeight="1">
      <c r="A1016" s="735"/>
      <c r="B1016" s="1407"/>
      <c r="C1016" s="1287"/>
      <c r="D1016" s="1288"/>
      <c r="E1016" s="1275"/>
      <c r="F1016" s="1289"/>
      <c r="G1016" s="1275"/>
      <c r="H1016" s="1541" t="s">
        <v>90</v>
      </c>
      <c r="I1016" s="3137" t="s">
        <v>121</v>
      </c>
      <c r="J1016" s="1290" t="s">
        <v>1230</v>
      </c>
      <c r="K1016" s="1290"/>
      <c r="L1016" s="1402"/>
      <c r="M1016" s="3136" t="s">
        <v>121</v>
      </c>
      <c r="N1016" s="1290" t="s">
        <v>1231</v>
      </c>
      <c r="O1016" s="1290"/>
      <c r="P1016" s="1402"/>
      <c r="Q1016" s="3136" t="s">
        <v>121</v>
      </c>
      <c r="R1016" s="1402" t="s">
        <v>2302</v>
      </c>
      <c r="S1016" s="1402"/>
      <c r="T1016" s="1402"/>
      <c r="U1016" s="3136" t="s">
        <v>121</v>
      </c>
      <c r="V1016" s="1402" t="s">
        <v>2301</v>
      </c>
      <c r="W1016" s="1314"/>
      <c r="X1016" s="1315"/>
      <c r="Y1016" s="1295"/>
      <c r="Z1016" s="1292"/>
      <c r="AA1016" s="1292"/>
      <c r="AB1016" s="1293"/>
      <c r="AC1016" s="1533"/>
      <c r="AD1016" s="1534"/>
      <c r="AE1016" s="1534"/>
      <c r="AF1016" s="1535"/>
      <c r="AI1016" s="3056" t="str">
        <f>"55:"&amp;IF(AND(I1016="□",M1016="□",Q1016="□",U1016="□",I1017="□",M1017="□"),"ketu_doctor_code:0",IF(I1016="■","ketu_doctor_code:1:field197:1:ketu_kangos_code:1:ketu_kshoku_code:1:ketu_ksiensou_code:1",IF(M1016="■","ketu_doctor_code:2","ketu_doctor_code:1")
&amp;IF(Q1016="■",":field197:2",":field197:1")
&amp;IF(U1016="■",":ketu_kangos_code:2",":ketu_kangos_code:1")
&amp;IF(I1017="■",":ketu_kshoku_code:2",":ketu_kshoku_code:1")
&amp;IF(M1017="■",":ketu_ksiensou_code:2",":ketu_ksiensou_code:1")))</f>
        <v>55:ketu_doctor_code:0</v>
      </c>
    </row>
    <row r="1017" spans="1:36" s="3056" customFormat="1" ht="18.75" hidden="1" customHeight="1">
      <c r="A1017" s="735"/>
      <c r="B1017" s="1407"/>
      <c r="C1017" s="1287"/>
      <c r="D1017" s="1288"/>
      <c r="E1017" s="1275"/>
      <c r="F1017" s="1289"/>
      <c r="G1017" s="1275"/>
      <c r="H1017" s="1542"/>
      <c r="I1017" s="3063" t="s">
        <v>121</v>
      </c>
      <c r="J1017" s="1403" t="s">
        <v>2300</v>
      </c>
      <c r="K1017" s="1296"/>
      <c r="L1017" s="1403"/>
      <c r="M1017" s="3062" t="s">
        <v>121</v>
      </c>
      <c r="N1017" s="1296" t="s">
        <v>2299</v>
      </c>
      <c r="O1017" s="1296"/>
      <c r="P1017" s="1403"/>
      <c r="Q1017" s="1403"/>
      <c r="R1017" s="1403"/>
      <c r="S1017" s="1403"/>
      <c r="T1017" s="1403"/>
      <c r="U1017" s="1403"/>
      <c r="V1017" s="1403"/>
      <c r="W1017" s="1330"/>
      <c r="X1017" s="1356"/>
      <c r="Y1017" s="1295"/>
      <c r="Z1017" s="1292"/>
      <c r="AA1017" s="1292"/>
      <c r="AB1017" s="1293"/>
      <c r="AC1017" s="1533"/>
      <c r="AD1017" s="1534"/>
      <c r="AE1017" s="1534"/>
      <c r="AF1017" s="1535"/>
    </row>
    <row r="1018" spans="1:36" s="3056" customFormat="1" ht="18.75" hidden="1" customHeight="1">
      <c r="A1018" s="735"/>
      <c r="B1018" s="1407"/>
      <c r="C1018" s="1287"/>
      <c r="D1018" s="1288"/>
      <c r="E1018" s="1275"/>
      <c r="F1018" s="1289"/>
      <c r="G1018" s="1275"/>
      <c r="H1018" s="1409" t="s">
        <v>91</v>
      </c>
      <c r="I1018" s="3066" t="s">
        <v>121</v>
      </c>
      <c r="J1018" s="1298" t="s">
        <v>1239</v>
      </c>
      <c r="K1018" s="1299"/>
      <c r="L1018" s="1326"/>
      <c r="M1018" s="3065" t="s">
        <v>121</v>
      </c>
      <c r="N1018" s="1298" t="s">
        <v>1240</v>
      </c>
      <c r="O1018" s="1299"/>
      <c r="P1018" s="1307"/>
      <c r="Q1018" s="1307"/>
      <c r="R1018" s="1307"/>
      <c r="S1018" s="1307"/>
      <c r="T1018" s="1307"/>
      <c r="U1018" s="1307"/>
      <c r="V1018" s="1307"/>
      <c r="W1018" s="1307"/>
      <c r="X1018" s="1308"/>
      <c r="Y1018" s="1295"/>
      <c r="Z1018" s="1292"/>
      <c r="AA1018" s="1292"/>
      <c r="AB1018" s="1293"/>
      <c r="AC1018" s="1533"/>
      <c r="AD1018" s="1534"/>
      <c r="AE1018" s="1534"/>
      <c r="AF1018" s="1535"/>
      <c r="AI1018" s="3056" t="str">
        <f>"55:unitcare_code:" &amp; IF(I1018="■",1,IF(M1018="■",2,0))</f>
        <v>55:unitcare_code:0</v>
      </c>
    </row>
    <row r="1019" spans="1:36" s="3056" customFormat="1" ht="18.75" hidden="1" customHeight="1">
      <c r="A1019" s="735"/>
      <c r="B1019" s="1407"/>
      <c r="C1019" s="1287"/>
      <c r="D1019" s="1288"/>
      <c r="E1019" s="1275"/>
      <c r="F1019" s="1289"/>
      <c r="G1019" s="1275"/>
      <c r="H1019" s="1409" t="s">
        <v>1241</v>
      </c>
      <c r="I1019" s="3066" t="s">
        <v>121</v>
      </c>
      <c r="J1019" s="1298" t="s">
        <v>1242</v>
      </c>
      <c r="K1019" s="1299"/>
      <c r="L1019" s="1326"/>
      <c r="M1019" s="3065" t="s">
        <v>121</v>
      </c>
      <c r="N1019" s="1298" t="s">
        <v>1243</v>
      </c>
      <c r="O1019" s="1307"/>
      <c r="P1019" s="1307"/>
      <c r="Q1019" s="1307"/>
      <c r="R1019" s="1307"/>
      <c r="S1019" s="1307"/>
      <c r="T1019" s="1307"/>
      <c r="U1019" s="1307"/>
      <c r="V1019" s="1307"/>
      <c r="W1019" s="1307"/>
      <c r="X1019" s="1308"/>
      <c r="Y1019" s="1295"/>
      <c r="Z1019" s="1292"/>
      <c r="AA1019" s="1292"/>
      <c r="AB1019" s="1293"/>
      <c r="AC1019" s="1533"/>
      <c r="AD1019" s="1534"/>
      <c r="AE1019" s="1534"/>
      <c r="AF1019" s="1535"/>
      <c r="AI1019" s="3056" t="str">
        <f>"55:sintaikousoku_code:" &amp; IF(I1019="■",1,IF(M1019="■",2,0))</f>
        <v>55:sintaikousoku_code:0</v>
      </c>
    </row>
    <row r="1020" spans="1:36" s="3056" customFormat="1" ht="18.75" hidden="1" customHeight="1">
      <c r="A1020" s="735"/>
      <c r="B1020" s="1407"/>
      <c r="C1020" s="1287"/>
      <c r="D1020" s="1288"/>
      <c r="E1020" s="1275"/>
      <c r="F1020" s="1289"/>
      <c r="G1020" s="1275"/>
      <c r="H1020" s="1409" t="s">
        <v>753</v>
      </c>
      <c r="I1020" s="3066" t="s">
        <v>121</v>
      </c>
      <c r="J1020" s="1298" t="s">
        <v>1242</v>
      </c>
      <c r="K1020" s="1299"/>
      <c r="L1020" s="1326"/>
      <c r="M1020" s="3065" t="s">
        <v>121</v>
      </c>
      <c r="N1020" s="1298" t="s">
        <v>1243</v>
      </c>
      <c r="O1020" s="1307"/>
      <c r="P1020" s="1307"/>
      <c r="Q1020" s="1307"/>
      <c r="R1020" s="1307"/>
      <c r="S1020" s="1307"/>
      <c r="T1020" s="1307"/>
      <c r="U1020" s="1307"/>
      <c r="V1020" s="1307"/>
      <c r="W1020" s="1307"/>
      <c r="X1020" s="1308"/>
      <c r="Y1020" s="1295"/>
      <c r="Z1020" s="1292"/>
      <c r="AA1020" s="1292"/>
      <c r="AB1020" s="1293"/>
      <c r="AC1020" s="1533"/>
      <c r="AD1020" s="1534"/>
      <c r="AE1020" s="1534"/>
      <c r="AF1020" s="1535"/>
      <c r="AI1020" s="3056" t="str">
        <f>"55:field208:" &amp; IF(I1020="■",1,IF(M1020="■",2,0))</f>
        <v>55:field208:0</v>
      </c>
    </row>
    <row r="1021" spans="1:36" s="3056" customFormat="1" ht="19.5" hidden="1" customHeight="1">
      <c r="A1021" s="735"/>
      <c r="B1021" s="1407"/>
      <c r="C1021" s="1303"/>
      <c r="D1021" s="1304"/>
      <c r="E1021" s="1275"/>
      <c r="F1021" s="1289"/>
      <c r="G1021" s="1305"/>
      <c r="H1021" s="1306" t="s">
        <v>1244</v>
      </c>
      <c r="I1021" s="3066" t="s">
        <v>121</v>
      </c>
      <c r="J1021" s="1298" t="s">
        <v>1242</v>
      </c>
      <c r="K1021" s="1299"/>
      <c r="L1021" s="1300"/>
      <c r="M1021" s="3065" t="s">
        <v>121</v>
      </c>
      <c r="N1021" s="1298" t="s">
        <v>1245</v>
      </c>
      <c r="O1021" s="1301"/>
      <c r="P1021" s="1298"/>
      <c r="Q1021" s="1307"/>
      <c r="R1021" s="1307"/>
      <c r="S1021" s="1307"/>
      <c r="T1021" s="1307"/>
      <c r="U1021" s="1307"/>
      <c r="V1021" s="1307"/>
      <c r="W1021" s="1307"/>
      <c r="X1021" s="1308"/>
      <c r="Y1021" s="1292"/>
      <c r="Z1021" s="1292"/>
      <c r="AA1021" s="1292"/>
      <c r="AB1021" s="1293"/>
      <c r="AC1021" s="1533"/>
      <c r="AD1021" s="1534"/>
      <c r="AE1021" s="1534"/>
      <c r="AF1021" s="1535"/>
      <c r="AI1021" s="3056" t="str">
        <f>"55:field223:" &amp; IF(I1021="■",1,IF(M1021="■",2,0))</f>
        <v>55:field223:0</v>
      </c>
    </row>
    <row r="1022" spans="1:36" s="3056" customFormat="1" ht="19.5" hidden="1" customHeight="1">
      <c r="A1022" s="735"/>
      <c r="B1022" s="1407"/>
      <c r="C1022" s="1303"/>
      <c r="D1022" s="1304"/>
      <c r="E1022" s="1275"/>
      <c r="F1022" s="1289"/>
      <c r="G1022" s="1305"/>
      <c r="H1022" s="1306" t="s">
        <v>1246</v>
      </c>
      <c r="I1022" s="3066" t="s">
        <v>121</v>
      </c>
      <c r="J1022" s="1298" t="s">
        <v>1242</v>
      </c>
      <c r="K1022" s="1299"/>
      <c r="L1022" s="1300"/>
      <c r="M1022" s="3065" t="s">
        <v>121</v>
      </c>
      <c r="N1022" s="1298" t="s">
        <v>1245</v>
      </c>
      <c r="O1022" s="1301"/>
      <c r="P1022" s="1298"/>
      <c r="Q1022" s="1307"/>
      <c r="R1022" s="1307"/>
      <c r="S1022" s="1307"/>
      <c r="T1022" s="1307"/>
      <c r="U1022" s="1307"/>
      <c r="V1022" s="1307"/>
      <c r="W1022" s="1307"/>
      <c r="X1022" s="1308"/>
      <c r="Y1022" s="1292"/>
      <c r="Z1022" s="1292"/>
      <c r="AA1022" s="1292"/>
      <c r="AB1022" s="1293"/>
      <c r="AC1022" s="1533"/>
      <c r="AD1022" s="1534"/>
      <c r="AE1022" s="1534"/>
      <c r="AF1022" s="1535"/>
      <c r="AI1022" s="3056" t="str">
        <f>"55:field232:" &amp; IF(I1022="■",1,IF(M1022="■",2,0))</f>
        <v>55:field232:0</v>
      </c>
    </row>
    <row r="1023" spans="1:36" s="3056" customFormat="1" ht="18.75" hidden="1" customHeight="1">
      <c r="A1023" s="735"/>
      <c r="B1023" s="1407"/>
      <c r="C1023" s="1287"/>
      <c r="D1023" s="1288"/>
      <c r="E1023" s="1275"/>
      <c r="F1023" s="1289"/>
      <c r="G1023" s="1275"/>
      <c r="H1023" s="1539" t="s">
        <v>1247</v>
      </c>
      <c r="I1023" s="3115" t="s">
        <v>121</v>
      </c>
      <c r="J1023" s="1528" t="s">
        <v>1230</v>
      </c>
      <c r="K1023" s="1528"/>
      <c r="L1023" s="3135" t="s">
        <v>121</v>
      </c>
      <c r="M1023" s="1528" t="s">
        <v>1248</v>
      </c>
      <c r="N1023" s="1528"/>
      <c r="O1023" s="1402"/>
      <c r="P1023" s="1402"/>
      <c r="Q1023" s="1402"/>
      <c r="R1023" s="1402"/>
      <c r="S1023" s="1402"/>
      <c r="T1023" s="1402"/>
      <c r="U1023" s="1402"/>
      <c r="V1023" s="1402"/>
      <c r="W1023" s="1402"/>
      <c r="X1023" s="1291"/>
      <c r="Y1023" s="1295"/>
      <c r="Z1023" s="1292"/>
      <c r="AA1023" s="1292"/>
      <c r="AB1023" s="1293"/>
      <c r="AC1023" s="1533"/>
      <c r="AD1023" s="1534"/>
      <c r="AE1023" s="1534"/>
      <c r="AF1023" s="1535"/>
      <c r="AI1023" s="3056" t="str">
        <f>"55:field206:" &amp; IF(I1023="■",1,IF(L1023="■",2,0))</f>
        <v>55:field206:0</v>
      </c>
    </row>
    <row r="1024" spans="1:36" s="3056" customFormat="1" ht="18.75" hidden="1" customHeight="1">
      <c r="A1024" s="735"/>
      <c r="B1024" s="1407"/>
      <c r="C1024" s="1287"/>
      <c r="D1024" s="1288"/>
      <c r="E1024" s="1275"/>
      <c r="F1024" s="1289"/>
      <c r="G1024" s="1275"/>
      <c r="H1024" s="1540"/>
      <c r="I1024" s="3081"/>
      <c r="J1024" s="1529"/>
      <c r="K1024" s="1529"/>
      <c r="L1024" s="3080"/>
      <c r="M1024" s="1529"/>
      <c r="N1024" s="1529"/>
      <c r="O1024" s="1403"/>
      <c r="P1024" s="1403"/>
      <c r="Q1024" s="1403"/>
      <c r="R1024" s="1403"/>
      <c r="S1024" s="1403"/>
      <c r="T1024" s="1403"/>
      <c r="U1024" s="1403"/>
      <c r="V1024" s="1403"/>
      <c r="W1024" s="1403"/>
      <c r="X1024" s="1297"/>
      <c r="Y1024" s="1295"/>
      <c r="Z1024" s="1292"/>
      <c r="AA1024" s="1292"/>
      <c r="AB1024" s="1293"/>
      <c r="AC1024" s="1533"/>
      <c r="AD1024" s="1534"/>
      <c r="AE1024" s="1534"/>
      <c r="AF1024" s="1535"/>
    </row>
    <row r="1025" spans="1:35" s="3056" customFormat="1" ht="18.75" hidden="1" customHeight="1">
      <c r="A1025" s="3069" t="s">
        <v>121</v>
      </c>
      <c r="B1025" s="1407">
        <v>55</v>
      </c>
      <c r="C1025" s="1287" t="s">
        <v>2298</v>
      </c>
      <c r="D1025" s="3069" t="s">
        <v>121</v>
      </c>
      <c r="E1025" s="1275" t="s">
        <v>2297</v>
      </c>
      <c r="F1025" s="3069" t="s">
        <v>121</v>
      </c>
      <c r="G1025" s="1275" t="s">
        <v>2296</v>
      </c>
      <c r="H1025" s="1409" t="s">
        <v>2295</v>
      </c>
      <c r="I1025" s="3066" t="s">
        <v>121</v>
      </c>
      <c r="J1025" s="1298" t="s">
        <v>2292</v>
      </c>
      <c r="K1025" s="1299"/>
      <c r="L1025" s="1300"/>
      <c r="M1025" s="3065" t="s">
        <v>121</v>
      </c>
      <c r="N1025" s="1298" t="s">
        <v>2291</v>
      </c>
      <c r="O1025" s="1307"/>
      <c r="P1025" s="1307"/>
      <c r="Q1025" s="1307"/>
      <c r="R1025" s="1307"/>
      <c r="S1025" s="1307"/>
      <c r="T1025" s="1307"/>
      <c r="U1025" s="1307"/>
      <c r="V1025" s="1307"/>
      <c r="W1025" s="1307"/>
      <c r="X1025" s="1308"/>
      <c r="Y1025" s="1295"/>
      <c r="Z1025" s="1292"/>
      <c r="AA1025" s="1292"/>
      <c r="AB1025" s="1293"/>
      <c r="AC1025" s="1533"/>
      <c r="AD1025" s="1534"/>
      <c r="AE1025" s="1534"/>
      <c r="AF1025" s="1535"/>
      <c r="AI1025" s="3056" t="str">
        <f>"55:field190:" &amp; IF(I1025="■",1,IF(M1025="■",2,0))</f>
        <v>55:field190:0</v>
      </c>
    </row>
    <row r="1026" spans="1:35" s="3056" customFormat="1" ht="18.75" hidden="1" customHeight="1">
      <c r="A1026" s="735"/>
      <c r="B1026" s="1407"/>
      <c r="C1026" s="1287"/>
      <c r="D1026" s="1288"/>
      <c r="E1026" s="1275"/>
      <c r="F1026" s="3069" t="s">
        <v>121</v>
      </c>
      <c r="G1026" s="1275" t="s">
        <v>2294</v>
      </c>
      <c r="H1026" s="1409" t="s">
        <v>2293</v>
      </c>
      <c r="I1026" s="3066" t="s">
        <v>121</v>
      </c>
      <c r="J1026" s="1298" t="s">
        <v>2292</v>
      </c>
      <c r="K1026" s="1299"/>
      <c r="L1026" s="1300"/>
      <c r="M1026" s="3065" t="s">
        <v>121</v>
      </c>
      <c r="N1026" s="1298" t="s">
        <v>2291</v>
      </c>
      <c r="O1026" s="1307"/>
      <c r="P1026" s="1307"/>
      <c r="Q1026" s="1307"/>
      <c r="R1026" s="1307"/>
      <c r="S1026" s="1307"/>
      <c r="T1026" s="1307"/>
      <c r="U1026" s="1307"/>
      <c r="V1026" s="1307"/>
      <c r="W1026" s="1307"/>
      <c r="X1026" s="1308"/>
      <c r="Y1026" s="1295"/>
      <c r="Z1026" s="1292"/>
      <c r="AA1026" s="1292"/>
      <c r="AB1026" s="1293"/>
      <c r="AC1026" s="1533"/>
      <c r="AD1026" s="1534"/>
      <c r="AE1026" s="1534"/>
      <c r="AF1026" s="1535"/>
      <c r="AI1026" s="3056" t="str">
        <f>"55:field191:" &amp; IF(I1026="■",1,IF(M1026="■",2,0))</f>
        <v>55:field191:0</v>
      </c>
    </row>
    <row r="1027" spans="1:35" s="3056" customFormat="1" ht="18.75" hidden="1" customHeight="1">
      <c r="A1027" s="735"/>
      <c r="B1027" s="1407"/>
      <c r="C1027" s="1287"/>
      <c r="D1027" s="1288"/>
      <c r="E1027" s="1275"/>
      <c r="F1027" s="1289"/>
      <c r="G1027" s="1275"/>
      <c r="H1027" s="1409" t="s">
        <v>2290</v>
      </c>
      <c r="I1027" s="3063" t="s">
        <v>121</v>
      </c>
      <c r="J1027" s="1296" t="s">
        <v>1230</v>
      </c>
      <c r="K1027" s="1309"/>
      <c r="L1027" s="3062" t="s">
        <v>121</v>
      </c>
      <c r="M1027" s="1296" t="s">
        <v>1248</v>
      </c>
      <c r="N1027" s="1299"/>
      <c r="O1027" s="1307"/>
      <c r="P1027" s="1307"/>
      <c r="Q1027" s="1307"/>
      <c r="R1027" s="1307"/>
      <c r="S1027" s="1307"/>
      <c r="T1027" s="1307"/>
      <c r="U1027" s="1307"/>
      <c r="V1027" s="1307"/>
      <c r="W1027" s="1307"/>
      <c r="X1027" s="1308"/>
      <c r="Y1027" s="1295"/>
      <c r="Z1027" s="1292"/>
      <c r="AA1027" s="1292"/>
      <c r="AB1027" s="1293"/>
      <c r="AC1027" s="1533"/>
      <c r="AD1027" s="1534"/>
      <c r="AE1027" s="1534"/>
      <c r="AF1027" s="1535"/>
      <c r="AI1027" s="3056" t="str">
        <f>"55:jyakuninti_uke_code:" &amp; IF(I1027="■",1,IF(L1027="■",2,0))</f>
        <v>55:jyakuninti_uke_code:0</v>
      </c>
    </row>
    <row r="1028" spans="1:35" s="3056" customFormat="1" ht="18.75" hidden="1" customHeight="1">
      <c r="A1028" s="735"/>
      <c r="B1028" s="1407"/>
      <c r="C1028" s="1287"/>
      <c r="D1028" s="1288"/>
      <c r="E1028" s="1275"/>
      <c r="F1028" s="1289"/>
      <c r="G1028" s="1275"/>
      <c r="H1028" s="1409" t="s">
        <v>755</v>
      </c>
      <c r="I1028" s="3063" t="s">
        <v>121</v>
      </c>
      <c r="J1028" s="1296" t="s">
        <v>1230</v>
      </c>
      <c r="K1028" s="1309"/>
      <c r="L1028" s="3062" t="s">
        <v>121</v>
      </c>
      <c r="M1028" s="1296" t="s">
        <v>1248</v>
      </c>
      <c r="N1028" s="1299"/>
      <c r="O1028" s="1307"/>
      <c r="P1028" s="1307"/>
      <c r="Q1028" s="1307"/>
      <c r="R1028" s="1307"/>
      <c r="S1028" s="1307"/>
      <c r="T1028" s="1307"/>
      <c r="U1028" s="1307"/>
      <c r="V1028" s="1307"/>
      <c r="W1028" s="1307"/>
      <c r="X1028" s="1308"/>
      <c r="Y1028" s="1295"/>
      <c r="Z1028" s="1292"/>
      <c r="AA1028" s="1292"/>
      <c r="AB1028" s="1293"/>
      <c r="AC1028" s="1533"/>
      <c r="AD1028" s="1534"/>
      <c r="AE1028" s="1534"/>
      <c r="AF1028" s="1535"/>
      <c r="AI1028" s="3056" t="str">
        <f>"55:field207:" &amp; IF(I1028="■",1,IF(L1028="■",2,0))</f>
        <v>55:field207:0</v>
      </c>
    </row>
    <row r="1029" spans="1:35" s="3056" customFormat="1" ht="18.75" hidden="1" customHeight="1">
      <c r="A1029" s="735"/>
      <c r="B1029" s="1407"/>
      <c r="C1029" s="1287"/>
      <c r="D1029" s="1288"/>
      <c r="E1029" s="1275"/>
      <c r="F1029" s="1289"/>
      <c r="G1029" s="1275"/>
      <c r="H1029" s="1409" t="s">
        <v>145</v>
      </c>
      <c r="I1029" s="3063" t="s">
        <v>121</v>
      </c>
      <c r="J1029" s="1296" t="s">
        <v>1230</v>
      </c>
      <c r="K1029" s="1309"/>
      <c r="L1029" s="3062" t="s">
        <v>121</v>
      </c>
      <c r="M1029" s="1296" t="s">
        <v>1248</v>
      </c>
      <c r="N1029" s="1299"/>
      <c r="O1029" s="1307"/>
      <c r="P1029" s="1307"/>
      <c r="Q1029" s="1307"/>
      <c r="R1029" s="1307"/>
      <c r="S1029" s="1307"/>
      <c r="T1029" s="1307"/>
      <c r="U1029" s="1307"/>
      <c r="V1029" s="1307"/>
      <c r="W1029" s="1307"/>
      <c r="X1029" s="1308"/>
      <c r="Y1029" s="1295"/>
      <c r="Z1029" s="1292"/>
      <c r="AA1029" s="1292"/>
      <c r="AB1029" s="1293"/>
      <c r="AC1029" s="1533"/>
      <c r="AD1029" s="1534"/>
      <c r="AE1029" s="1534"/>
      <c r="AF1029" s="1535"/>
      <c r="AI1029" s="3056" t="str">
        <f>"55:ryouyoushoku_code:" &amp; IF(I1029="■",1,IF(L1029="■",2,0))</f>
        <v>55:ryouyoushoku_code:0</v>
      </c>
    </row>
    <row r="1030" spans="1:35" s="3056" customFormat="1" ht="18.75" hidden="1" customHeight="1">
      <c r="A1030" s="735"/>
      <c r="B1030" s="1407"/>
      <c r="C1030" s="1287"/>
      <c r="D1030" s="1288"/>
      <c r="E1030" s="1275"/>
      <c r="F1030" s="1289"/>
      <c r="G1030" s="1275"/>
      <c r="H1030" s="1409" t="s">
        <v>1260</v>
      </c>
      <c r="I1030" s="3066" t="s">
        <v>121</v>
      </c>
      <c r="J1030" s="1298" t="s">
        <v>1230</v>
      </c>
      <c r="K1030" s="1298"/>
      <c r="L1030" s="3065" t="s">
        <v>121</v>
      </c>
      <c r="M1030" s="1298" t="s">
        <v>1256</v>
      </c>
      <c r="N1030" s="1298"/>
      <c r="O1030" s="3065" t="s">
        <v>121</v>
      </c>
      <c r="P1030" s="1298" t="s">
        <v>1257</v>
      </c>
      <c r="Q1030" s="1307"/>
      <c r="R1030" s="1299"/>
      <c r="S1030" s="1307"/>
      <c r="T1030" s="1307"/>
      <c r="U1030" s="1307"/>
      <c r="V1030" s="1307"/>
      <c r="W1030" s="1307"/>
      <c r="X1030" s="1308"/>
      <c r="Y1030" s="1295"/>
      <c r="Z1030" s="1292"/>
      <c r="AA1030" s="1292"/>
      <c r="AB1030" s="1293"/>
      <c r="AC1030" s="1533"/>
      <c r="AD1030" s="1534"/>
      <c r="AE1030" s="1534"/>
      <c r="AF1030" s="1535"/>
      <c r="AI1030" s="3056" t="str">
        <f>"55:ninti_senmoncare_code:" &amp; IF(I1030="■",1,IF(O1030="■",3,IF(L1030="■",2,0)))</f>
        <v>55:ninti_senmoncare_code:0</v>
      </c>
    </row>
    <row r="1031" spans="1:35" s="3056" customFormat="1" ht="18.75" hidden="1" customHeight="1">
      <c r="A1031" s="735"/>
      <c r="B1031" s="1407"/>
      <c r="C1031" s="1287"/>
      <c r="D1031" s="1288"/>
      <c r="E1031" s="1275"/>
      <c r="F1031" s="1289"/>
      <c r="G1031" s="1275"/>
      <c r="H1031" s="1409" t="s">
        <v>1261</v>
      </c>
      <c r="I1031" s="3066" t="s">
        <v>121</v>
      </c>
      <c r="J1031" s="1298" t="s">
        <v>1230</v>
      </c>
      <c r="K1031" s="1298"/>
      <c r="L1031" s="3065" t="s">
        <v>121</v>
      </c>
      <c r="M1031" s="1298" t="s">
        <v>1256</v>
      </c>
      <c r="N1031" s="1298"/>
      <c r="O1031" s="3065" t="s">
        <v>121</v>
      </c>
      <c r="P1031" s="1298" t="s">
        <v>1257</v>
      </c>
      <c r="Q1031" s="1299"/>
      <c r="R1031" s="1299"/>
      <c r="S1031" s="1299"/>
      <c r="T1031" s="1299"/>
      <c r="U1031" s="1299"/>
      <c r="V1031" s="1299"/>
      <c r="W1031" s="1299"/>
      <c r="X1031" s="1302"/>
      <c r="Y1031" s="1295"/>
      <c r="Z1031" s="1292"/>
      <c r="AA1031" s="1292"/>
      <c r="AB1031" s="1293"/>
      <c r="AC1031" s="1533"/>
      <c r="AD1031" s="1534"/>
      <c r="AE1031" s="1534"/>
      <c r="AF1031" s="1535"/>
      <c r="AI1031" s="3056" t="str">
        <f>"55:field228:" &amp; IF(I1031="■",1,IF(L1031="■",2,IF(O1031="■",3,0)))</f>
        <v>55:field228:0</v>
      </c>
    </row>
    <row r="1032" spans="1:35" s="3056" customFormat="1" ht="18.75" hidden="1" customHeight="1">
      <c r="A1032" s="735"/>
      <c r="B1032" s="1407"/>
      <c r="C1032" s="1287"/>
      <c r="D1032" s="1288"/>
      <c r="E1032" s="1275"/>
      <c r="F1032" s="1289"/>
      <c r="G1032" s="1275"/>
      <c r="H1032" s="1409" t="s">
        <v>2289</v>
      </c>
      <c r="I1032" s="3066" t="s">
        <v>121</v>
      </c>
      <c r="J1032" s="1298" t="s">
        <v>1230</v>
      </c>
      <c r="K1032" s="1298"/>
      <c r="L1032" s="3065" t="s">
        <v>121</v>
      </c>
      <c r="M1032" s="1298" t="s">
        <v>1256</v>
      </c>
      <c r="N1032" s="1298"/>
      <c r="O1032" s="3065" t="s">
        <v>121</v>
      </c>
      <c r="P1032" s="1298" t="s">
        <v>1257</v>
      </c>
      <c r="Q1032" s="1307"/>
      <c r="R1032" s="1298"/>
      <c r="S1032" s="1326"/>
      <c r="T1032" s="1326"/>
      <c r="U1032" s="1326"/>
      <c r="V1032" s="1326"/>
      <c r="W1032" s="1326"/>
      <c r="X1032" s="1327"/>
      <c r="Y1032" s="1295"/>
      <c r="Z1032" s="1292"/>
      <c r="AA1032" s="1292"/>
      <c r="AB1032" s="1293"/>
      <c r="AC1032" s="1533"/>
      <c r="AD1032" s="1534"/>
      <c r="AE1032" s="1534"/>
      <c r="AF1032" s="1535"/>
      <c r="AI1032" s="3056" t="str">
        <f>"55:field164:" &amp; IF(I1032="■",1,IF(L1032="■",2,IF(O1032="■",3,0)))</f>
        <v>55:field164:0</v>
      </c>
    </row>
    <row r="1033" spans="1:35" s="3056" customFormat="1" ht="18.75" hidden="1" customHeight="1">
      <c r="A1033" s="735"/>
      <c r="B1033" s="1407"/>
      <c r="C1033" s="1287"/>
      <c r="D1033" s="1288"/>
      <c r="E1033" s="1275"/>
      <c r="F1033" s="1289"/>
      <c r="G1033" s="1275"/>
      <c r="H1033" s="1409" t="s">
        <v>1288</v>
      </c>
      <c r="I1033" s="3066" t="s">
        <v>121</v>
      </c>
      <c r="J1033" s="1298" t="s">
        <v>1230</v>
      </c>
      <c r="K1033" s="1298"/>
      <c r="L1033" s="3065" t="s">
        <v>121</v>
      </c>
      <c r="M1033" s="1296" t="s">
        <v>1248</v>
      </c>
      <c r="N1033" s="1298"/>
      <c r="O1033" s="1298"/>
      <c r="P1033" s="1298"/>
      <c r="Q1033" s="1299"/>
      <c r="R1033" s="1299"/>
      <c r="S1033" s="1299"/>
      <c r="T1033" s="1299"/>
      <c r="U1033" s="1299"/>
      <c r="V1033" s="1299"/>
      <c r="W1033" s="1299"/>
      <c r="X1033" s="1302"/>
      <c r="Y1033" s="1295"/>
      <c r="Z1033" s="1292"/>
      <c r="AA1033" s="1292"/>
      <c r="AB1033" s="1293"/>
      <c r="AC1033" s="1533"/>
      <c r="AD1033" s="1534"/>
      <c r="AE1033" s="1534"/>
      <c r="AF1033" s="1535"/>
      <c r="AI1033" s="3056" t="str">
        <f>"55:field226:" &amp; IF(I1033="■",1,IF(L1033="■",2,0))</f>
        <v>55:field226:0</v>
      </c>
    </row>
    <row r="1034" spans="1:35" s="3056" customFormat="1" ht="18.75" hidden="1" customHeight="1">
      <c r="A1034" s="735"/>
      <c r="B1034" s="1407"/>
      <c r="C1034" s="1287"/>
      <c r="D1034" s="1288"/>
      <c r="E1034" s="1275"/>
      <c r="F1034" s="1289"/>
      <c r="G1034" s="1275"/>
      <c r="H1034" s="1409" t="s">
        <v>1289</v>
      </c>
      <c r="I1034" s="3066" t="s">
        <v>121</v>
      </c>
      <c r="J1034" s="1298" t="s">
        <v>1230</v>
      </c>
      <c r="K1034" s="1298"/>
      <c r="L1034" s="3065" t="s">
        <v>121</v>
      </c>
      <c r="M1034" s="1296" t="s">
        <v>1248</v>
      </c>
      <c r="N1034" s="1298"/>
      <c r="O1034" s="1298"/>
      <c r="P1034" s="1298"/>
      <c r="Q1034" s="1299"/>
      <c r="R1034" s="1299"/>
      <c r="S1034" s="1299"/>
      <c r="T1034" s="1299"/>
      <c r="U1034" s="1299"/>
      <c r="V1034" s="1299"/>
      <c r="W1034" s="1299"/>
      <c r="X1034" s="1302"/>
      <c r="Y1034" s="1295"/>
      <c r="Z1034" s="1292"/>
      <c r="AA1034" s="1292"/>
      <c r="AB1034" s="1293"/>
      <c r="AC1034" s="1533"/>
      <c r="AD1034" s="1534"/>
      <c r="AE1034" s="1534"/>
      <c r="AF1034" s="1535"/>
      <c r="AI1034" s="3056" t="str">
        <f>"55:field227:" &amp; IF(I1034="■",1,IF(L1034="■",2,0))</f>
        <v>55:field227:0</v>
      </c>
    </row>
    <row r="1035" spans="1:35" s="3056" customFormat="1" ht="18.75" hidden="1" customHeight="1">
      <c r="A1035" s="735"/>
      <c r="B1035" s="1407"/>
      <c r="C1035" s="1287"/>
      <c r="D1035" s="1288"/>
      <c r="E1035" s="1275"/>
      <c r="F1035" s="1289"/>
      <c r="G1035" s="1275"/>
      <c r="H1035" s="1313" t="s">
        <v>1265</v>
      </c>
      <c r="I1035" s="3066" t="s">
        <v>121</v>
      </c>
      <c r="J1035" s="1298" t="s">
        <v>1230</v>
      </c>
      <c r="K1035" s="1298"/>
      <c r="L1035" s="3065" t="s">
        <v>121</v>
      </c>
      <c r="M1035" s="1298" t="s">
        <v>1256</v>
      </c>
      <c r="N1035" s="1298"/>
      <c r="O1035" s="3065" t="s">
        <v>121</v>
      </c>
      <c r="P1035" s="1298" t="s">
        <v>1257</v>
      </c>
      <c r="Q1035" s="1307"/>
      <c r="R1035" s="1307"/>
      <c r="S1035" s="1307"/>
      <c r="T1035" s="1307"/>
      <c r="U1035" s="1314"/>
      <c r="V1035" s="1314"/>
      <c r="W1035" s="1314"/>
      <c r="X1035" s="1315"/>
      <c r="Y1035" s="1295"/>
      <c r="Z1035" s="1292"/>
      <c r="AA1035" s="1292"/>
      <c r="AB1035" s="1293"/>
      <c r="AC1035" s="1533"/>
      <c r="AD1035" s="1534"/>
      <c r="AE1035" s="1534"/>
      <c r="AF1035" s="1535"/>
      <c r="AI1035" s="3056" t="str">
        <f>"55:field225:" &amp; IF(I1035="■",1,IF(L1035="■",2,IF(O1035="■",3,0)))</f>
        <v>55:field225:0</v>
      </c>
    </row>
    <row r="1036" spans="1:35" s="3056" customFormat="1" ht="18.75" hidden="1" customHeight="1">
      <c r="A1036" s="735"/>
      <c r="B1036" s="1407"/>
      <c r="C1036" s="1287"/>
      <c r="D1036" s="1288"/>
      <c r="E1036" s="1275"/>
      <c r="F1036" s="1289"/>
      <c r="G1036" s="1275"/>
      <c r="H1036" s="1409" t="s">
        <v>1266</v>
      </c>
      <c r="I1036" s="3066" t="s">
        <v>121</v>
      </c>
      <c r="J1036" s="1298" t="s">
        <v>1230</v>
      </c>
      <c r="K1036" s="1298"/>
      <c r="L1036" s="3065" t="s">
        <v>121</v>
      </c>
      <c r="M1036" s="1298" t="s">
        <v>1267</v>
      </c>
      <c r="N1036" s="1298"/>
      <c r="O1036" s="3065" t="s">
        <v>121</v>
      </c>
      <c r="P1036" s="1298" t="s">
        <v>1268</v>
      </c>
      <c r="Q1036" s="1326"/>
      <c r="R1036" s="3065" t="s">
        <v>121</v>
      </c>
      <c r="S1036" s="1298" t="s">
        <v>1269</v>
      </c>
      <c r="T1036" s="1298"/>
      <c r="U1036" s="1298"/>
      <c r="V1036" s="1326"/>
      <c r="W1036" s="1326"/>
      <c r="X1036" s="1327"/>
      <c r="Y1036" s="1295"/>
      <c r="Z1036" s="1292"/>
      <c r="AA1036" s="1292"/>
      <c r="AB1036" s="1293"/>
      <c r="AC1036" s="1533"/>
      <c r="AD1036" s="1534"/>
      <c r="AE1036" s="1534"/>
      <c r="AF1036" s="1535"/>
      <c r="AI1036" s="3056" t="str">
        <f>"55:serteikyo_kyoka_code:" &amp; IF(I1036="■",1,IF(L1036="■",6,IF(O1036="■",5,IF(R1036="■",7,0))))</f>
        <v>55:serteikyo_kyoka_code:0</v>
      </c>
    </row>
    <row r="1037" spans="1:35" s="3056" customFormat="1" ht="18.75" hidden="1" customHeight="1">
      <c r="A1037" s="736"/>
      <c r="B1037" s="1316"/>
      <c r="C1037" s="1346"/>
      <c r="D1037" s="1348"/>
      <c r="E1037" s="1317"/>
      <c r="F1037" s="1318"/>
      <c r="G1037" s="1361"/>
      <c r="H1037" s="3134" t="s">
        <v>2288</v>
      </c>
      <c r="I1037" s="3060" t="s">
        <v>121</v>
      </c>
      <c r="J1037" s="3130" t="s">
        <v>1230</v>
      </c>
      <c r="K1037" s="3130"/>
      <c r="L1037" s="3059" t="s">
        <v>121</v>
      </c>
      <c r="M1037" s="3130" t="s">
        <v>2287</v>
      </c>
      <c r="N1037" s="3133"/>
      <c r="O1037" s="3059" t="s">
        <v>121</v>
      </c>
      <c r="P1037" s="3132" t="s">
        <v>2286</v>
      </c>
      <c r="Q1037" s="3131"/>
      <c r="R1037" s="3059" t="s">
        <v>121</v>
      </c>
      <c r="S1037" s="3130" t="s">
        <v>2285</v>
      </c>
      <c r="T1037" s="3131"/>
      <c r="U1037" s="3059" t="s">
        <v>121</v>
      </c>
      <c r="V1037" s="3130" t="s">
        <v>2284</v>
      </c>
      <c r="W1037" s="3129"/>
      <c r="X1037" s="3128"/>
      <c r="Y1037" s="1323"/>
      <c r="Z1037" s="1323"/>
      <c r="AA1037" s="1323"/>
      <c r="AB1037" s="1324"/>
      <c r="AC1037" s="1536"/>
      <c r="AD1037" s="1537"/>
      <c r="AE1037" s="1537"/>
      <c r="AF1037" s="1538"/>
      <c r="AI1037" s="3056" t="str">
        <f>"55:shoguukaizen_code:"&amp;IF(I1037="■",1,IF(L1037="■",7,IF(O1037="■",8,IF(R1037="■",9,IF(U1037="■","A",0)))))</f>
        <v>55:shoguukaizen_code:0</v>
      </c>
    </row>
    <row r="1038" spans="1:35" s="3056" customFormat="1" ht="20.25" customHeight="1">
      <c r="A1038" s="1406"/>
      <c r="B1038" s="1406"/>
      <c r="C1038" s="1412"/>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row>
    <row r="1039" spans="1:35" s="3056" customFormat="1" ht="36" customHeight="1">
      <c r="A1039" s="1571" t="s">
        <v>2283</v>
      </c>
      <c r="B1039" s="1571"/>
      <c r="C1039" s="1571"/>
      <c r="D1039" s="1571"/>
      <c r="E1039" s="1571"/>
      <c r="F1039" s="1571"/>
      <c r="G1039" s="1571"/>
      <c r="H1039" s="1571"/>
      <c r="I1039" s="1571"/>
      <c r="J1039" s="1571"/>
      <c r="K1039" s="1571"/>
      <c r="L1039" s="1571"/>
      <c r="M1039" s="1571"/>
      <c r="N1039" s="1571"/>
      <c r="O1039" s="1571"/>
      <c r="P1039" s="1571"/>
      <c r="Q1039" s="1571"/>
      <c r="R1039" s="1571"/>
      <c r="S1039" s="1571"/>
      <c r="T1039" s="1571"/>
      <c r="U1039" s="1571"/>
      <c r="V1039" s="1571"/>
      <c r="W1039" s="1571"/>
      <c r="X1039" s="1571"/>
      <c r="Y1039" s="1571"/>
      <c r="Z1039" s="1571"/>
      <c r="AA1039" s="1571"/>
      <c r="AB1039" s="1571"/>
      <c r="AC1039" s="1571"/>
      <c r="AD1039" s="1571"/>
      <c r="AE1039" s="1571"/>
      <c r="AF1039" s="1571"/>
    </row>
    <row r="1040" spans="1:35" s="3056" customFormat="1" ht="20.25" customHeight="1">
      <c r="A1040" s="1406"/>
      <c r="B1040" s="1406"/>
      <c r="C1040" s="1412"/>
      <c r="D1040" s="1412"/>
      <c r="E1040" s="1412"/>
      <c r="F1040" s="1412"/>
      <c r="G1040" s="1412"/>
      <c r="H1040" s="1412"/>
      <c r="I1040" s="1412"/>
      <c r="J1040" s="1412"/>
      <c r="K1040" s="1412"/>
      <c r="L1040" s="1412"/>
      <c r="M1040" s="1412"/>
      <c r="N1040" s="1412"/>
      <c r="O1040" s="1412"/>
      <c r="P1040" s="1412"/>
      <c r="Q1040" s="1412"/>
      <c r="R1040" s="1412"/>
      <c r="S1040" s="1412"/>
      <c r="T1040" s="1412"/>
      <c r="U1040" s="1412"/>
      <c r="V1040" s="1412"/>
      <c r="W1040" s="1412"/>
      <c r="X1040" s="1412"/>
      <c r="Y1040" s="1412"/>
      <c r="Z1040" s="1412"/>
      <c r="AA1040" s="1412"/>
      <c r="AB1040" s="1412"/>
      <c r="AC1040" s="1412"/>
      <c r="AD1040" s="1412"/>
      <c r="AE1040" s="1412"/>
      <c r="AF1040" s="1412"/>
      <c r="AG1040" s="3056" t="s">
        <v>2282</v>
      </c>
    </row>
    <row r="1041" spans="1:35" s="3056" customFormat="1" ht="30" customHeight="1">
      <c r="A1041" s="1406"/>
      <c r="B1041" s="1406"/>
      <c r="C1041" s="1412"/>
      <c r="D1041" s="1412"/>
      <c r="E1041" s="1412"/>
      <c r="F1041" s="1412"/>
      <c r="G1041" s="1412"/>
      <c r="H1041" s="1412"/>
      <c r="I1041" s="1412"/>
      <c r="J1041" s="1412"/>
      <c r="K1041" s="1412"/>
      <c r="L1041" s="1412"/>
      <c r="M1041" s="1412"/>
      <c r="N1041" s="1412"/>
      <c r="O1041" s="1412"/>
      <c r="P1041" s="1412"/>
      <c r="Q1041" s="1412"/>
      <c r="R1041" s="1412"/>
      <c r="S1041" s="1572" t="s">
        <v>1211</v>
      </c>
      <c r="T1041" s="1573"/>
      <c r="U1041" s="1573"/>
      <c r="V1041" s="1574"/>
      <c r="W1041" s="1268"/>
      <c r="X1041" s="1269"/>
      <c r="Y1041" s="1269"/>
      <c r="Z1041" s="1269"/>
      <c r="AA1041" s="1269"/>
      <c r="AB1041" s="1269"/>
      <c r="AC1041" s="1269"/>
      <c r="AD1041" s="1269"/>
      <c r="AE1041" s="1269"/>
      <c r="AF1041" s="1398"/>
      <c r="AG1041" s="3056" t="str">
        <f>"kaigo_num='" &amp;W1041&amp;X1041&amp;Y1041&amp;Z1041&amp;AA1041&amp;AB1041&amp;AC1041&amp;AD1041&amp;AE1041&amp;AF1041&amp; "'"</f>
        <v>kaigo_num=''</v>
      </c>
    </row>
    <row r="1042" spans="1:35" s="3056" customFormat="1" ht="20.25" customHeight="1">
      <c r="A1042" s="1406"/>
      <c r="B1042" s="1406"/>
      <c r="C1042" s="1412"/>
      <c r="D1042" s="1412"/>
      <c r="E1042" s="1412"/>
      <c r="F1042" s="1412"/>
      <c r="G1042" s="1412"/>
      <c r="H1042" s="1412"/>
      <c r="I1042" s="1412"/>
      <c r="J1042" s="1412"/>
      <c r="K1042" s="1412"/>
      <c r="L1042" s="1412"/>
      <c r="M1042" s="1412"/>
      <c r="N1042" s="1412"/>
      <c r="O1042" s="1412"/>
      <c r="P1042" s="1412"/>
      <c r="Q1042" s="1412"/>
      <c r="R1042" s="1412"/>
      <c r="S1042" s="1412"/>
      <c r="T1042" s="1412"/>
      <c r="U1042" s="1412"/>
      <c r="V1042" s="1412"/>
      <c r="W1042" s="1412"/>
      <c r="X1042" s="1412"/>
      <c r="Y1042" s="1412"/>
      <c r="Z1042" s="1412"/>
      <c r="AA1042" s="1412"/>
      <c r="AB1042" s="1412"/>
      <c r="AC1042" s="1412"/>
      <c r="AD1042" s="1412"/>
      <c r="AE1042" s="1412"/>
      <c r="AF1042" s="1412"/>
    </row>
    <row r="1043" spans="1:35" s="3056" customFormat="1" ht="18" customHeight="1">
      <c r="A1043" s="1572" t="s">
        <v>2281</v>
      </c>
      <c r="B1043" s="1573"/>
      <c r="C1043" s="1574"/>
      <c r="D1043" s="1572" t="s">
        <v>1</v>
      </c>
      <c r="E1043" s="1574"/>
      <c r="F1043" s="1572" t="s">
        <v>1213</v>
      </c>
      <c r="G1043" s="1574"/>
      <c r="H1043" s="1572" t="s">
        <v>1214</v>
      </c>
      <c r="I1043" s="1573"/>
      <c r="J1043" s="1573"/>
      <c r="K1043" s="1573"/>
      <c r="L1043" s="1573"/>
      <c r="M1043" s="1573"/>
      <c r="N1043" s="1573"/>
      <c r="O1043" s="1573"/>
      <c r="P1043" s="1573"/>
      <c r="Q1043" s="1573"/>
      <c r="R1043" s="1573"/>
      <c r="S1043" s="1573"/>
      <c r="T1043" s="1573"/>
      <c r="U1043" s="1573"/>
      <c r="V1043" s="1573"/>
      <c r="W1043" s="1573"/>
      <c r="X1043" s="1573"/>
      <c r="Y1043" s="1573"/>
      <c r="Z1043" s="1573"/>
      <c r="AA1043" s="1573"/>
      <c r="AB1043" s="1573"/>
      <c r="AC1043" s="1573"/>
      <c r="AD1043" s="1573"/>
      <c r="AE1043" s="1573"/>
      <c r="AF1043" s="1574"/>
    </row>
    <row r="1044" spans="1:35" s="3056" customFormat="1" ht="18.75" customHeight="1">
      <c r="A1044" s="1565" t="s">
        <v>1216</v>
      </c>
      <c r="B1044" s="1566"/>
      <c r="C1044" s="1567"/>
      <c r="D1044" s="1404"/>
      <c r="E1044" s="1336"/>
      <c r="F1044" s="1335"/>
      <c r="G1044" s="1336"/>
      <c r="H1044" s="1545" t="s">
        <v>1217</v>
      </c>
      <c r="I1044" s="3122" t="s">
        <v>121</v>
      </c>
      <c r="J1044" s="1270" t="s">
        <v>1218</v>
      </c>
      <c r="K1044" s="1271"/>
      <c r="L1044" s="1271"/>
      <c r="M1044" s="3122" t="s">
        <v>121</v>
      </c>
      <c r="N1044" s="1270" t="s">
        <v>1219</v>
      </c>
      <c r="O1044" s="1271"/>
      <c r="P1044" s="1271"/>
      <c r="Q1044" s="3122" t="s">
        <v>121</v>
      </c>
      <c r="R1044" s="1270" t="s">
        <v>1220</v>
      </c>
      <c r="S1044" s="1271"/>
      <c r="T1044" s="1271"/>
      <c r="U1044" s="3122" t="s">
        <v>121</v>
      </c>
      <c r="V1044" s="1270" t="s">
        <v>1221</v>
      </c>
      <c r="W1044" s="1271"/>
      <c r="X1044" s="1271"/>
      <c r="Y1044" s="1270"/>
      <c r="Z1044" s="1270"/>
      <c r="AA1044" s="1270"/>
      <c r="AB1044" s="1270"/>
      <c r="AC1044" s="1270"/>
      <c r="AD1044" s="1270"/>
      <c r="AE1044" s="1270"/>
      <c r="AF1044" s="1351"/>
      <c r="AG1044" s="3056" t="str">
        <f>"tiikikbn_code:"&amp; IF(I1044="■",1,IF(M1044="■",6,IF(Q1044="■",7,IF(U1044="■",2,IF(I1045="■",3,IF(M1045="■",4,IF(Q1045="■",9,IF(U1045="■",5,0))))))))</f>
        <v>tiikikbn_code:0</v>
      </c>
    </row>
    <row r="1045" spans="1:35" s="3056" customFormat="1" ht="18.75" customHeight="1">
      <c r="A1045" s="3127"/>
      <c r="B1045" s="3126"/>
      <c r="C1045" s="3125"/>
      <c r="D1045" s="3124"/>
      <c r="E1045" s="1349"/>
      <c r="F1045" s="1348"/>
      <c r="G1045" s="1349"/>
      <c r="H1045" s="3123"/>
      <c r="I1045" s="3078" t="s">
        <v>121</v>
      </c>
      <c r="J1045" s="3075" t="s">
        <v>1222</v>
      </c>
      <c r="K1045" s="3121"/>
      <c r="L1045" s="3121"/>
      <c r="M1045" s="3122" t="s">
        <v>121</v>
      </c>
      <c r="N1045" s="3075" t="s">
        <v>1223</v>
      </c>
      <c r="O1045" s="3121"/>
      <c r="P1045" s="3121"/>
      <c r="Q1045" s="3122" t="s">
        <v>121</v>
      </c>
      <c r="R1045" s="3075" t="s">
        <v>1224</v>
      </c>
      <c r="S1045" s="3121"/>
      <c r="T1045" s="3121"/>
      <c r="U1045" s="3122" t="s">
        <v>121</v>
      </c>
      <c r="V1045" s="3075" t="s">
        <v>1225</v>
      </c>
      <c r="W1045" s="3121"/>
      <c r="X1045" s="3121"/>
      <c r="Y1045" s="1347"/>
      <c r="Z1045" s="1347"/>
      <c r="AA1045" s="1347"/>
      <c r="AB1045" s="1347"/>
      <c r="AC1045" s="1347"/>
      <c r="AD1045" s="1347"/>
      <c r="AE1045" s="1347"/>
      <c r="AF1045" s="1349"/>
    </row>
    <row r="1046" spans="1:35" s="3056" customFormat="1" ht="18.75" hidden="1" customHeight="1">
      <c r="A1046" s="1276"/>
      <c r="B1046" s="1405"/>
      <c r="C1046" s="1333"/>
      <c r="D1046" s="1335"/>
      <c r="E1046" s="1272"/>
      <c r="F1046" s="1279"/>
      <c r="G1046" s="1351"/>
      <c r="H1046" s="3120" t="s">
        <v>2280</v>
      </c>
      <c r="I1046" s="3119" t="s">
        <v>121</v>
      </c>
      <c r="J1046" s="1270" t="s">
        <v>2279</v>
      </c>
      <c r="K1046" s="3118"/>
      <c r="L1046" s="3118"/>
      <c r="M1046" s="3118"/>
      <c r="N1046" s="3118"/>
      <c r="O1046" s="3118"/>
      <c r="P1046" s="3118"/>
      <c r="Q1046" s="3118"/>
      <c r="R1046" s="3118"/>
      <c r="S1046" s="3118"/>
      <c r="T1046" s="3118"/>
      <c r="U1046" s="3118"/>
      <c r="V1046" s="3118"/>
      <c r="W1046" s="3118"/>
      <c r="X1046" s="3118"/>
      <c r="Y1046" s="3118"/>
      <c r="Z1046" s="3118"/>
      <c r="AA1046" s="3118"/>
      <c r="AB1046" s="3118"/>
      <c r="AC1046" s="3118"/>
      <c r="AD1046" s="3118"/>
      <c r="AE1046" s="3118"/>
      <c r="AF1046" s="3117"/>
      <c r="AG1046" s="3056" t="str">
        <f>"ser_code = '" &amp; IF(A1057="■","11S","") &amp; "'"</f>
        <v>ser_code = ''</v>
      </c>
      <c r="AI1046" s="3056" t="str">
        <f>"11S:sintaikaigo_taisei_code:" &amp; IF(I1046="■",1,IF(I1047="■",2,IF(I1048="■",3,0)))</f>
        <v>11S:sintaikaigo_taisei_code:0</v>
      </c>
    </row>
    <row r="1047" spans="1:35" s="3056" customFormat="1" ht="18.75" hidden="1" customHeight="1">
      <c r="A1047" s="735"/>
      <c r="B1047" s="1407"/>
      <c r="C1047" s="1303"/>
      <c r="D1047" s="1304"/>
      <c r="E1047" s="1275"/>
      <c r="F1047" s="1289"/>
      <c r="G1047" s="1305"/>
      <c r="H1047" s="3101"/>
      <c r="I1047" s="3069" t="s">
        <v>121</v>
      </c>
      <c r="J1047" s="1412" t="s">
        <v>2278</v>
      </c>
      <c r="K1047" s="3100"/>
      <c r="L1047" s="3100"/>
      <c r="M1047" s="3100"/>
      <c r="N1047" s="3100"/>
      <c r="O1047" s="3100"/>
      <c r="P1047" s="3100"/>
      <c r="Q1047" s="3100"/>
      <c r="R1047" s="3100"/>
      <c r="S1047" s="3100"/>
      <c r="T1047" s="3100"/>
      <c r="U1047" s="3100"/>
      <c r="V1047" s="3100"/>
      <c r="W1047" s="3100"/>
      <c r="X1047" s="3100"/>
      <c r="Y1047" s="3100"/>
      <c r="Z1047" s="3100"/>
      <c r="AA1047" s="3100"/>
      <c r="AB1047" s="3100"/>
      <c r="AC1047" s="3100"/>
      <c r="AD1047" s="3100"/>
      <c r="AE1047" s="3100"/>
      <c r="AF1047" s="3099"/>
      <c r="AG1047" s="3056" t="str">
        <f>"11S:sisetukbn_code:" &amp; IF(AND(D1056="■",D1057="■",D1058="■"),"1;2;3",IF(AND(D1056="■",D1057="■"),"1;2",0))</f>
        <v>11S:sisetukbn_code:0</v>
      </c>
    </row>
    <row r="1048" spans="1:35" s="3056" customFormat="1" ht="18.75" hidden="1" customHeight="1">
      <c r="A1048" s="735"/>
      <c r="B1048" s="1407"/>
      <c r="C1048" s="1303"/>
      <c r="D1048" s="1304"/>
      <c r="E1048" s="1275"/>
      <c r="F1048" s="1289"/>
      <c r="G1048" s="1305"/>
      <c r="H1048" s="3103"/>
      <c r="I1048" s="3063" t="s">
        <v>121</v>
      </c>
      <c r="J1048" s="1403" t="s">
        <v>2277</v>
      </c>
      <c r="K1048" s="1330"/>
      <c r="L1048" s="1330"/>
      <c r="M1048" s="1330"/>
      <c r="N1048" s="1330"/>
      <c r="O1048" s="1330"/>
      <c r="P1048" s="1330"/>
      <c r="Q1048" s="1330"/>
      <c r="R1048" s="1330"/>
      <c r="S1048" s="1330"/>
      <c r="T1048" s="1330"/>
      <c r="U1048" s="1330"/>
      <c r="V1048" s="1330"/>
      <c r="W1048" s="1330"/>
      <c r="X1048" s="1330"/>
      <c r="Y1048" s="1330"/>
      <c r="Z1048" s="1330"/>
      <c r="AA1048" s="1330"/>
      <c r="AB1048" s="1330"/>
      <c r="AC1048" s="1330"/>
      <c r="AD1048" s="1330"/>
      <c r="AE1048" s="1330"/>
      <c r="AF1048" s="1356"/>
    </row>
    <row r="1049" spans="1:35" s="3056" customFormat="1" ht="19.5" hidden="1" customHeight="1">
      <c r="A1049" s="735"/>
      <c r="B1049" s="1407"/>
      <c r="C1049" s="1303"/>
      <c r="D1049" s="1304"/>
      <c r="E1049" s="1275"/>
      <c r="F1049" s="1289"/>
      <c r="G1049" s="1305"/>
      <c r="H1049" s="1306" t="s">
        <v>1244</v>
      </c>
      <c r="I1049" s="3066" t="s">
        <v>121</v>
      </c>
      <c r="J1049" s="1298" t="s">
        <v>1242</v>
      </c>
      <c r="K1049" s="1299"/>
      <c r="L1049" s="1300"/>
      <c r="M1049" s="3065" t="s">
        <v>121</v>
      </c>
      <c r="N1049" s="1298" t="s">
        <v>1245</v>
      </c>
      <c r="O1049" s="1298"/>
      <c r="P1049" s="1298"/>
      <c r="Q1049" s="1307"/>
      <c r="R1049" s="1307"/>
      <c r="S1049" s="1307"/>
      <c r="T1049" s="1307"/>
      <c r="U1049" s="1307"/>
      <c r="V1049" s="1307"/>
      <c r="W1049" s="1307"/>
      <c r="X1049" s="1307"/>
      <c r="Y1049" s="1307"/>
      <c r="Z1049" s="1307"/>
      <c r="AA1049" s="1307"/>
      <c r="AB1049" s="1307"/>
      <c r="AC1049" s="1307"/>
      <c r="AD1049" s="1307"/>
      <c r="AE1049" s="1307"/>
      <c r="AF1049" s="1293"/>
      <c r="AI1049" s="3056" t="str">
        <f>"11S:field223:" &amp; IF(I1049="■",1,IF(M1049="■",2,0))</f>
        <v>11S:field223:0</v>
      </c>
    </row>
    <row r="1050" spans="1:35" s="3056" customFormat="1" ht="19.5" hidden="1" customHeight="1">
      <c r="A1050" s="735"/>
      <c r="B1050" s="1407"/>
      <c r="C1050" s="1303"/>
      <c r="D1050" s="1304"/>
      <c r="E1050" s="1275"/>
      <c r="F1050" s="1289"/>
      <c r="G1050" s="1305"/>
      <c r="H1050" s="3097" t="s">
        <v>1246</v>
      </c>
      <c r="I1050" s="3096" t="s">
        <v>121</v>
      </c>
      <c r="J1050" s="3091" t="s">
        <v>1242</v>
      </c>
      <c r="K1050" s="3095"/>
      <c r="L1050" s="3094"/>
      <c r="M1050" s="3093" t="s">
        <v>121</v>
      </c>
      <c r="N1050" s="3091" t="s">
        <v>1245</v>
      </c>
      <c r="O1050" s="3092"/>
      <c r="P1050" s="3091"/>
      <c r="Q1050" s="3089"/>
      <c r="R1050" s="3089"/>
      <c r="S1050" s="3089"/>
      <c r="T1050" s="3089"/>
      <c r="U1050" s="3089"/>
      <c r="V1050" s="3089"/>
      <c r="W1050" s="3089"/>
      <c r="X1050" s="3089"/>
      <c r="Y1050" s="3090"/>
      <c r="Z1050" s="3090"/>
      <c r="AA1050" s="3090"/>
      <c r="AB1050" s="3090"/>
      <c r="AC1050" s="3116"/>
      <c r="AD1050" s="3116"/>
      <c r="AE1050" s="3116"/>
      <c r="AF1050" s="3088"/>
      <c r="AI1050" s="3056" t="str">
        <f>"11S:field232:" &amp; IF(I1050="■",1,IF(M1050="■",2,0))</f>
        <v>11S:field232:0</v>
      </c>
    </row>
    <row r="1051" spans="1:35" s="3056" customFormat="1" ht="18.75" hidden="1" customHeight="1">
      <c r="A1051" s="735"/>
      <c r="B1051" s="1407"/>
      <c r="C1051" s="1303"/>
      <c r="D1051" s="1304"/>
      <c r="E1051" s="1275"/>
      <c r="F1051" s="1289"/>
      <c r="G1051" s="1305"/>
      <c r="H1051" s="3102" t="s">
        <v>2276</v>
      </c>
      <c r="I1051" s="3071" t="s">
        <v>121</v>
      </c>
      <c r="J1051" s="1559" t="s">
        <v>1230</v>
      </c>
      <c r="K1051" s="1559"/>
      <c r="L1051" s="3071" t="s">
        <v>121</v>
      </c>
      <c r="M1051" s="1559" t="s">
        <v>1248</v>
      </c>
      <c r="N1051" s="1559"/>
      <c r="O1051" s="1402"/>
      <c r="P1051" s="1402"/>
      <c r="Q1051" s="1402"/>
      <c r="R1051" s="1402"/>
      <c r="S1051" s="1402"/>
      <c r="T1051" s="1402"/>
      <c r="U1051" s="1402"/>
      <c r="V1051" s="1402"/>
      <c r="W1051" s="1402"/>
      <c r="X1051" s="1402"/>
      <c r="Y1051" s="1402"/>
      <c r="Z1051" s="1402"/>
      <c r="AA1051" s="1402"/>
      <c r="AB1051" s="1402"/>
      <c r="AC1051" s="1402"/>
      <c r="AD1051" s="1402"/>
      <c r="AE1051" s="1402"/>
      <c r="AF1051" s="1291"/>
      <c r="AI1051" s="3056" t="str">
        <f>"11S:field179:" &amp; IF(I1051="■",1,IF(L1051="■",2,0))</f>
        <v>11S:field179:0</v>
      </c>
    </row>
    <row r="1052" spans="1:35" s="3056" customFormat="1" ht="18.75" hidden="1" customHeight="1">
      <c r="A1052" s="735"/>
      <c r="B1052" s="1407"/>
      <c r="C1052" s="1303"/>
      <c r="D1052" s="1304"/>
      <c r="E1052" s="1275"/>
      <c r="F1052" s="1289"/>
      <c r="G1052" s="1305"/>
      <c r="H1052" s="3103"/>
      <c r="I1052" s="3070"/>
      <c r="J1052" s="1529"/>
      <c r="K1052" s="1529"/>
      <c r="L1052" s="3070"/>
      <c r="M1052" s="1529"/>
      <c r="N1052" s="1529"/>
      <c r="O1052" s="1403"/>
      <c r="P1052" s="1403"/>
      <c r="Q1052" s="1403"/>
      <c r="R1052" s="1403"/>
      <c r="S1052" s="1403"/>
      <c r="T1052" s="1403"/>
      <c r="U1052" s="1403"/>
      <c r="V1052" s="1403"/>
      <c r="W1052" s="1403"/>
      <c r="X1052" s="1403"/>
      <c r="Y1052" s="1403"/>
      <c r="Z1052" s="1403"/>
      <c r="AA1052" s="1403"/>
      <c r="AB1052" s="1403"/>
      <c r="AC1052" s="1403"/>
      <c r="AD1052" s="1403"/>
      <c r="AE1052" s="1403"/>
      <c r="AF1052" s="1297"/>
    </row>
    <row r="1053" spans="1:35" s="3056" customFormat="1" ht="18.75" hidden="1" customHeight="1">
      <c r="A1053" s="735"/>
      <c r="B1053" s="1407"/>
      <c r="C1053" s="1303"/>
      <c r="D1053" s="1304"/>
      <c r="E1053" s="1275"/>
      <c r="F1053" s="1289"/>
      <c r="G1053" s="1305"/>
      <c r="H1053" s="3102" t="s">
        <v>2275</v>
      </c>
      <c r="I1053" s="3071" t="s">
        <v>121</v>
      </c>
      <c r="J1053" s="1559" t="s">
        <v>1230</v>
      </c>
      <c r="K1053" s="1559"/>
      <c r="L1053" s="3071" t="s">
        <v>121</v>
      </c>
      <c r="M1053" s="1559" t="s">
        <v>1248</v>
      </c>
      <c r="N1053" s="1559"/>
      <c r="O1053" s="1402"/>
      <c r="P1053" s="1402"/>
      <c r="Q1053" s="1402"/>
      <c r="R1053" s="1402"/>
      <c r="S1053" s="1402"/>
      <c r="T1053" s="1402"/>
      <c r="U1053" s="1402"/>
      <c r="V1053" s="1402"/>
      <c r="W1053" s="1402"/>
      <c r="X1053" s="1402"/>
      <c r="Y1053" s="1402"/>
      <c r="Z1053" s="1402"/>
      <c r="AA1053" s="1402"/>
      <c r="AB1053" s="1402"/>
      <c r="AC1053" s="1402"/>
      <c r="AD1053" s="1402"/>
      <c r="AE1053" s="1402"/>
      <c r="AF1053" s="1291"/>
      <c r="AI1053" s="3056" t="str">
        <f>"11S:field180:" &amp; IF(I1053="■",1,IF(L1053="■",2,0))</f>
        <v>11S:field180:0</v>
      </c>
    </row>
    <row r="1054" spans="1:35" s="3056" customFormat="1" ht="18.75" hidden="1" customHeight="1">
      <c r="A1054" s="735"/>
      <c r="B1054" s="1407"/>
      <c r="C1054" s="1303"/>
      <c r="D1054" s="1304"/>
      <c r="E1054" s="1275"/>
      <c r="F1054" s="1289"/>
      <c r="G1054" s="1305"/>
      <c r="H1054" s="3103"/>
      <c r="I1054" s="3070"/>
      <c r="J1054" s="1529"/>
      <c r="K1054" s="1529"/>
      <c r="L1054" s="3070"/>
      <c r="M1054" s="1529"/>
      <c r="N1054" s="1529"/>
      <c r="O1054" s="1403"/>
      <c r="P1054" s="1403"/>
      <c r="Q1054" s="1403"/>
      <c r="R1054" s="1403"/>
      <c r="S1054" s="1403"/>
      <c r="T1054" s="1403"/>
      <c r="U1054" s="1403"/>
      <c r="V1054" s="1403"/>
      <c r="W1054" s="1403"/>
      <c r="X1054" s="1403"/>
      <c r="Y1054" s="1403"/>
      <c r="Z1054" s="1403"/>
      <c r="AA1054" s="1403"/>
      <c r="AB1054" s="1403"/>
      <c r="AC1054" s="1403"/>
      <c r="AD1054" s="1403"/>
      <c r="AE1054" s="1403"/>
      <c r="AF1054" s="1297"/>
    </row>
    <row r="1055" spans="1:35" s="3056" customFormat="1" ht="18.75" hidden="1" customHeight="1">
      <c r="A1055" s="1411"/>
      <c r="B1055" s="1407"/>
      <c r="C1055" s="1303"/>
      <c r="D1055" s="1413"/>
      <c r="E1055" s="1275"/>
      <c r="F1055" s="1289"/>
      <c r="G1055" s="1305"/>
      <c r="H1055" s="1539" t="s">
        <v>2274</v>
      </c>
      <c r="I1055" s="3115" t="s">
        <v>121</v>
      </c>
      <c r="J1055" s="1528" t="s">
        <v>1343</v>
      </c>
      <c r="K1055" s="1528"/>
      <c r="L1055" s="1528"/>
      <c r="M1055" s="3086" t="s">
        <v>121</v>
      </c>
      <c r="N1055" s="1528" t="s">
        <v>1344</v>
      </c>
      <c r="O1055" s="1528"/>
      <c r="P1055" s="1528"/>
      <c r="Q1055" s="1526"/>
      <c r="R1055" s="1526"/>
      <c r="S1055" s="1526"/>
      <c r="T1055" s="1526"/>
      <c r="U1055" s="1526"/>
      <c r="V1055" s="1526"/>
      <c r="W1055" s="1526"/>
      <c r="X1055" s="1526"/>
      <c r="Y1055" s="1526"/>
      <c r="Z1055" s="1526"/>
      <c r="AA1055" s="1526"/>
      <c r="AB1055" s="1526"/>
      <c r="AC1055" s="1526"/>
      <c r="AD1055" s="1526"/>
      <c r="AE1055" s="1526"/>
      <c r="AF1055" s="3114"/>
      <c r="AI1055" s="3056" t="str">
        <f>"11S:field233:" &amp; IF(I1055="■",1,IF(M1055="■",2,0))</f>
        <v>11S:field233:0</v>
      </c>
    </row>
    <row r="1056" spans="1:35" s="3056" customFormat="1" ht="19.5" hidden="1" customHeight="1">
      <c r="A1056" s="735"/>
      <c r="B1056" s="1407"/>
      <c r="C1056" s="1303"/>
      <c r="D1056" s="3069" t="s">
        <v>121</v>
      </c>
      <c r="E1056" s="1275" t="s">
        <v>2273</v>
      </c>
      <c r="F1056" s="1289"/>
      <c r="G1056" s="1305"/>
      <c r="H1056" s="1540"/>
      <c r="I1056" s="3081"/>
      <c r="J1056" s="1529"/>
      <c r="K1056" s="1529"/>
      <c r="L1056" s="1529"/>
      <c r="M1056" s="3070"/>
      <c r="N1056" s="1529"/>
      <c r="O1056" s="1529"/>
      <c r="P1056" s="1529"/>
      <c r="Q1056" s="1527"/>
      <c r="R1056" s="1527"/>
      <c r="S1056" s="1527"/>
      <c r="T1056" s="1527"/>
      <c r="U1056" s="1527"/>
      <c r="V1056" s="1527"/>
      <c r="W1056" s="1527"/>
      <c r="X1056" s="1527"/>
      <c r="Y1056" s="1527"/>
      <c r="Z1056" s="1527"/>
      <c r="AA1056" s="1527"/>
      <c r="AB1056" s="1527"/>
      <c r="AC1056" s="1527"/>
      <c r="AD1056" s="1527"/>
      <c r="AE1056" s="1527"/>
      <c r="AF1056" s="3113"/>
    </row>
    <row r="1057" spans="1:35" s="3056" customFormat="1" ht="19.5" hidden="1" customHeight="1">
      <c r="A1057" s="3069" t="s">
        <v>121</v>
      </c>
      <c r="B1057" s="1407">
        <v>11</v>
      </c>
      <c r="C1057" s="1303" t="s">
        <v>2</v>
      </c>
      <c r="D1057" s="3069" t="s">
        <v>121</v>
      </c>
      <c r="E1057" s="1275" t="s">
        <v>2272</v>
      </c>
      <c r="F1057" s="1289"/>
      <c r="G1057" s="1305"/>
      <c r="H1057" s="1539" t="s">
        <v>2271</v>
      </c>
      <c r="I1057" s="3115" t="s">
        <v>121</v>
      </c>
      <c r="J1057" s="1528" t="s">
        <v>1343</v>
      </c>
      <c r="K1057" s="1528"/>
      <c r="L1057" s="1528"/>
      <c r="M1057" s="3086" t="s">
        <v>121</v>
      </c>
      <c r="N1057" s="1528" t="s">
        <v>1344</v>
      </c>
      <c r="O1057" s="1528"/>
      <c r="P1057" s="1528"/>
      <c r="Q1057" s="1526"/>
      <c r="R1057" s="1526"/>
      <c r="S1057" s="1526"/>
      <c r="T1057" s="1526"/>
      <c r="U1057" s="1526"/>
      <c r="V1057" s="1526"/>
      <c r="W1057" s="1526"/>
      <c r="X1057" s="1526"/>
      <c r="Y1057" s="1526"/>
      <c r="Z1057" s="1526"/>
      <c r="AA1057" s="1526"/>
      <c r="AB1057" s="1526"/>
      <c r="AC1057" s="1526"/>
      <c r="AD1057" s="1526"/>
      <c r="AE1057" s="1526"/>
      <c r="AF1057" s="3114"/>
      <c r="AI1057" s="3056" t="str">
        <f>"11S:field234:" &amp; IF(I1057="■",1,IF(M1057="■",2,0))</f>
        <v>11S:field234:0</v>
      </c>
    </row>
    <row r="1058" spans="1:35" s="3056" customFormat="1" ht="19.5" hidden="1" customHeight="1">
      <c r="A1058" s="1411"/>
      <c r="B1058" s="1407"/>
      <c r="C1058" s="1303"/>
      <c r="D1058" s="3069" t="s">
        <v>121</v>
      </c>
      <c r="E1058" s="1275" t="s">
        <v>2270</v>
      </c>
      <c r="F1058" s="1289"/>
      <c r="G1058" s="1305"/>
      <c r="H1058" s="1540"/>
      <c r="I1058" s="3081"/>
      <c r="J1058" s="1529"/>
      <c r="K1058" s="1529"/>
      <c r="L1058" s="1529"/>
      <c r="M1058" s="3070"/>
      <c r="N1058" s="1529"/>
      <c r="O1058" s="1529"/>
      <c r="P1058" s="1529"/>
      <c r="Q1058" s="1527"/>
      <c r="R1058" s="1527"/>
      <c r="S1058" s="1527"/>
      <c r="T1058" s="1527"/>
      <c r="U1058" s="1527"/>
      <c r="V1058" s="1527"/>
      <c r="W1058" s="1527"/>
      <c r="X1058" s="1527"/>
      <c r="Y1058" s="1527"/>
      <c r="Z1058" s="1527"/>
      <c r="AA1058" s="1527"/>
      <c r="AB1058" s="1527"/>
      <c r="AC1058" s="1527"/>
      <c r="AD1058" s="1527"/>
      <c r="AE1058" s="1527"/>
      <c r="AF1058" s="3113"/>
    </row>
    <row r="1059" spans="1:35" s="3056" customFormat="1" ht="19.5" hidden="1" customHeight="1">
      <c r="A1059" s="1411"/>
      <c r="B1059" s="1407"/>
      <c r="C1059" s="1303"/>
      <c r="D1059" s="1413"/>
      <c r="E1059" s="1275"/>
      <c r="F1059" s="1289"/>
      <c r="G1059" s="1305"/>
      <c r="H1059" s="1539" t="s">
        <v>2269</v>
      </c>
      <c r="I1059" s="3115" t="s">
        <v>121</v>
      </c>
      <c r="J1059" s="1528" t="s">
        <v>1343</v>
      </c>
      <c r="K1059" s="1528"/>
      <c r="L1059" s="1528"/>
      <c r="M1059" s="3086" t="s">
        <v>121</v>
      </c>
      <c r="N1059" s="1528" t="s">
        <v>1344</v>
      </c>
      <c r="O1059" s="1528"/>
      <c r="P1059" s="1528"/>
      <c r="Q1059" s="1526"/>
      <c r="R1059" s="1526"/>
      <c r="S1059" s="1526"/>
      <c r="T1059" s="1526"/>
      <c r="U1059" s="1526"/>
      <c r="V1059" s="1526"/>
      <c r="W1059" s="1526"/>
      <c r="X1059" s="1526"/>
      <c r="Y1059" s="1526"/>
      <c r="Z1059" s="1526"/>
      <c r="AA1059" s="1526"/>
      <c r="AB1059" s="1526"/>
      <c r="AC1059" s="1526"/>
      <c r="AD1059" s="1526"/>
      <c r="AE1059" s="1526"/>
      <c r="AF1059" s="3114"/>
      <c r="AI1059" s="3056" t="str">
        <f>"11S:field235:" &amp; IF(I1059="■",1,IF(M1059="■",2,0))</f>
        <v>11S:field235:0</v>
      </c>
    </row>
    <row r="1060" spans="1:35" s="3056" customFormat="1" ht="19.5" hidden="1" customHeight="1">
      <c r="A1060" s="735"/>
      <c r="B1060" s="1407"/>
      <c r="C1060" s="1303"/>
      <c r="D1060" s="1412"/>
      <c r="E1060" s="1412"/>
      <c r="F1060" s="1289"/>
      <c r="G1060" s="1305"/>
      <c r="H1060" s="1540"/>
      <c r="I1060" s="3081"/>
      <c r="J1060" s="1529"/>
      <c r="K1060" s="1529"/>
      <c r="L1060" s="1529"/>
      <c r="M1060" s="3070"/>
      <c r="N1060" s="1529"/>
      <c r="O1060" s="1529"/>
      <c r="P1060" s="1529"/>
      <c r="Q1060" s="1527"/>
      <c r="R1060" s="1527"/>
      <c r="S1060" s="1527"/>
      <c r="T1060" s="1527"/>
      <c r="U1060" s="1527"/>
      <c r="V1060" s="1527"/>
      <c r="W1060" s="1527"/>
      <c r="X1060" s="1527"/>
      <c r="Y1060" s="1527"/>
      <c r="Z1060" s="1527"/>
      <c r="AA1060" s="1527"/>
      <c r="AB1060" s="1527"/>
      <c r="AC1060" s="1527"/>
      <c r="AD1060" s="1527"/>
      <c r="AE1060" s="1527"/>
      <c r="AF1060" s="3113"/>
    </row>
    <row r="1061" spans="1:35" s="3056" customFormat="1" ht="18.75" hidden="1" customHeight="1">
      <c r="A1061" s="735"/>
      <c r="B1061" s="1407"/>
      <c r="C1061" s="1303"/>
      <c r="D1061" s="1412"/>
      <c r="E1061" s="1412"/>
      <c r="F1061" s="1289"/>
      <c r="G1061" s="1305"/>
      <c r="H1061" s="3112" t="s">
        <v>2265</v>
      </c>
      <c r="I1061" s="3063" t="s">
        <v>121</v>
      </c>
      <c r="J1061" s="1296" t="s">
        <v>1230</v>
      </c>
      <c r="K1061" s="1309"/>
      <c r="L1061" s="3062" t="s">
        <v>121</v>
      </c>
      <c r="M1061" s="1296" t="s">
        <v>1248</v>
      </c>
      <c r="N1061" s="1299"/>
      <c r="O1061" s="1307"/>
      <c r="P1061" s="1307"/>
      <c r="Q1061" s="1307"/>
      <c r="R1061" s="1307"/>
      <c r="S1061" s="1307"/>
      <c r="T1061" s="1307"/>
      <c r="U1061" s="1307"/>
      <c r="V1061" s="1307"/>
      <c r="W1061" s="1307"/>
      <c r="X1061" s="1307"/>
      <c r="Y1061" s="1307"/>
      <c r="Z1061" s="1307"/>
      <c r="AA1061" s="1307"/>
      <c r="AB1061" s="1307"/>
      <c r="AC1061" s="1307"/>
      <c r="AD1061" s="1307"/>
      <c r="AE1061" s="1307"/>
      <c r="AF1061" s="1308"/>
      <c r="AI1061" s="3056" t="str">
        <f>"11S:tokutiiki_code:" &amp; IF(I1061="■",1,IF(L1061="■",2,0))</f>
        <v>11S:tokutiiki_code:0</v>
      </c>
    </row>
    <row r="1062" spans="1:35" s="3056" customFormat="1" ht="18.75" hidden="1" customHeight="1">
      <c r="A1062" s="735"/>
      <c r="B1062" s="1407"/>
      <c r="C1062" s="1303"/>
      <c r="D1062" s="1304"/>
      <c r="E1062" s="1275"/>
      <c r="F1062" s="1289"/>
      <c r="G1062" s="1305"/>
      <c r="H1062" s="3102" t="s">
        <v>1342</v>
      </c>
      <c r="I1062" s="3111" t="s">
        <v>121</v>
      </c>
      <c r="J1062" s="1528" t="s">
        <v>1343</v>
      </c>
      <c r="K1062" s="1528"/>
      <c r="L1062" s="1528"/>
      <c r="M1062" s="3111" t="s">
        <v>121</v>
      </c>
      <c r="N1062" s="1528" t="s">
        <v>1344</v>
      </c>
      <c r="O1062" s="1528"/>
      <c r="P1062" s="1528"/>
      <c r="Q1062" s="1314"/>
      <c r="R1062" s="1314"/>
      <c r="S1062" s="1314"/>
      <c r="T1062" s="1314"/>
      <c r="U1062" s="1314"/>
      <c r="V1062" s="1314"/>
      <c r="W1062" s="1314"/>
      <c r="X1062" s="1314"/>
      <c r="Y1062" s="1314"/>
      <c r="Z1062" s="1314"/>
      <c r="AA1062" s="1314"/>
      <c r="AB1062" s="1314"/>
      <c r="AC1062" s="1314"/>
      <c r="AD1062" s="1314"/>
      <c r="AE1062" s="1314"/>
      <c r="AF1062" s="1315"/>
      <c r="AI1062" s="3056" t="str">
        <f>"11S:chuusankanti_tiiki_code:" &amp; IF(I1062="■",1,IF(M1062="■",2,0))</f>
        <v>11S:chuusankanti_tiiki_code:0</v>
      </c>
    </row>
    <row r="1063" spans="1:35" s="3056" customFormat="1" ht="18.75" hidden="1" customHeight="1">
      <c r="A1063" s="735"/>
      <c r="B1063" s="1407"/>
      <c r="C1063" s="1303"/>
      <c r="D1063" s="1304"/>
      <c r="E1063" s="1275"/>
      <c r="F1063" s="1289"/>
      <c r="G1063" s="1305"/>
      <c r="H1063" s="3103"/>
      <c r="I1063" s="3110"/>
      <c r="J1063" s="1529"/>
      <c r="K1063" s="1529"/>
      <c r="L1063" s="1529"/>
      <c r="M1063" s="3110"/>
      <c r="N1063" s="1529"/>
      <c r="O1063" s="1529"/>
      <c r="P1063" s="1529"/>
      <c r="Q1063" s="1330"/>
      <c r="R1063" s="1330"/>
      <c r="S1063" s="1330"/>
      <c r="T1063" s="1330"/>
      <c r="U1063" s="1330"/>
      <c r="V1063" s="1330"/>
      <c r="W1063" s="1330"/>
      <c r="X1063" s="1330"/>
      <c r="Y1063" s="1330"/>
      <c r="Z1063" s="1330"/>
      <c r="AA1063" s="1330"/>
      <c r="AB1063" s="1330"/>
      <c r="AC1063" s="1330"/>
      <c r="AD1063" s="1330"/>
      <c r="AE1063" s="1330"/>
      <c r="AF1063" s="1356"/>
    </row>
    <row r="1064" spans="1:35" s="3056" customFormat="1" ht="18.75" hidden="1" customHeight="1">
      <c r="A1064" s="735"/>
      <c r="B1064" s="1407"/>
      <c r="C1064" s="1303"/>
      <c r="D1064" s="1304"/>
      <c r="E1064" s="1275"/>
      <c r="F1064" s="1289"/>
      <c r="G1064" s="1305"/>
      <c r="H1064" s="3102" t="s">
        <v>1345</v>
      </c>
      <c r="I1064" s="3111" t="s">
        <v>121</v>
      </c>
      <c r="J1064" s="1528" t="s">
        <v>1343</v>
      </c>
      <c r="K1064" s="1528"/>
      <c r="L1064" s="1528"/>
      <c r="M1064" s="3111" t="s">
        <v>121</v>
      </c>
      <c r="N1064" s="1528" t="s">
        <v>1344</v>
      </c>
      <c r="O1064" s="1528"/>
      <c r="P1064" s="1528"/>
      <c r="Q1064" s="1314"/>
      <c r="R1064" s="1314"/>
      <c r="S1064" s="1314"/>
      <c r="T1064" s="1314"/>
      <c r="U1064" s="1314"/>
      <c r="V1064" s="1314"/>
      <c r="W1064" s="1314"/>
      <c r="X1064" s="1314"/>
      <c r="Y1064" s="1314"/>
      <c r="Z1064" s="1314"/>
      <c r="AA1064" s="1314"/>
      <c r="AB1064" s="1314"/>
      <c r="AC1064" s="1314"/>
      <c r="AD1064" s="1314"/>
      <c r="AE1064" s="1314"/>
      <c r="AF1064" s="1315"/>
      <c r="AI1064" s="3056" t="str">
        <f>"11S:chuusankanti_kibo_code:" &amp; IF(I1064="■",1,IF(M1064="■",2,0))</f>
        <v>11S:chuusankanti_kibo_code:0</v>
      </c>
    </row>
    <row r="1065" spans="1:35" s="3056" customFormat="1" ht="18.75" hidden="1" customHeight="1">
      <c r="A1065" s="735"/>
      <c r="B1065" s="1407"/>
      <c r="C1065" s="1303"/>
      <c r="D1065" s="1304"/>
      <c r="E1065" s="1275"/>
      <c r="F1065" s="1289"/>
      <c r="G1065" s="1305"/>
      <c r="H1065" s="3103"/>
      <c r="I1065" s="3110"/>
      <c r="J1065" s="1529"/>
      <c r="K1065" s="1529"/>
      <c r="L1065" s="1529"/>
      <c r="M1065" s="3110"/>
      <c r="N1065" s="1529"/>
      <c r="O1065" s="1529"/>
      <c r="P1065" s="1529"/>
      <c r="Q1065" s="1330"/>
      <c r="R1065" s="1330"/>
      <c r="S1065" s="1330"/>
      <c r="T1065" s="1330"/>
      <c r="U1065" s="1330"/>
      <c r="V1065" s="1330"/>
      <c r="W1065" s="1330"/>
      <c r="X1065" s="1330"/>
      <c r="Y1065" s="1330"/>
      <c r="Z1065" s="1330"/>
      <c r="AA1065" s="1330"/>
      <c r="AB1065" s="1330"/>
      <c r="AC1065" s="1330"/>
      <c r="AD1065" s="1330"/>
      <c r="AE1065" s="1330"/>
      <c r="AF1065" s="1356"/>
    </row>
    <row r="1066" spans="1:35" s="3056" customFormat="1" ht="19.5" hidden="1" customHeight="1">
      <c r="A1066" s="735"/>
      <c r="B1066" s="1407"/>
      <c r="C1066" s="1303"/>
      <c r="D1066" s="1304"/>
      <c r="E1066" s="1275"/>
      <c r="F1066" s="1289"/>
      <c r="G1066" s="1305"/>
      <c r="H1066" s="1306" t="s">
        <v>1325</v>
      </c>
      <c r="I1066" s="3066" t="s">
        <v>121</v>
      </c>
      <c r="J1066" s="1298" t="s">
        <v>1230</v>
      </c>
      <c r="K1066" s="1298"/>
      <c r="L1066" s="3065" t="s">
        <v>121</v>
      </c>
      <c r="M1066" s="1298" t="s">
        <v>1248</v>
      </c>
      <c r="N1066" s="1298"/>
      <c r="O1066" s="1307"/>
      <c r="P1066" s="1298"/>
      <c r="Q1066" s="1307"/>
      <c r="R1066" s="1307"/>
      <c r="S1066" s="1307"/>
      <c r="T1066" s="1307"/>
      <c r="U1066" s="1307"/>
      <c r="V1066" s="1307"/>
      <c r="W1066" s="1307"/>
      <c r="X1066" s="1307"/>
      <c r="Y1066" s="1307"/>
      <c r="Z1066" s="1307"/>
      <c r="AA1066" s="1307"/>
      <c r="AB1066" s="1307"/>
      <c r="AC1066" s="1307"/>
      <c r="AD1066" s="1307"/>
      <c r="AE1066" s="1307"/>
      <c r="AF1066" s="3072"/>
      <c r="AI1066" s="3056" t="str">
        <f>"11S:field224:" &amp; IF(I1066="■",1,IF(L1066="■",2,0))</f>
        <v>11S:field224:0</v>
      </c>
    </row>
    <row r="1067" spans="1:35" s="3056" customFormat="1" ht="18.75" hidden="1" customHeight="1">
      <c r="A1067" s="736"/>
      <c r="B1067" s="1316"/>
      <c r="C1067" s="1346"/>
      <c r="D1067" s="1348"/>
      <c r="E1067" s="1317"/>
      <c r="F1067" s="1318"/>
      <c r="G1067" s="1361"/>
      <c r="H1067" s="1346" t="s">
        <v>1260</v>
      </c>
      <c r="I1067" s="3078" t="s">
        <v>121</v>
      </c>
      <c r="J1067" s="3075" t="s">
        <v>1230</v>
      </c>
      <c r="K1067" s="3075"/>
      <c r="L1067" s="3077" t="s">
        <v>121</v>
      </c>
      <c r="M1067" s="3075" t="s">
        <v>1256</v>
      </c>
      <c r="N1067" s="3075"/>
      <c r="O1067" s="3077" t="s">
        <v>121</v>
      </c>
      <c r="P1067" s="3075" t="s">
        <v>1257</v>
      </c>
      <c r="Q1067" s="3109"/>
      <c r="R1067" s="3109"/>
      <c r="S1067" s="3109"/>
      <c r="T1067" s="3109"/>
      <c r="U1067" s="3109"/>
      <c r="V1067" s="3109"/>
      <c r="W1067" s="3109"/>
      <c r="X1067" s="3109"/>
      <c r="Y1067" s="3109"/>
      <c r="Z1067" s="3109"/>
      <c r="AA1067" s="3109"/>
      <c r="AB1067" s="3109"/>
      <c r="AC1067" s="3109"/>
      <c r="AD1067" s="3109"/>
      <c r="AE1067" s="3109"/>
      <c r="AF1067" s="3108"/>
      <c r="AI1067" s="3056" t="str">
        <f>"11S:ninti_senmoncare_code:" &amp; IF(I1067="■",1,IF(O1067="■",3,IF(L1067="■",2,0)))</f>
        <v>11S:ninti_senmoncare_code:0</v>
      </c>
    </row>
    <row r="1068" spans="1:35" s="1418" customFormat="1" ht="18.75" hidden="1" customHeight="1">
      <c r="A1068" s="625"/>
      <c r="B1068" s="1416"/>
      <c r="C1068" s="629"/>
      <c r="D1068" s="1417"/>
      <c r="E1068" s="1420"/>
      <c r="F1068" s="1419"/>
      <c r="G1068" s="617"/>
      <c r="H1068" s="3097" t="s">
        <v>1246</v>
      </c>
      <c r="I1068" s="3096" t="s">
        <v>121</v>
      </c>
      <c r="J1068" s="3091" t="s">
        <v>1242</v>
      </c>
      <c r="K1068" s="3095"/>
      <c r="L1068" s="3094"/>
      <c r="M1068" s="3093" t="s">
        <v>121</v>
      </c>
      <c r="N1068" s="3091" t="s">
        <v>1245</v>
      </c>
      <c r="O1068" s="3107"/>
      <c r="P1068" s="3107"/>
      <c r="Q1068" s="3107"/>
      <c r="R1068" s="3107"/>
      <c r="S1068" s="3107"/>
      <c r="T1068" s="3107"/>
      <c r="U1068" s="3107"/>
      <c r="V1068" s="3107"/>
      <c r="W1068" s="3107"/>
      <c r="X1068" s="3107"/>
      <c r="Y1068" s="3106"/>
      <c r="Z1068" s="3106"/>
      <c r="AA1068" s="3106"/>
      <c r="AB1068" s="3106"/>
      <c r="AC1068" s="3106"/>
      <c r="AD1068" s="3106"/>
      <c r="AE1068" s="3106"/>
      <c r="AF1068" s="3105"/>
      <c r="AG1068" s="1418" t="str">
        <f>"ser_code = '" &amp; IF(A1071="■","13S","") &amp; "'"</f>
        <v>ser_code = ''</v>
      </c>
      <c r="AI1068" s="3056" t="str">
        <f>"13S:field232:" &amp; IF(I1068="■",1,IF(M1068="■",2,0))</f>
        <v>13S:field232:0</v>
      </c>
    </row>
    <row r="1069" spans="1:35" s="3056" customFormat="1" ht="18.75" hidden="1" customHeight="1">
      <c r="A1069" s="735"/>
      <c r="B1069" s="1407"/>
      <c r="C1069" s="1303"/>
      <c r="D1069" s="1304"/>
      <c r="E1069" s="1275"/>
      <c r="F1069" s="1289"/>
      <c r="G1069" s="1305"/>
      <c r="H1069" s="3104" t="s">
        <v>1341</v>
      </c>
      <c r="I1069" s="3063" t="s">
        <v>121</v>
      </c>
      <c r="J1069" s="1296" t="s">
        <v>1230</v>
      </c>
      <c r="K1069" s="1309"/>
      <c r="L1069" s="3062" t="s">
        <v>121</v>
      </c>
      <c r="M1069" s="1296" t="s">
        <v>1248</v>
      </c>
      <c r="N1069" s="1309"/>
      <c r="O1069" s="1330"/>
      <c r="P1069" s="1330"/>
      <c r="Q1069" s="1330"/>
      <c r="R1069" s="1330"/>
      <c r="S1069" s="1330"/>
      <c r="T1069" s="1330"/>
      <c r="U1069" s="1330"/>
      <c r="V1069" s="1330"/>
      <c r="W1069" s="1330"/>
      <c r="X1069" s="1330"/>
      <c r="Y1069" s="1330"/>
      <c r="Z1069" s="1330"/>
      <c r="AA1069" s="1330"/>
      <c r="AB1069" s="1330"/>
      <c r="AC1069" s="1330"/>
      <c r="AD1069" s="1330"/>
      <c r="AE1069" s="1330"/>
      <c r="AF1069" s="1356"/>
      <c r="AG1069" s="3056" t="str">
        <f>"13S:sisetukbn_code:" &amp; IF(D1070="■",1,IF(D1071="■",2,IF(D1072="■",3,0)))</f>
        <v>13S:sisetukbn_code:0</v>
      </c>
      <c r="AI1069" s="3056" t="str">
        <f>"13S:tokutiiki_code:" &amp; IF(I1069="■",1,IF(L1069="■",2,0))</f>
        <v>13S:tokutiiki_code:0</v>
      </c>
    </row>
    <row r="1070" spans="1:35" s="3056" customFormat="1" ht="18.75" hidden="1" customHeight="1">
      <c r="A1070" s="735"/>
      <c r="B1070" s="1407"/>
      <c r="C1070" s="1303"/>
      <c r="D1070" s="3069" t="s">
        <v>121</v>
      </c>
      <c r="E1070" s="1275" t="s">
        <v>2268</v>
      </c>
      <c r="F1070" s="1289"/>
      <c r="G1070" s="3064"/>
      <c r="H1070" s="3102" t="s">
        <v>1342</v>
      </c>
      <c r="I1070" s="3086" t="s">
        <v>121</v>
      </c>
      <c r="J1070" s="1528" t="s">
        <v>1343</v>
      </c>
      <c r="K1070" s="1528"/>
      <c r="L1070" s="1528"/>
      <c r="M1070" s="3086" t="s">
        <v>121</v>
      </c>
      <c r="N1070" s="1528" t="s">
        <v>1344</v>
      </c>
      <c r="O1070" s="1528"/>
      <c r="P1070" s="1528"/>
      <c r="Q1070" s="1314"/>
      <c r="R1070" s="1314"/>
      <c r="S1070" s="1314"/>
      <c r="T1070" s="1314"/>
      <c r="U1070" s="1314"/>
      <c r="V1070" s="1314"/>
      <c r="W1070" s="1314"/>
      <c r="X1070" s="1314"/>
      <c r="Y1070" s="1314"/>
      <c r="Z1070" s="1314"/>
      <c r="AA1070" s="1314"/>
      <c r="AB1070" s="1314"/>
      <c r="AC1070" s="1314"/>
      <c r="AD1070" s="1314"/>
      <c r="AE1070" s="1314"/>
      <c r="AF1070" s="1315"/>
      <c r="AI1070" s="3056" t="str">
        <f>"13S:chuusankanti_tiiki_code:" &amp; IF(I1070="■",1,IF(M1070="■",2,0))</f>
        <v>13S:chuusankanti_tiiki_code:0</v>
      </c>
    </row>
    <row r="1071" spans="1:35" s="3056" customFormat="1" ht="18.75" hidden="1" customHeight="1">
      <c r="A1071" s="3069" t="s">
        <v>121</v>
      </c>
      <c r="B1071" s="1407">
        <v>13</v>
      </c>
      <c r="C1071" s="1303" t="s">
        <v>535</v>
      </c>
      <c r="D1071" s="3069" t="s">
        <v>121</v>
      </c>
      <c r="E1071" s="1275" t="s">
        <v>2267</v>
      </c>
      <c r="F1071" s="1289"/>
      <c r="G1071" s="3064"/>
      <c r="H1071" s="3103"/>
      <c r="I1071" s="3070"/>
      <c r="J1071" s="1529"/>
      <c r="K1071" s="1529"/>
      <c r="L1071" s="1529"/>
      <c r="M1071" s="3070"/>
      <c r="N1071" s="1529"/>
      <c r="O1071" s="1529"/>
      <c r="P1071" s="1529"/>
      <c r="Q1071" s="1330"/>
      <c r="R1071" s="1330"/>
      <c r="S1071" s="1330"/>
      <c r="T1071" s="1330"/>
      <c r="U1071" s="1330"/>
      <c r="V1071" s="1330"/>
      <c r="W1071" s="1330"/>
      <c r="X1071" s="1330"/>
      <c r="Y1071" s="1330"/>
      <c r="Z1071" s="1330"/>
      <c r="AA1071" s="1330"/>
      <c r="AB1071" s="1330"/>
      <c r="AC1071" s="1330"/>
      <c r="AD1071" s="1330"/>
      <c r="AE1071" s="1330"/>
      <c r="AF1071" s="1356"/>
    </row>
    <row r="1072" spans="1:35" s="3056" customFormat="1" ht="18.75" hidden="1" customHeight="1">
      <c r="A1072" s="735"/>
      <c r="B1072" s="1407"/>
      <c r="C1072" s="1303"/>
      <c r="D1072" s="3069" t="s">
        <v>121</v>
      </c>
      <c r="E1072" s="1275" t="s">
        <v>2266</v>
      </c>
      <c r="F1072" s="1289"/>
      <c r="G1072" s="3064"/>
      <c r="H1072" s="3102" t="s">
        <v>1345</v>
      </c>
      <c r="I1072" s="3086" t="s">
        <v>121</v>
      </c>
      <c r="J1072" s="1528" t="s">
        <v>1343</v>
      </c>
      <c r="K1072" s="1528"/>
      <c r="L1072" s="1528"/>
      <c r="M1072" s="3086" t="s">
        <v>121</v>
      </c>
      <c r="N1072" s="1528" t="s">
        <v>1344</v>
      </c>
      <c r="O1072" s="1528"/>
      <c r="P1072" s="1528"/>
      <c r="Q1072" s="1314"/>
      <c r="R1072" s="1314"/>
      <c r="S1072" s="1314"/>
      <c r="T1072" s="1314"/>
      <c r="U1072" s="1314"/>
      <c r="V1072" s="1314"/>
      <c r="W1072" s="1314"/>
      <c r="X1072" s="1314"/>
      <c r="Y1072" s="1314"/>
      <c r="Z1072" s="1314"/>
      <c r="AA1072" s="1314"/>
      <c r="AB1072" s="1314"/>
      <c r="AC1072" s="1314"/>
      <c r="AD1072" s="1314"/>
      <c r="AE1072" s="1314"/>
      <c r="AF1072" s="1315"/>
      <c r="AI1072" s="3056" t="str">
        <f>"13S:chuusankanti_kibo_code:" &amp; IF(I1072="■",1,IF(M1072="■",2,0))</f>
        <v>13S:chuusankanti_kibo_code:0</v>
      </c>
    </row>
    <row r="1073" spans="1:35" s="3056" customFormat="1" ht="18.75" hidden="1" customHeight="1">
      <c r="A1073" s="735"/>
      <c r="B1073" s="1407"/>
      <c r="C1073" s="1303"/>
      <c r="D1073" s="1304"/>
      <c r="E1073" s="1275"/>
      <c r="F1073" s="1289"/>
      <c r="G1073" s="3064"/>
      <c r="H1073" s="3101"/>
      <c r="I1073" s="3071"/>
      <c r="J1073" s="1559"/>
      <c r="K1073" s="1559"/>
      <c r="L1073" s="1559"/>
      <c r="M1073" s="3071"/>
      <c r="N1073" s="1559"/>
      <c r="O1073" s="1559"/>
      <c r="P1073" s="1559"/>
      <c r="Q1073" s="3100"/>
      <c r="R1073" s="3100"/>
      <c r="S1073" s="3100"/>
      <c r="T1073" s="3100"/>
      <c r="U1073" s="3100"/>
      <c r="V1073" s="3100"/>
      <c r="W1073" s="3100"/>
      <c r="X1073" s="3100"/>
      <c r="Y1073" s="3100"/>
      <c r="Z1073" s="3100"/>
      <c r="AA1073" s="3100"/>
      <c r="AB1073" s="3100"/>
      <c r="AC1073" s="3100"/>
      <c r="AD1073" s="3100"/>
      <c r="AE1073" s="3100"/>
      <c r="AF1073" s="3099"/>
    </row>
    <row r="1074" spans="1:35" s="3056" customFormat="1" ht="19.5" customHeight="1">
      <c r="A1074" s="1276"/>
      <c r="B1074" s="1405"/>
      <c r="C1074" s="1333"/>
      <c r="D1074" s="1335"/>
      <c r="E1074" s="1272"/>
      <c r="F1074" s="1279"/>
      <c r="G1074" s="1351"/>
      <c r="H1074" s="1367" t="s">
        <v>1244</v>
      </c>
      <c r="I1074" s="3074" t="s">
        <v>121</v>
      </c>
      <c r="J1074" s="1280" t="s">
        <v>1242</v>
      </c>
      <c r="K1074" s="1281"/>
      <c r="L1074" s="1282"/>
      <c r="M1074" s="3073" t="s">
        <v>121</v>
      </c>
      <c r="N1074" s="1280" t="s">
        <v>1245</v>
      </c>
      <c r="O1074" s="1280"/>
      <c r="P1074" s="1280"/>
      <c r="Q1074" s="1284"/>
      <c r="R1074" s="1284"/>
      <c r="S1074" s="1284"/>
      <c r="T1074" s="1284"/>
      <c r="U1074" s="1284"/>
      <c r="V1074" s="1284"/>
      <c r="W1074" s="1284"/>
      <c r="X1074" s="1284"/>
      <c r="Y1074" s="1284"/>
      <c r="Z1074" s="1284"/>
      <c r="AA1074" s="1284"/>
      <c r="AB1074" s="1284"/>
      <c r="AC1074" s="1284"/>
      <c r="AD1074" s="1284"/>
      <c r="AE1074" s="1284"/>
      <c r="AF1074" s="3098"/>
      <c r="AG1074" s="3056" t="str">
        <f>"ser_code = '" &amp; IF(A1079="■","14S","") &amp; "'"</f>
        <v>ser_code = ''</v>
      </c>
      <c r="AI1074" s="3056" t="str">
        <f>"14S:field223:" &amp; IF(I1074="■",1,IF(M1074="■",2,0))</f>
        <v>14S:field223:0</v>
      </c>
    </row>
    <row r="1075" spans="1:35" s="3056" customFormat="1" ht="19.5" customHeight="1">
      <c r="A1075" s="735"/>
      <c r="B1075" s="1407"/>
      <c r="C1075" s="1303"/>
      <c r="D1075" s="1304"/>
      <c r="E1075" s="1275"/>
      <c r="F1075" s="1289"/>
      <c r="G1075" s="1305"/>
      <c r="H1075" s="3097" t="s">
        <v>1246</v>
      </c>
      <c r="I1075" s="3096" t="s">
        <v>121</v>
      </c>
      <c r="J1075" s="3091" t="s">
        <v>1242</v>
      </c>
      <c r="K1075" s="3095"/>
      <c r="L1075" s="3094"/>
      <c r="M1075" s="3093" t="s">
        <v>121</v>
      </c>
      <c r="N1075" s="3091" t="s">
        <v>1245</v>
      </c>
      <c r="O1075" s="3092"/>
      <c r="P1075" s="3091"/>
      <c r="Q1075" s="3089"/>
      <c r="R1075" s="3089"/>
      <c r="S1075" s="3089"/>
      <c r="T1075" s="3089"/>
      <c r="U1075" s="3089"/>
      <c r="V1075" s="3089"/>
      <c r="W1075" s="3089"/>
      <c r="X1075" s="3089"/>
      <c r="Y1075" s="3090"/>
      <c r="Z1075" s="3090"/>
      <c r="AA1075" s="3090"/>
      <c r="AB1075" s="3090"/>
      <c r="AC1075" s="3089"/>
      <c r="AD1075" s="3089"/>
      <c r="AE1075" s="3089"/>
      <c r="AF1075" s="3088"/>
      <c r="AG1075" s="3056" t="str">
        <f>"14S:sisetukbn_code:" &amp; IF(D1078="■",1,IF(D1079="■",2,IF(D1080="■",3,0)))</f>
        <v>14S:sisetukbn_code:0</v>
      </c>
      <c r="AI1075" s="3056" t="str">
        <f>"14S:field232:" &amp; IF(I1075="■",1,IF(M1075="■",2,0))</f>
        <v>14S:field232:0</v>
      </c>
    </row>
    <row r="1076" spans="1:35" s="3056" customFormat="1" ht="18.75" customHeight="1">
      <c r="A1076" s="735"/>
      <c r="B1076" s="1407"/>
      <c r="C1076" s="1303"/>
      <c r="D1076" s="735"/>
      <c r="E1076" s="1275"/>
      <c r="F1076" s="1289"/>
      <c r="G1076" s="1305"/>
      <c r="H1076" s="1399" t="s">
        <v>2265</v>
      </c>
      <c r="I1076" s="3063" t="s">
        <v>121</v>
      </c>
      <c r="J1076" s="1296" t="s">
        <v>1230</v>
      </c>
      <c r="K1076" s="1309"/>
      <c r="L1076" s="3062" t="s">
        <v>121</v>
      </c>
      <c r="M1076" s="1296" t="s">
        <v>1248</v>
      </c>
      <c r="N1076" s="1309"/>
      <c r="O1076" s="1330"/>
      <c r="P1076" s="1309"/>
      <c r="Q1076" s="1309"/>
      <c r="R1076" s="1309"/>
      <c r="S1076" s="1309"/>
      <c r="T1076" s="1309"/>
      <c r="U1076" s="1309"/>
      <c r="V1076" s="1309"/>
      <c r="W1076" s="1309"/>
      <c r="X1076" s="1309"/>
      <c r="Y1076" s="1309"/>
      <c r="Z1076" s="1309"/>
      <c r="AA1076" s="1309"/>
      <c r="AB1076" s="1309"/>
      <c r="AC1076" s="1309"/>
      <c r="AD1076" s="1309"/>
      <c r="AE1076" s="1309"/>
      <c r="AF1076" s="3087"/>
      <c r="AI1076" s="3056" t="str">
        <f>"14S:tokutiiki_code:" &amp; IF(I1076="■",1,IF(L1076="■",2,0))</f>
        <v>14S:tokutiiki_code:0</v>
      </c>
    </row>
    <row r="1077" spans="1:35" s="3056" customFormat="1" ht="18.75" customHeight="1">
      <c r="A1077" s="735"/>
      <c r="B1077" s="1407"/>
      <c r="C1077" s="1303"/>
      <c r="D1077" s="735"/>
      <c r="E1077" s="1275"/>
      <c r="F1077" s="1289"/>
      <c r="G1077" s="1305"/>
      <c r="H1077" s="1539" t="s">
        <v>1342</v>
      </c>
      <c r="I1077" s="3086" t="s">
        <v>121</v>
      </c>
      <c r="J1077" s="1528" t="s">
        <v>1343</v>
      </c>
      <c r="K1077" s="1528"/>
      <c r="L1077" s="1528"/>
      <c r="M1077" s="3086" t="s">
        <v>121</v>
      </c>
      <c r="N1077" s="1528" t="s">
        <v>1344</v>
      </c>
      <c r="O1077" s="1528"/>
      <c r="P1077" s="1528"/>
      <c r="Q1077" s="1314"/>
      <c r="R1077" s="1314"/>
      <c r="S1077" s="1314"/>
      <c r="T1077" s="1314"/>
      <c r="U1077" s="1314"/>
      <c r="V1077" s="1314"/>
      <c r="W1077" s="1314"/>
      <c r="X1077" s="1314"/>
      <c r="Y1077" s="1314"/>
      <c r="Z1077" s="1314"/>
      <c r="AA1077" s="1314"/>
      <c r="AB1077" s="1314"/>
      <c r="AC1077" s="1314"/>
      <c r="AD1077" s="1314"/>
      <c r="AE1077" s="1314"/>
      <c r="AF1077" s="1315"/>
      <c r="AI1077" s="3056" t="str">
        <f>"14S:chuusankanti_tiiki_code:" &amp; IF(I1077="■",1,IF(M1077="■",2,0))</f>
        <v>14S:chuusankanti_tiiki_code:0</v>
      </c>
    </row>
    <row r="1078" spans="1:35" s="3056" customFormat="1" ht="18.75" customHeight="1">
      <c r="A1078" s="735"/>
      <c r="B1078" s="1407"/>
      <c r="C1078" s="1303"/>
      <c r="D1078" s="3069" t="s">
        <v>121</v>
      </c>
      <c r="E1078" s="1275" t="s">
        <v>1314</v>
      </c>
      <c r="F1078" s="1289"/>
      <c r="G1078" s="1305"/>
      <c r="H1078" s="1540"/>
      <c r="I1078" s="3070"/>
      <c r="J1078" s="1529"/>
      <c r="K1078" s="1529"/>
      <c r="L1078" s="1529"/>
      <c r="M1078" s="3070"/>
      <c r="N1078" s="1529"/>
      <c r="O1078" s="1529"/>
      <c r="P1078" s="1529"/>
      <c r="Q1078" s="1330"/>
      <c r="R1078" s="1330"/>
      <c r="S1078" s="1330"/>
      <c r="T1078" s="1330"/>
      <c r="U1078" s="1330"/>
      <c r="V1078" s="1330"/>
      <c r="W1078" s="1330"/>
      <c r="X1078" s="1330"/>
      <c r="Y1078" s="1330"/>
      <c r="Z1078" s="1330"/>
      <c r="AA1078" s="1330"/>
      <c r="AB1078" s="1330"/>
      <c r="AC1078" s="1330"/>
      <c r="AD1078" s="1330"/>
      <c r="AE1078" s="1330"/>
      <c r="AF1078" s="1356"/>
    </row>
    <row r="1079" spans="1:35" s="3056" customFormat="1" ht="18.75" customHeight="1">
      <c r="A1079" s="3069" t="s">
        <v>121</v>
      </c>
      <c r="B1079" s="1407">
        <v>14</v>
      </c>
      <c r="C1079" s="1303" t="s">
        <v>2264</v>
      </c>
      <c r="D1079" s="3069" t="s">
        <v>121</v>
      </c>
      <c r="E1079" s="1275" t="s">
        <v>1317</v>
      </c>
      <c r="F1079" s="1289"/>
      <c r="G1079" s="1305"/>
      <c r="H1079" s="1539" t="s">
        <v>1345</v>
      </c>
      <c r="I1079" s="3086" t="s">
        <v>121</v>
      </c>
      <c r="J1079" s="1528" t="s">
        <v>1343</v>
      </c>
      <c r="K1079" s="1528"/>
      <c r="L1079" s="1528"/>
      <c r="M1079" s="3086" t="s">
        <v>121</v>
      </c>
      <c r="N1079" s="1528" t="s">
        <v>1344</v>
      </c>
      <c r="O1079" s="1528"/>
      <c r="P1079" s="1528"/>
      <c r="Q1079" s="1314"/>
      <c r="R1079" s="1314"/>
      <c r="S1079" s="1314"/>
      <c r="T1079" s="1314"/>
      <c r="U1079" s="1314"/>
      <c r="V1079" s="1314"/>
      <c r="W1079" s="1314"/>
      <c r="X1079" s="1314"/>
      <c r="Y1079" s="1314"/>
      <c r="Z1079" s="1314"/>
      <c r="AA1079" s="1314"/>
      <c r="AB1079" s="1314"/>
      <c r="AC1079" s="1314"/>
      <c r="AD1079" s="1314"/>
      <c r="AE1079" s="1314"/>
      <c r="AF1079" s="1315"/>
      <c r="AI1079" s="3056" t="str">
        <f>"14S:chuusankanti_kibo_code:" &amp; IF(I1079="■",1,IF(M1079="■",2,0))</f>
        <v>14S:chuusankanti_kibo_code:0</v>
      </c>
    </row>
    <row r="1080" spans="1:35" s="3056" customFormat="1" ht="18.75" customHeight="1">
      <c r="A1080" s="735"/>
      <c r="B1080" s="1407"/>
      <c r="C1080" s="1303"/>
      <c r="D1080" s="3069" t="s">
        <v>121</v>
      </c>
      <c r="E1080" s="1275" t="s">
        <v>1319</v>
      </c>
      <c r="F1080" s="1289"/>
      <c r="G1080" s="1305"/>
      <c r="H1080" s="1540"/>
      <c r="I1080" s="3070"/>
      <c r="J1080" s="1529"/>
      <c r="K1080" s="1529"/>
      <c r="L1080" s="1529"/>
      <c r="M1080" s="3070"/>
      <c r="N1080" s="1529"/>
      <c r="O1080" s="1529"/>
      <c r="P1080" s="1529"/>
      <c r="Q1080" s="1330"/>
      <c r="R1080" s="1330"/>
      <c r="S1080" s="1330"/>
      <c r="T1080" s="1330"/>
      <c r="U1080" s="1330"/>
      <c r="V1080" s="1330"/>
      <c r="W1080" s="1330"/>
      <c r="X1080" s="1330"/>
      <c r="Y1080" s="1330"/>
      <c r="Z1080" s="1330"/>
      <c r="AA1080" s="1330"/>
      <c r="AB1080" s="1330"/>
      <c r="AC1080" s="1330"/>
      <c r="AD1080" s="1330"/>
      <c r="AE1080" s="1330"/>
      <c r="AF1080" s="1356"/>
    </row>
    <row r="1081" spans="1:35" s="3056" customFormat="1" ht="18.75" customHeight="1">
      <c r="A1081" s="735"/>
      <c r="B1081" s="1407"/>
      <c r="C1081" s="1303"/>
      <c r="D1081" s="1411"/>
      <c r="E1081" s="1275"/>
      <c r="F1081" s="1289"/>
      <c r="G1081" s="1305"/>
      <c r="H1081" s="1312" t="s">
        <v>1298</v>
      </c>
      <c r="I1081" s="3066" t="s">
        <v>121</v>
      </c>
      <c r="J1081" s="1298" t="s">
        <v>1230</v>
      </c>
      <c r="K1081" s="1298"/>
      <c r="L1081" s="1300"/>
      <c r="M1081" s="3065" t="s">
        <v>121</v>
      </c>
      <c r="N1081" s="1298" t="s">
        <v>2216</v>
      </c>
      <c r="O1081" s="1298"/>
      <c r="P1081" s="1300"/>
      <c r="Q1081" s="3065" t="s">
        <v>121</v>
      </c>
      <c r="R1081" s="1326" t="s">
        <v>2217</v>
      </c>
      <c r="S1081" s="1326"/>
      <c r="T1081" s="1326"/>
      <c r="U1081" s="3084"/>
      <c r="V1081" s="3084"/>
      <c r="W1081" s="1298"/>
      <c r="X1081" s="1298"/>
      <c r="Y1081" s="3085"/>
      <c r="Z1081" s="3084"/>
      <c r="AA1081" s="1326"/>
      <c r="AB1081" s="1326"/>
      <c r="AC1081" s="1326"/>
      <c r="AD1081" s="1326"/>
      <c r="AE1081" s="1326"/>
      <c r="AF1081" s="1308"/>
      <c r="AI1081" s="3056" t="str">
        <f>"14S:field149:" &amp; IF(I1081="■",1,IF(Q1081="■",6,IF(M1081="■",3,0)))</f>
        <v>14S:field149:0</v>
      </c>
    </row>
    <row r="1082" spans="1:35" s="3056" customFormat="1" ht="19.5" customHeight="1">
      <c r="A1082" s="735"/>
      <c r="B1082" s="1407"/>
      <c r="C1082" s="1303"/>
      <c r="D1082" s="1413"/>
      <c r="E1082" s="1275"/>
      <c r="F1082" s="1289"/>
      <c r="G1082" s="1305"/>
      <c r="H1082" s="1564" t="s">
        <v>1300</v>
      </c>
      <c r="I1082" s="3083" t="s">
        <v>121</v>
      </c>
      <c r="J1082" s="1559" t="s">
        <v>1230</v>
      </c>
      <c r="K1082" s="1559"/>
      <c r="L1082" s="3082" t="s">
        <v>121</v>
      </c>
      <c r="M1082" s="1559" t="s">
        <v>1248</v>
      </c>
      <c r="N1082" s="1559"/>
      <c r="O1082" s="1273"/>
      <c r="P1082" s="1344"/>
      <c r="Q1082" s="1413"/>
      <c r="R1082" s="1344"/>
      <c r="S1082" s="1412"/>
      <c r="T1082" s="1412"/>
      <c r="U1082" s="1344"/>
      <c r="V1082" s="1344"/>
      <c r="W1082" s="1412"/>
      <c r="X1082" s="1344"/>
      <c r="Y1082" s="1344"/>
      <c r="Z1082" s="1344"/>
      <c r="AA1082" s="1344"/>
      <c r="AB1082" s="1344"/>
      <c r="AC1082" s="1344"/>
      <c r="AD1082" s="1344"/>
      <c r="AE1082" s="1344"/>
      <c r="AF1082" s="1305"/>
      <c r="AI1082" s="3056" t="str">
        <f>"14S:field239:" &amp; IF(I1082="■",1,IF(L1082="■",2,0))</f>
        <v>14S:field239:0</v>
      </c>
    </row>
    <row r="1083" spans="1:35" s="3056" customFormat="1" ht="19.5" customHeight="1">
      <c r="A1083" s="735"/>
      <c r="B1083" s="1407"/>
      <c r="C1083" s="1303"/>
      <c r="D1083" s="1413"/>
      <c r="E1083" s="1275"/>
      <c r="F1083" s="1289"/>
      <c r="G1083" s="1305"/>
      <c r="H1083" s="1540"/>
      <c r="I1083" s="3081"/>
      <c r="J1083" s="1529"/>
      <c r="K1083" s="1529"/>
      <c r="L1083" s="3080"/>
      <c r="M1083" s="1529"/>
      <c r="N1083" s="1529"/>
      <c r="O1083" s="1273"/>
      <c r="P1083" s="1344"/>
      <c r="Q1083" s="1413"/>
      <c r="R1083" s="1403"/>
      <c r="S1083" s="1412"/>
      <c r="T1083" s="1412"/>
      <c r="U1083" s="1414"/>
      <c r="V1083" s="1403"/>
      <c r="W1083" s="1412"/>
      <c r="X1083" s="1403"/>
      <c r="Y1083" s="1403"/>
      <c r="Z1083" s="1403"/>
      <c r="AA1083" s="1403"/>
      <c r="AB1083" s="1403"/>
      <c r="AC1083" s="1403"/>
      <c r="AD1083" s="1403"/>
      <c r="AE1083" s="1403"/>
      <c r="AF1083" s="1332"/>
    </row>
    <row r="1084" spans="1:35" s="3056" customFormat="1" ht="19.5" customHeight="1">
      <c r="A1084" s="735"/>
      <c r="B1084" s="1407"/>
      <c r="C1084" s="1303"/>
      <c r="D1084" s="735"/>
      <c r="E1084" s="1275"/>
      <c r="F1084" s="1289"/>
      <c r="G1084" s="1305"/>
      <c r="H1084" s="1306" t="s">
        <v>1325</v>
      </c>
      <c r="I1084" s="3066" t="s">
        <v>121</v>
      </c>
      <c r="J1084" s="1298" t="s">
        <v>1230</v>
      </c>
      <c r="K1084" s="1298"/>
      <c r="L1084" s="3065" t="s">
        <v>121</v>
      </c>
      <c r="M1084" s="1298" t="s">
        <v>1248</v>
      </c>
      <c r="N1084" s="1298"/>
      <c r="O1084" s="1307"/>
      <c r="P1084" s="1298"/>
      <c r="Q1084" s="1307"/>
      <c r="R1084" s="1307"/>
      <c r="S1084" s="1307"/>
      <c r="T1084" s="1307"/>
      <c r="U1084" s="1307"/>
      <c r="V1084" s="1307"/>
      <c r="W1084" s="1307"/>
      <c r="X1084" s="1307"/>
      <c r="Y1084" s="1307"/>
      <c r="Z1084" s="1307"/>
      <c r="AA1084" s="1307"/>
      <c r="AB1084" s="1307"/>
      <c r="AC1084" s="1307"/>
      <c r="AD1084" s="1307"/>
      <c r="AE1084" s="1307"/>
      <c r="AF1084" s="1310"/>
      <c r="AI1084" s="3056" t="str">
        <f>"14S:field224:" &amp; IF(I1084="■",1,IF(L1084="■",2,0))</f>
        <v>14S:field224:0</v>
      </c>
    </row>
    <row r="1085" spans="1:35" s="3056" customFormat="1" ht="18.75" customHeight="1">
      <c r="A1085" s="736"/>
      <c r="B1085" s="1316"/>
      <c r="C1085" s="1346"/>
      <c r="D1085" s="736"/>
      <c r="E1085" s="1317"/>
      <c r="F1085" s="1318"/>
      <c r="G1085" s="1361"/>
      <c r="H1085" s="3079" t="s">
        <v>2263</v>
      </c>
      <c r="I1085" s="3078" t="s">
        <v>121</v>
      </c>
      <c r="J1085" s="3075" t="s">
        <v>1230</v>
      </c>
      <c r="K1085" s="3076"/>
      <c r="L1085" s="3077" t="s">
        <v>121</v>
      </c>
      <c r="M1085" s="3075" t="s">
        <v>1248</v>
      </c>
      <c r="N1085" s="3076"/>
      <c r="O1085" s="3075"/>
      <c r="P1085" s="3075"/>
      <c r="Q1085" s="3075"/>
      <c r="R1085" s="3075"/>
      <c r="S1085" s="3075"/>
      <c r="T1085" s="3075"/>
      <c r="U1085" s="3075"/>
      <c r="V1085" s="3075"/>
      <c r="W1085" s="3075"/>
      <c r="X1085" s="3075"/>
      <c r="Y1085" s="3075"/>
      <c r="Z1085" s="3075"/>
      <c r="AA1085" s="3075"/>
      <c r="AB1085" s="3075"/>
      <c r="AC1085" s="3075"/>
      <c r="AD1085" s="3075"/>
      <c r="AE1085" s="3075"/>
      <c r="AF1085" s="1361"/>
      <c r="AI1085" s="3056" t="str">
        <f>"14S:field150:" &amp; IF(I1085="■",1,IF(L1085="■",2,0))</f>
        <v>14S:field150:0</v>
      </c>
    </row>
    <row r="1086" spans="1:35" s="3056" customFormat="1" ht="18.75" hidden="1" customHeight="1">
      <c r="A1086" s="1276"/>
      <c r="B1086" s="1405"/>
      <c r="C1086" s="1350"/>
      <c r="D1086" s="1279"/>
      <c r="E1086" s="1272"/>
      <c r="F1086" s="1279"/>
      <c r="G1086" s="1351"/>
      <c r="H1086" s="1408" t="s">
        <v>90</v>
      </c>
      <c r="I1086" s="3074" t="s">
        <v>121</v>
      </c>
      <c r="J1086" s="1280" t="s">
        <v>1230</v>
      </c>
      <c r="K1086" s="1280"/>
      <c r="L1086" s="1365"/>
      <c r="M1086" s="3073" t="s">
        <v>121</v>
      </c>
      <c r="N1086" s="1280" t="s">
        <v>2262</v>
      </c>
      <c r="O1086" s="1280"/>
      <c r="P1086" s="1365"/>
      <c r="Q1086" s="3073" t="s">
        <v>121</v>
      </c>
      <c r="R1086" s="1365" t="s">
        <v>2261</v>
      </c>
      <c r="S1086" s="1365"/>
      <c r="T1086" s="1284"/>
      <c r="U1086" s="1284"/>
      <c r="V1086" s="1284"/>
      <c r="W1086" s="1284"/>
      <c r="X1086" s="1284"/>
      <c r="Y1086" s="1284"/>
      <c r="Z1086" s="1284"/>
      <c r="AA1086" s="1284"/>
      <c r="AB1086" s="1284"/>
      <c r="AC1086" s="1284"/>
      <c r="AD1086" s="1284"/>
      <c r="AE1086" s="1284"/>
      <c r="AF1086" s="1325"/>
      <c r="AG1086" s="3056" t="str">
        <f>"ser_code = '" &amp; IF(A1098="■","15S","") &amp; "'"</f>
        <v>ser_code = ''</v>
      </c>
      <c r="AI1086" s="3056" t="str">
        <f>"15:"&amp;IF(AND(I1086="□",M1086="□",Q1086="□"),"ketu_kangos_code:0",IF(I1086="■","ketu_kangos_code:1:ketu_kshoku_code:1",IF(M1086="■","ketu_kangos_code:2","ketu_kangos_code:1")&amp;IF(Q1086="■",":ketu_kshoku_code:2",":ketu_kshoku_code:1")))</f>
        <v>15:ketu_kangos_code:0</v>
      </c>
    </row>
    <row r="1087" spans="1:35" s="3056" customFormat="1" ht="19.5" hidden="1" customHeight="1">
      <c r="A1087" s="735"/>
      <c r="B1087" s="1407"/>
      <c r="C1087" s="1303"/>
      <c r="D1087" s="1304"/>
      <c r="E1087" s="1275"/>
      <c r="F1087" s="1289"/>
      <c r="G1087" s="1305"/>
      <c r="H1087" s="1306" t="s">
        <v>1244</v>
      </c>
      <c r="I1087" s="3066" t="s">
        <v>121</v>
      </c>
      <c r="J1087" s="1298" t="s">
        <v>1242</v>
      </c>
      <c r="K1087" s="1299"/>
      <c r="L1087" s="1300"/>
      <c r="M1087" s="3065" t="s">
        <v>121</v>
      </c>
      <c r="N1087" s="1298" t="s">
        <v>1245</v>
      </c>
      <c r="O1087" s="1298"/>
      <c r="P1087" s="1298"/>
      <c r="Q1087" s="1307"/>
      <c r="R1087" s="1307"/>
      <c r="S1087" s="1307"/>
      <c r="T1087" s="1307"/>
      <c r="U1087" s="1307"/>
      <c r="V1087" s="1307"/>
      <c r="W1087" s="1307"/>
      <c r="X1087" s="1307"/>
      <c r="Y1087" s="1307"/>
      <c r="Z1087" s="1307"/>
      <c r="AA1087" s="1307"/>
      <c r="AB1087" s="1307"/>
      <c r="AC1087" s="1307"/>
      <c r="AD1087" s="1307"/>
      <c r="AE1087" s="1307"/>
      <c r="AF1087" s="1293"/>
      <c r="AG1087" s="3056" t="str">
        <f>"15:sisetukbn_code:" &amp; IF(D1097="■",4,IF(D1098="■",6,IF(D1099="■",7,0)))</f>
        <v>15:sisetukbn_code:0</v>
      </c>
      <c r="AI1087" s="3056" t="str">
        <f>"15:field223:" &amp; IF(I1087="■",1,IF(M1087="■",2,0))</f>
        <v>15:field223:0</v>
      </c>
    </row>
    <row r="1088" spans="1:35" s="3056" customFormat="1" ht="19.5" hidden="1" customHeight="1">
      <c r="A1088" s="735"/>
      <c r="B1088" s="1407"/>
      <c r="C1088" s="1303"/>
      <c r="D1088" s="1304"/>
      <c r="E1088" s="1275"/>
      <c r="F1088" s="1289"/>
      <c r="G1088" s="1305"/>
      <c r="H1088" s="1306" t="s">
        <v>1246</v>
      </c>
      <c r="I1088" s="3066" t="s">
        <v>121</v>
      </c>
      <c r="J1088" s="1298" t="s">
        <v>1242</v>
      </c>
      <c r="K1088" s="1299"/>
      <c r="L1088" s="1300"/>
      <c r="M1088" s="3065" t="s">
        <v>121</v>
      </c>
      <c r="N1088" s="1298" t="s">
        <v>1245</v>
      </c>
      <c r="O1088" s="1298"/>
      <c r="P1088" s="1298"/>
      <c r="Q1088" s="1307"/>
      <c r="R1088" s="1307"/>
      <c r="S1088" s="1307"/>
      <c r="T1088" s="1307"/>
      <c r="U1088" s="1307"/>
      <c r="V1088" s="1307"/>
      <c r="W1088" s="1307"/>
      <c r="X1088" s="1307"/>
      <c r="Y1088" s="1307"/>
      <c r="Z1088" s="1307"/>
      <c r="AA1088" s="1307"/>
      <c r="AB1088" s="1307"/>
      <c r="AC1088" s="1307"/>
      <c r="AD1088" s="1307"/>
      <c r="AE1088" s="1307"/>
      <c r="AF1088" s="3072"/>
      <c r="AI1088" s="3056" t="str">
        <f>"15:field232:" &amp; IF(I1088="■",1,IF(M1088="■",2,0))</f>
        <v>15:field232:0</v>
      </c>
    </row>
    <row r="1089" spans="1:35" s="3056" customFormat="1" ht="18.75" hidden="1" customHeight="1">
      <c r="A1089" s="735"/>
      <c r="B1089" s="1407"/>
      <c r="C1089" s="1303"/>
      <c r="D1089" s="1304"/>
      <c r="E1089" s="1275"/>
      <c r="F1089" s="1289"/>
      <c r="G1089" s="3064"/>
      <c r="H1089" s="1409" t="s">
        <v>2260</v>
      </c>
      <c r="I1089" s="3066" t="s">
        <v>121</v>
      </c>
      <c r="J1089" s="1298" t="s">
        <v>1239</v>
      </c>
      <c r="K1089" s="1299"/>
      <c r="L1089" s="1326"/>
      <c r="M1089" s="3065" t="s">
        <v>121</v>
      </c>
      <c r="N1089" s="1298" t="s">
        <v>1240</v>
      </c>
      <c r="O1089" s="1299"/>
      <c r="P1089" s="1307"/>
      <c r="Q1089" s="1307"/>
      <c r="R1089" s="1307"/>
      <c r="S1089" s="1307"/>
      <c r="T1089" s="1307"/>
      <c r="U1089" s="1307"/>
      <c r="V1089" s="1307"/>
      <c r="W1089" s="1307"/>
      <c r="X1089" s="1307"/>
      <c r="Y1089" s="1307"/>
      <c r="Z1089" s="1307"/>
      <c r="AA1089" s="1307"/>
      <c r="AB1089" s="1307"/>
      <c r="AC1089" s="1307"/>
      <c r="AD1089" s="1307"/>
      <c r="AE1089" s="1307"/>
      <c r="AF1089" s="1308"/>
      <c r="AI1089" s="3056" t="str">
        <f>"15:timeser_code:" &amp; IF(I1089="■",1,IF(M1089="■",2,0))</f>
        <v>15:timeser_code:0</v>
      </c>
    </row>
    <row r="1090" spans="1:35" s="3056" customFormat="1" ht="18.75" hidden="1" customHeight="1">
      <c r="A1090" s="735"/>
      <c r="B1090" s="1407"/>
      <c r="C1090" s="1303"/>
      <c r="D1090" s="1304"/>
      <c r="E1090" s="1275"/>
      <c r="F1090" s="1289"/>
      <c r="G1090" s="3064"/>
      <c r="H1090" s="1539" t="s">
        <v>2259</v>
      </c>
      <c r="I1090" s="3071" t="s">
        <v>121</v>
      </c>
      <c r="J1090" s="1559" t="s">
        <v>1230</v>
      </c>
      <c r="K1090" s="1559"/>
      <c r="L1090" s="3071" t="s">
        <v>121</v>
      </c>
      <c r="M1090" s="1559" t="s">
        <v>1248</v>
      </c>
      <c r="N1090" s="1559"/>
      <c r="O1090" s="1402"/>
      <c r="P1090" s="1402"/>
      <c r="Q1090" s="1402"/>
      <c r="R1090" s="1402"/>
      <c r="S1090" s="1402"/>
      <c r="T1090" s="1402"/>
      <c r="U1090" s="1402"/>
      <c r="V1090" s="1402"/>
      <c r="W1090" s="1402"/>
      <c r="X1090" s="1402"/>
      <c r="Y1090" s="1402"/>
      <c r="Z1090" s="1402"/>
      <c r="AA1090" s="1402"/>
      <c r="AB1090" s="1402"/>
      <c r="AC1090" s="1402"/>
      <c r="AD1090" s="1402"/>
      <c r="AE1090" s="1402"/>
      <c r="AF1090" s="1291"/>
      <c r="AI1090" s="3056" t="str">
        <f>"15:field181:" &amp; IF(I1090="■",1,IF(L1090="■",2,0))</f>
        <v>15:field181:0</v>
      </c>
    </row>
    <row r="1091" spans="1:35" s="3056" customFormat="1" ht="18.75" hidden="1" customHeight="1">
      <c r="A1091" s="735"/>
      <c r="B1091" s="1407"/>
      <c r="C1091" s="1303"/>
      <c r="D1091" s="1304"/>
      <c r="E1091" s="1275"/>
      <c r="F1091" s="1289"/>
      <c r="G1091" s="3064"/>
      <c r="H1091" s="1540"/>
      <c r="I1091" s="3070"/>
      <c r="J1091" s="1529"/>
      <c r="K1091" s="1529"/>
      <c r="L1091" s="3070"/>
      <c r="M1091" s="1529"/>
      <c r="N1091" s="1529"/>
      <c r="O1091" s="1403"/>
      <c r="P1091" s="1403"/>
      <c r="Q1091" s="1403"/>
      <c r="R1091" s="1403"/>
      <c r="S1091" s="1403"/>
      <c r="T1091" s="1403"/>
      <c r="U1091" s="1403"/>
      <c r="V1091" s="1403"/>
      <c r="W1091" s="1403"/>
      <c r="X1091" s="1403"/>
      <c r="Y1091" s="1403"/>
      <c r="Z1091" s="1403"/>
      <c r="AA1091" s="1403"/>
      <c r="AB1091" s="1403"/>
      <c r="AC1091" s="1403"/>
      <c r="AD1091" s="1403"/>
      <c r="AE1091" s="1403"/>
      <c r="AF1091" s="1297"/>
    </row>
    <row r="1092" spans="1:35" s="3056" customFormat="1" ht="18.75" hidden="1" customHeight="1">
      <c r="A1092" s="735"/>
      <c r="B1092" s="1407"/>
      <c r="C1092" s="1303"/>
      <c r="D1092" s="1304"/>
      <c r="E1092" s="1275"/>
      <c r="F1092" s="1289"/>
      <c r="G1092" s="3064"/>
      <c r="H1092" s="1539" t="s">
        <v>2258</v>
      </c>
      <c r="I1092" s="3071" t="s">
        <v>121</v>
      </c>
      <c r="J1092" s="1559" t="s">
        <v>1230</v>
      </c>
      <c r="K1092" s="1559"/>
      <c r="L1092" s="3071" t="s">
        <v>121</v>
      </c>
      <c r="M1092" s="1559" t="s">
        <v>1248</v>
      </c>
      <c r="N1092" s="1559"/>
      <c r="O1092" s="1402"/>
      <c r="P1092" s="1402"/>
      <c r="Q1092" s="1402"/>
      <c r="R1092" s="1402"/>
      <c r="S1092" s="1402"/>
      <c r="T1092" s="1402"/>
      <c r="U1092" s="1402"/>
      <c r="V1092" s="1402"/>
      <c r="W1092" s="1402"/>
      <c r="X1092" s="1402"/>
      <c r="Y1092" s="1402"/>
      <c r="Z1092" s="1402"/>
      <c r="AA1092" s="1402"/>
      <c r="AB1092" s="1402"/>
      <c r="AC1092" s="1402"/>
      <c r="AD1092" s="1402"/>
      <c r="AE1092" s="1402"/>
      <c r="AF1092" s="1291"/>
      <c r="AI1092" s="3056" t="str">
        <f>"15:field182:" &amp; IF(I1092="■",1,IF(L1092="■",2,0))</f>
        <v>15:field182:0</v>
      </c>
    </row>
    <row r="1093" spans="1:35" s="3056" customFormat="1" ht="18.75" hidden="1" customHeight="1">
      <c r="A1093" s="735"/>
      <c r="B1093" s="1407"/>
      <c r="C1093" s="1303"/>
      <c r="D1093" s="1304"/>
      <c r="E1093" s="1275"/>
      <c r="F1093" s="1289"/>
      <c r="G1093" s="3064"/>
      <c r="H1093" s="1540"/>
      <c r="I1093" s="3070"/>
      <c r="J1093" s="1529"/>
      <c r="K1093" s="1529"/>
      <c r="L1093" s="3070"/>
      <c r="M1093" s="1529"/>
      <c r="N1093" s="1529"/>
      <c r="O1093" s="1403"/>
      <c r="P1093" s="1403"/>
      <c r="Q1093" s="1403"/>
      <c r="R1093" s="1403"/>
      <c r="S1093" s="1403"/>
      <c r="T1093" s="1403"/>
      <c r="U1093" s="1403"/>
      <c r="V1093" s="1403"/>
      <c r="W1093" s="1403"/>
      <c r="X1093" s="1403"/>
      <c r="Y1093" s="1403"/>
      <c r="Z1093" s="1403"/>
      <c r="AA1093" s="1403"/>
      <c r="AB1093" s="1403"/>
      <c r="AC1093" s="1403"/>
      <c r="AD1093" s="1403"/>
      <c r="AE1093" s="1403"/>
      <c r="AF1093" s="1297"/>
    </row>
    <row r="1094" spans="1:35" s="3056" customFormat="1" ht="18.75" hidden="1" customHeight="1">
      <c r="A1094" s="735"/>
      <c r="B1094" s="1407"/>
      <c r="C1094" s="1303"/>
      <c r="D1094" s="1304"/>
      <c r="E1094" s="1275"/>
      <c r="F1094" s="1289"/>
      <c r="G1094" s="3064"/>
      <c r="H1094" s="1539" t="s">
        <v>2257</v>
      </c>
      <c r="I1094" s="3071" t="s">
        <v>121</v>
      </c>
      <c r="J1094" s="1559" t="s">
        <v>1230</v>
      </c>
      <c r="K1094" s="1559"/>
      <c r="L1094" s="3071" t="s">
        <v>121</v>
      </c>
      <c r="M1094" s="1559" t="s">
        <v>1248</v>
      </c>
      <c r="N1094" s="1559"/>
      <c r="O1094" s="1402"/>
      <c r="P1094" s="1402"/>
      <c r="Q1094" s="1402"/>
      <c r="R1094" s="1402"/>
      <c r="S1094" s="1402"/>
      <c r="T1094" s="1402"/>
      <c r="U1094" s="1402"/>
      <c r="V1094" s="1402"/>
      <c r="W1094" s="1402"/>
      <c r="X1094" s="1402"/>
      <c r="Y1094" s="1402"/>
      <c r="Z1094" s="1402"/>
      <c r="AA1094" s="1402"/>
      <c r="AB1094" s="1402"/>
      <c r="AC1094" s="1402"/>
      <c r="AD1094" s="1402"/>
      <c r="AE1094" s="1402"/>
      <c r="AF1094" s="1291"/>
      <c r="AI1094" s="3056" t="str">
        <f>"15:field183:" &amp; IF(I1094="■",1,IF(L1094="■",2,0))</f>
        <v>15:field183:0</v>
      </c>
    </row>
    <row r="1095" spans="1:35" s="3056" customFormat="1" ht="18.75" hidden="1" customHeight="1">
      <c r="A1095" s="735"/>
      <c r="B1095" s="1407"/>
      <c r="C1095" s="1303"/>
      <c r="D1095" s="1304"/>
      <c r="E1095" s="1275"/>
      <c r="F1095" s="1289"/>
      <c r="G1095" s="3064"/>
      <c r="H1095" s="1540"/>
      <c r="I1095" s="3070"/>
      <c r="J1095" s="1529"/>
      <c r="K1095" s="1529"/>
      <c r="L1095" s="3070"/>
      <c r="M1095" s="1529"/>
      <c r="N1095" s="1529"/>
      <c r="O1095" s="1403"/>
      <c r="P1095" s="1403"/>
      <c r="Q1095" s="1403"/>
      <c r="R1095" s="1403"/>
      <c r="S1095" s="1403"/>
      <c r="T1095" s="1403"/>
      <c r="U1095" s="1403"/>
      <c r="V1095" s="1403"/>
      <c r="W1095" s="1403"/>
      <c r="X1095" s="1403"/>
      <c r="Y1095" s="1403"/>
      <c r="Z1095" s="1403"/>
      <c r="AA1095" s="1403"/>
      <c r="AB1095" s="1403"/>
      <c r="AC1095" s="1403"/>
      <c r="AD1095" s="1403"/>
      <c r="AE1095" s="1403"/>
      <c r="AF1095" s="1297"/>
    </row>
    <row r="1096" spans="1:35" s="3056" customFormat="1" ht="18.75" hidden="1" customHeight="1">
      <c r="A1096" s="735"/>
      <c r="B1096" s="1407"/>
      <c r="C1096" s="1303"/>
      <c r="D1096" s="1304"/>
      <c r="E1096" s="1275"/>
      <c r="F1096" s="1289"/>
      <c r="G1096" s="3064"/>
      <c r="H1096" s="1539" t="s">
        <v>2256</v>
      </c>
      <c r="I1096" s="3071" t="s">
        <v>121</v>
      </c>
      <c r="J1096" s="1559" t="s">
        <v>1230</v>
      </c>
      <c r="K1096" s="1559"/>
      <c r="L1096" s="3071" t="s">
        <v>121</v>
      </c>
      <c r="M1096" s="1559" t="s">
        <v>1248</v>
      </c>
      <c r="N1096" s="1559"/>
      <c r="O1096" s="1402"/>
      <c r="P1096" s="1402"/>
      <c r="Q1096" s="1402"/>
      <c r="R1096" s="1402"/>
      <c r="S1096" s="1402"/>
      <c r="T1096" s="1402"/>
      <c r="U1096" s="1402"/>
      <c r="V1096" s="1402"/>
      <c r="W1096" s="1402"/>
      <c r="X1096" s="1402"/>
      <c r="Y1096" s="1402"/>
      <c r="Z1096" s="1402"/>
      <c r="AA1096" s="1402"/>
      <c r="AB1096" s="1402"/>
      <c r="AC1096" s="1402"/>
      <c r="AD1096" s="1402"/>
      <c r="AE1096" s="1402"/>
      <c r="AF1096" s="1291"/>
      <c r="AI1096" s="3056" t="str">
        <f>"15:field184:" &amp; IF(I1096="■",1,IF(L1096="■",2,0))</f>
        <v>15:field184:0</v>
      </c>
    </row>
    <row r="1097" spans="1:35" s="3056" customFormat="1" ht="18.75" hidden="1" customHeight="1">
      <c r="A1097" s="735"/>
      <c r="B1097" s="1407"/>
      <c r="C1097" s="1303"/>
      <c r="D1097" s="3069" t="s">
        <v>121</v>
      </c>
      <c r="E1097" s="1275" t="s">
        <v>2255</v>
      </c>
      <c r="F1097" s="1289"/>
      <c r="G1097" s="3064"/>
      <c r="H1097" s="1540"/>
      <c r="I1097" s="3070"/>
      <c r="J1097" s="1529"/>
      <c r="K1097" s="1529"/>
      <c r="L1097" s="3070"/>
      <c r="M1097" s="1529"/>
      <c r="N1097" s="1529"/>
      <c r="O1097" s="1403"/>
      <c r="P1097" s="1403"/>
      <c r="Q1097" s="1403"/>
      <c r="R1097" s="1403"/>
      <c r="S1097" s="1403"/>
      <c r="T1097" s="1403"/>
      <c r="U1097" s="1403"/>
      <c r="V1097" s="1403"/>
      <c r="W1097" s="1403"/>
      <c r="X1097" s="1403"/>
      <c r="Y1097" s="1403"/>
      <c r="Z1097" s="1403"/>
      <c r="AA1097" s="1403"/>
      <c r="AB1097" s="1403"/>
      <c r="AC1097" s="1403"/>
      <c r="AD1097" s="1403"/>
      <c r="AE1097" s="1403"/>
      <c r="AF1097" s="1297"/>
    </row>
    <row r="1098" spans="1:35" s="3056" customFormat="1" ht="18.75" hidden="1" customHeight="1">
      <c r="A1098" s="3069" t="s">
        <v>121</v>
      </c>
      <c r="B1098" s="1407">
        <v>15</v>
      </c>
      <c r="C1098" s="1353" t="s">
        <v>4</v>
      </c>
      <c r="D1098" s="3069" t="s">
        <v>121</v>
      </c>
      <c r="E1098" s="1275" t="s">
        <v>2254</v>
      </c>
      <c r="F1098" s="1289"/>
      <c r="G1098" s="3064"/>
      <c r="H1098" s="1312" t="s">
        <v>2253</v>
      </c>
      <c r="I1098" s="3063" t="s">
        <v>121</v>
      </c>
      <c r="J1098" s="1296" t="s">
        <v>1230</v>
      </c>
      <c r="K1098" s="1309"/>
      <c r="L1098" s="3062" t="s">
        <v>121</v>
      </c>
      <c r="M1098" s="1296" t="s">
        <v>1248</v>
      </c>
      <c r="N1098" s="1309"/>
      <c r="O1098" s="1326"/>
      <c r="P1098" s="1326"/>
      <c r="Q1098" s="1326"/>
      <c r="R1098" s="1326"/>
      <c r="S1098" s="1326"/>
      <c r="T1098" s="1326"/>
      <c r="U1098" s="1326"/>
      <c r="V1098" s="1326"/>
      <c r="W1098" s="1326"/>
      <c r="X1098" s="1326"/>
      <c r="Y1098" s="1326"/>
      <c r="Z1098" s="1326"/>
      <c r="AA1098" s="1326"/>
      <c r="AB1098" s="1326"/>
      <c r="AC1098" s="1326"/>
      <c r="AD1098" s="1326"/>
      <c r="AE1098" s="1326"/>
      <c r="AF1098" s="1327"/>
      <c r="AI1098" s="3056" t="str">
        <f>"15:field151:" &amp; IF(I1098="■",1,IF(L1098="■",2,0))</f>
        <v>15:field151:0</v>
      </c>
    </row>
    <row r="1099" spans="1:35" s="3056" customFormat="1" ht="18.75" hidden="1" customHeight="1">
      <c r="A1099" s="735"/>
      <c r="B1099" s="1407"/>
      <c r="C1099" s="1303"/>
      <c r="D1099" s="3069" t="s">
        <v>121</v>
      </c>
      <c r="E1099" s="1275" t="s">
        <v>2252</v>
      </c>
      <c r="F1099" s="1289"/>
      <c r="G1099" s="3064"/>
      <c r="H1099" s="1410" t="s">
        <v>1297</v>
      </c>
      <c r="I1099" s="3066" t="s">
        <v>121</v>
      </c>
      <c r="J1099" s="1298" t="s">
        <v>1230</v>
      </c>
      <c r="K1099" s="1298"/>
      <c r="L1099" s="3065" t="s">
        <v>121</v>
      </c>
      <c r="M1099" s="1298" t="s">
        <v>1256</v>
      </c>
      <c r="N1099" s="1298"/>
      <c r="O1099" s="3065" t="s">
        <v>121</v>
      </c>
      <c r="P1099" s="1298" t="s">
        <v>1257</v>
      </c>
      <c r="Q1099" s="1307"/>
      <c r="R1099" s="3068"/>
      <c r="S1099" s="3068"/>
      <c r="T1099" s="3068"/>
      <c r="U1099" s="3068"/>
      <c r="V1099" s="3068"/>
      <c r="W1099" s="3068"/>
      <c r="X1099" s="3068"/>
      <c r="Y1099" s="3068"/>
      <c r="Z1099" s="3068"/>
      <c r="AA1099" s="3068"/>
      <c r="AB1099" s="3068"/>
      <c r="AC1099" s="3068"/>
      <c r="AD1099" s="3068"/>
      <c r="AE1099" s="3068"/>
      <c r="AF1099" s="3067"/>
      <c r="AI1099" s="3056" t="str">
        <f>"15:nyukai_code:" &amp; IF(I1099="■",1,IF(O1099="■",3,IF(L1099="■",2,0)))</f>
        <v>15:nyukai_code:0</v>
      </c>
    </row>
    <row r="1100" spans="1:35" s="3056" customFormat="1" ht="18.75" hidden="1" customHeight="1">
      <c r="A1100" s="735"/>
      <c r="B1100" s="1407"/>
      <c r="C1100" s="1303"/>
      <c r="D1100" s="1304"/>
      <c r="E1100" s="1275"/>
      <c r="F1100" s="1289"/>
      <c r="G1100" s="3064"/>
      <c r="H1100" s="1410" t="s">
        <v>2251</v>
      </c>
      <c r="I1100" s="3063" t="s">
        <v>121</v>
      </c>
      <c r="J1100" s="1296" t="s">
        <v>1230</v>
      </c>
      <c r="K1100" s="1309"/>
      <c r="L1100" s="3062" t="s">
        <v>121</v>
      </c>
      <c r="M1100" s="1296" t="s">
        <v>1248</v>
      </c>
      <c r="N1100" s="1309"/>
      <c r="O1100" s="1307"/>
      <c r="P1100" s="1307"/>
      <c r="Q1100" s="1307"/>
      <c r="R1100" s="1307"/>
      <c r="S1100" s="1307"/>
      <c r="T1100" s="1307"/>
      <c r="U1100" s="1307"/>
      <c r="V1100" s="1307"/>
      <c r="W1100" s="1307"/>
      <c r="X1100" s="1307"/>
      <c r="Y1100" s="1307"/>
      <c r="Z1100" s="1307"/>
      <c r="AA1100" s="1307"/>
      <c r="AB1100" s="1307"/>
      <c r="AC1100" s="1307"/>
      <c r="AD1100" s="1307"/>
      <c r="AE1100" s="1307"/>
      <c r="AF1100" s="1308"/>
      <c r="AI1100" s="3056" t="str">
        <f>"15:field153:" &amp; IF(I1100="■",1,IF(L1100="■",2,0))</f>
        <v>15:field153:0</v>
      </c>
    </row>
    <row r="1101" spans="1:35" s="3056" customFormat="1" ht="18.75" hidden="1" customHeight="1">
      <c r="A1101" s="735"/>
      <c r="B1101" s="1407"/>
      <c r="C1101" s="1303"/>
      <c r="D1101" s="1304"/>
      <c r="E1101" s="1275"/>
      <c r="F1101" s="1289"/>
      <c r="G1101" s="3064"/>
      <c r="H1101" s="1410" t="s">
        <v>2250</v>
      </c>
      <c r="I1101" s="3066" t="s">
        <v>121</v>
      </c>
      <c r="J1101" s="1298" t="s">
        <v>1230</v>
      </c>
      <c r="K1101" s="1298"/>
      <c r="L1101" s="3065" t="s">
        <v>121</v>
      </c>
      <c r="M1101" s="1298" t="s">
        <v>1263</v>
      </c>
      <c r="N1101" s="1298"/>
      <c r="O1101" s="3065" t="s">
        <v>121</v>
      </c>
      <c r="P1101" s="1298" t="s">
        <v>1287</v>
      </c>
      <c r="Q1101" s="1307"/>
      <c r="R1101" s="1326"/>
      <c r="S1101" s="1326"/>
      <c r="T1101" s="1326"/>
      <c r="U1101" s="1326"/>
      <c r="V1101" s="1326"/>
      <c r="W1101" s="1326"/>
      <c r="X1101" s="1326"/>
      <c r="Y1101" s="1326"/>
      <c r="Z1101" s="1326"/>
      <c r="AA1101" s="1326"/>
      <c r="AB1101" s="1326"/>
      <c r="AC1101" s="1326"/>
      <c r="AD1101" s="1326"/>
      <c r="AE1101" s="1326"/>
      <c r="AF1101" s="1327"/>
      <c r="AI1101" s="3056" t="str">
        <f>"15:field185:" &amp; IF(I1101="■",1,IF(L1101="■",3,IF(O1101="■",2,0)))</f>
        <v>15:field185:0</v>
      </c>
    </row>
    <row r="1102" spans="1:35" s="3056" customFormat="1" ht="18.75" hidden="1" customHeight="1">
      <c r="A1102" s="735"/>
      <c r="B1102" s="1407"/>
      <c r="C1102" s="1303"/>
      <c r="D1102" s="1304"/>
      <c r="E1102" s="1275"/>
      <c r="F1102" s="1289"/>
      <c r="G1102" s="3064"/>
      <c r="H1102" s="1410" t="s">
        <v>2249</v>
      </c>
      <c r="I1102" s="3066" t="s">
        <v>121</v>
      </c>
      <c r="J1102" s="1298" t="s">
        <v>1230</v>
      </c>
      <c r="K1102" s="1298"/>
      <c r="L1102" s="3065" t="s">
        <v>121</v>
      </c>
      <c r="M1102" s="1298" t="s">
        <v>2248</v>
      </c>
      <c r="N1102" s="1326"/>
      <c r="O1102" s="1326"/>
      <c r="P1102" s="3065" t="s">
        <v>121</v>
      </c>
      <c r="Q1102" s="1298" t="s">
        <v>2247</v>
      </c>
      <c r="R1102" s="1326"/>
      <c r="S1102" s="1326"/>
      <c r="T1102" s="1326"/>
      <c r="U1102" s="1326"/>
      <c r="V1102" s="1326"/>
      <c r="W1102" s="1326"/>
      <c r="X1102" s="1326"/>
      <c r="Y1102" s="1326"/>
      <c r="Z1102" s="1326"/>
      <c r="AA1102" s="1326"/>
      <c r="AB1102" s="1326"/>
      <c r="AC1102" s="1326"/>
      <c r="AD1102" s="1326"/>
      <c r="AE1102" s="1326"/>
      <c r="AF1102" s="1327"/>
      <c r="AI1102" s="3056" t="str">
        <f>"15:field205:" &amp; IF(I1102="■",1,IF(P1102="■",3,IF(L1102="■",2,0)))</f>
        <v>15:field205:0</v>
      </c>
    </row>
    <row r="1103" spans="1:35" s="3056" customFormat="1" ht="18.75" hidden="1" customHeight="1">
      <c r="A1103" s="735"/>
      <c r="B1103" s="1407"/>
      <c r="C1103" s="1303"/>
      <c r="D1103" s="1304"/>
      <c r="E1103" s="1275"/>
      <c r="F1103" s="1289"/>
      <c r="G1103" s="3064"/>
      <c r="H1103" s="1410" t="s">
        <v>2246</v>
      </c>
      <c r="I1103" s="3063" t="s">
        <v>121</v>
      </c>
      <c r="J1103" s="1296" t="s">
        <v>1230</v>
      </c>
      <c r="K1103" s="1309"/>
      <c r="L1103" s="3062" t="s">
        <v>121</v>
      </c>
      <c r="M1103" s="1296" t="s">
        <v>1248</v>
      </c>
      <c r="N1103" s="1309"/>
      <c r="O1103" s="1326"/>
      <c r="P1103" s="1326"/>
      <c r="Q1103" s="1326"/>
      <c r="R1103" s="1326"/>
      <c r="S1103" s="1326"/>
      <c r="T1103" s="1326"/>
      <c r="U1103" s="1326"/>
      <c r="V1103" s="1326"/>
      <c r="W1103" s="1326"/>
      <c r="X1103" s="1326"/>
      <c r="Y1103" s="1326"/>
      <c r="Z1103" s="1326"/>
      <c r="AA1103" s="1326"/>
      <c r="AB1103" s="1326"/>
      <c r="AC1103" s="1326"/>
      <c r="AD1103" s="1326"/>
      <c r="AE1103" s="1326"/>
      <c r="AF1103" s="1327"/>
      <c r="AI1103" s="3056" t="str">
        <f>"15:field186:" &amp; IF(I1103="■",1,IF(L1103="■",2,0))</f>
        <v>15:field186:0</v>
      </c>
    </row>
    <row r="1104" spans="1:35" s="3056" customFormat="1" ht="18.75" hidden="1" customHeight="1">
      <c r="A1104" s="735"/>
      <c r="B1104" s="1407"/>
      <c r="C1104" s="1303"/>
      <c r="D1104" s="1304"/>
      <c r="E1104" s="1275"/>
      <c r="F1104" s="1289"/>
      <c r="G1104" s="3064"/>
      <c r="H1104" s="1409" t="s">
        <v>2245</v>
      </c>
      <c r="I1104" s="3063" t="s">
        <v>121</v>
      </c>
      <c r="J1104" s="1296" t="s">
        <v>1230</v>
      </c>
      <c r="K1104" s="1309"/>
      <c r="L1104" s="3062" t="s">
        <v>121</v>
      </c>
      <c r="M1104" s="1296" t="s">
        <v>1248</v>
      </c>
      <c r="N1104" s="1309"/>
      <c r="O1104" s="1307"/>
      <c r="P1104" s="1307"/>
      <c r="Q1104" s="1307"/>
      <c r="R1104" s="1307"/>
      <c r="S1104" s="1307"/>
      <c r="T1104" s="1307"/>
      <c r="U1104" s="1307"/>
      <c r="V1104" s="1307"/>
      <c r="W1104" s="1307"/>
      <c r="X1104" s="1307"/>
      <c r="Y1104" s="1307"/>
      <c r="Z1104" s="1307"/>
      <c r="AA1104" s="1307"/>
      <c r="AB1104" s="1307"/>
      <c r="AC1104" s="1307"/>
      <c r="AD1104" s="1307"/>
      <c r="AE1104" s="1307"/>
      <c r="AF1104" s="1308"/>
      <c r="AI1104" s="3056" t="str">
        <f>"15:field167:" &amp; IF(I1104="■",1,IF(L1104="■",2,0))</f>
        <v>15:field167:0</v>
      </c>
    </row>
    <row r="1105" spans="1:35" s="3056" customFormat="1" ht="18.75" hidden="1" customHeight="1">
      <c r="A1105" s="735"/>
      <c r="B1105" s="1407"/>
      <c r="C1105" s="1303"/>
      <c r="D1105" s="1304"/>
      <c r="E1105" s="1275"/>
      <c r="F1105" s="1289"/>
      <c r="G1105" s="3064"/>
      <c r="H1105" s="1409" t="s">
        <v>1305</v>
      </c>
      <c r="I1105" s="3063" t="s">
        <v>121</v>
      </c>
      <c r="J1105" s="1296" t="s">
        <v>1230</v>
      </c>
      <c r="K1105" s="1309"/>
      <c r="L1105" s="3062" t="s">
        <v>121</v>
      </c>
      <c r="M1105" s="1296" t="s">
        <v>1248</v>
      </c>
      <c r="N1105" s="1309"/>
      <c r="O1105" s="1307"/>
      <c r="P1105" s="1307"/>
      <c r="Q1105" s="1307"/>
      <c r="R1105" s="1307"/>
      <c r="S1105" s="1307"/>
      <c r="T1105" s="1307"/>
      <c r="U1105" s="1307"/>
      <c r="V1105" s="1307"/>
      <c r="W1105" s="1307"/>
      <c r="X1105" s="1307"/>
      <c r="Y1105" s="1307"/>
      <c r="Z1105" s="1307"/>
      <c r="AA1105" s="1307"/>
      <c r="AB1105" s="1307"/>
      <c r="AC1105" s="1307"/>
      <c r="AD1105" s="1307"/>
      <c r="AE1105" s="1307"/>
      <c r="AF1105" s="1308"/>
      <c r="AI1105" s="3056" t="str">
        <f>"15:jyakuninti_uke_code:" &amp; IF(I1105="■",1,IF(L1105="■",2,0))</f>
        <v>15:jyakuninti_uke_code:0</v>
      </c>
    </row>
    <row r="1106" spans="1:35" s="3056" customFormat="1" ht="18.75" hidden="1" customHeight="1">
      <c r="A1106" s="735"/>
      <c r="B1106" s="1407"/>
      <c r="C1106" s="1303"/>
      <c r="D1106" s="1304"/>
      <c r="E1106" s="1275"/>
      <c r="F1106" s="1289"/>
      <c r="G1106" s="3064"/>
      <c r="H1106" s="1273" t="s">
        <v>1306</v>
      </c>
      <c r="I1106" s="3063" t="s">
        <v>121</v>
      </c>
      <c r="J1106" s="1296" t="s">
        <v>1230</v>
      </c>
      <c r="K1106" s="1309"/>
      <c r="L1106" s="3062" t="s">
        <v>121</v>
      </c>
      <c r="M1106" s="1296" t="s">
        <v>1248</v>
      </c>
      <c r="N1106" s="1309"/>
      <c r="O1106" s="1307"/>
      <c r="P1106" s="1307"/>
      <c r="Q1106" s="1307"/>
      <c r="R1106" s="1307"/>
      <c r="S1106" s="1307"/>
      <c r="T1106" s="1307"/>
      <c r="U1106" s="1307"/>
      <c r="V1106" s="1307"/>
      <c r="W1106" s="1307"/>
      <c r="X1106" s="1307"/>
      <c r="Y1106" s="1307"/>
      <c r="Z1106" s="1307"/>
      <c r="AA1106" s="1307"/>
      <c r="AB1106" s="1307"/>
      <c r="AC1106" s="1307"/>
      <c r="AD1106" s="1307"/>
      <c r="AE1106" s="1307"/>
      <c r="AF1106" s="1308"/>
      <c r="AI1106" s="3056" t="str">
        <f>"15:eiyomana_code:" &amp; IF(I1106="■",1,IF(L1106="■",2,0))</f>
        <v>15:eiyomana_code:0</v>
      </c>
    </row>
    <row r="1107" spans="1:35" s="3056" customFormat="1" ht="18.75" hidden="1" customHeight="1">
      <c r="A1107" s="735"/>
      <c r="B1107" s="1407"/>
      <c r="C1107" s="1303"/>
      <c r="D1107" s="1304"/>
      <c r="E1107" s="1275"/>
      <c r="F1107" s="1289"/>
      <c r="G1107" s="3064"/>
      <c r="H1107" s="1410" t="s">
        <v>1307</v>
      </c>
      <c r="I1107" s="3063" t="s">
        <v>121</v>
      </c>
      <c r="J1107" s="1296" t="s">
        <v>1230</v>
      </c>
      <c r="K1107" s="1309"/>
      <c r="L1107" s="3062" t="s">
        <v>121</v>
      </c>
      <c r="M1107" s="1296" t="s">
        <v>1248</v>
      </c>
      <c r="N1107" s="1309"/>
      <c r="O1107" s="1298"/>
      <c r="P1107" s="1298"/>
      <c r="Q1107" s="1298"/>
      <c r="R1107" s="1298"/>
      <c r="S1107" s="1298"/>
      <c r="T1107" s="1298"/>
      <c r="U1107" s="1298"/>
      <c r="V1107" s="1298"/>
      <c r="W1107" s="1298"/>
      <c r="X1107" s="1298"/>
      <c r="Y1107" s="1298"/>
      <c r="Z1107" s="1298"/>
      <c r="AA1107" s="1298"/>
      <c r="AB1107" s="1298"/>
      <c r="AC1107" s="1298"/>
      <c r="AD1107" s="1298"/>
      <c r="AE1107" s="1298"/>
      <c r="AF1107" s="1310"/>
      <c r="AI1107" s="3056" t="str">
        <f>"15:koukoukino_code:" &amp; IF(I1107="■",1,IF(L1107="■",2,0))</f>
        <v>15:koukoukino_code:0</v>
      </c>
    </row>
    <row r="1108" spans="1:35" s="3056" customFormat="1" ht="18.75" hidden="1" customHeight="1">
      <c r="A1108" s="736"/>
      <c r="B1108" s="1316"/>
      <c r="C1108" s="1346"/>
      <c r="D1108" s="1348"/>
      <c r="E1108" s="1317"/>
      <c r="F1108" s="1318"/>
      <c r="G1108" s="3061"/>
      <c r="H1108" s="1369" t="s">
        <v>764</v>
      </c>
      <c r="I1108" s="3060" t="s">
        <v>121</v>
      </c>
      <c r="J1108" s="1320" t="s">
        <v>1230</v>
      </c>
      <c r="K1108" s="1373"/>
      <c r="L1108" s="3059" t="s">
        <v>121</v>
      </c>
      <c r="M1108" s="1320" t="s">
        <v>1248</v>
      </c>
      <c r="N1108" s="1373"/>
      <c r="O1108" s="1320"/>
      <c r="P1108" s="1320"/>
      <c r="Q1108" s="1320"/>
      <c r="R1108" s="1320"/>
      <c r="S1108" s="1320"/>
      <c r="T1108" s="1320"/>
      <c r="U1108" s="1320"/>
      <c r="V1108" s="1320"/>
      <c r="W1108" s="1320"/>
      <c r="X1108" s="1320"/>
      <c r="Y1108" s="1320"/>
      <c r="Z1108" s="1320"/>
      <c r="AA1108" s="1320"/>
      <c r="AB1108" s="1320"/>
      <c r="AC1108" s="1320"/>
      <c r="AD1108" s="1320"/>
      <c r="AE1108" s="1320"/>
      <c r="AF1108" s="1321"/>
      <c r="AI1108" s="3056" t="str">
        <f>"15:field212:" &amp; IF(I1108="■",1,IF(L1108="■",2,0))</f>
        <v>15:field212:0</v>
      </c>
    </row>
    <row r="1109" spans="1:35" s="3056" customFormat="1" ht="8.25" customHeight="1">
      <c r="A1109" s="3058"/>
      <c r="B1109" s="3058"/>
      <c r="C1109" s="1412"/>
      <c r="D1109" s="1412"/>
      <c r="E1109" s="1412"/>
      <c r="F1109" s="1412"/>
      <c r="G1109" s="1273"/>
      <c r="H1109" s="1273"/>
      <c r="I1109" s="1273"/>
      <c r="J1109" s="1273"/>
      <c r="K1109" s="1273"/>
      <c r="L1109" s="1273"/>
      <c r="M1109" s="1273"/>
      <c r="N1109" s="1273"/>
      <c r="O1109" s="1273"/>
      <c r="P1109" s="1273"/>
      <c r="Q1109" s="1273"/>
      <c r="R1109" s="1273"/>
      <c r="S1109" s="1273"/>
      <c r="T1109" s="1273"/>
      <c r="U1109" s="1273"/>
      <c r="V1109" s="1273"/>
      <c r="W1109" s="1273"/>
      <c r="X1109" s="1273"/>
      <c r="Y1109" s="1273"/>
      <c r="Z1109" s="1273"/>
      <c r="AA1109" s="1273"/>
      <c r="AB1109" s="1273"/>
      <c r="AC1109" s="1412"/>
      <c r="AD1109" s="1412"/>
      <c r="AE1109" s="1412"/>
      <c r="AF1109" s="1412"/>
    </row>
    <row r="1110" spans="1:35" s="3056" customFormat="1" ht="20.25" customHeight="1">
      <c r="A1110" s="3058"/>
      <c r="B1110" s="3058"/>
      <c r="C1110" s="2" t="s">
        <v>2244</v>
      </c>
      <c r="D1110" s="1273"/>
      <c r="E1110" s="3057"/>
      <c r="F1110" s="3057"/>
      <c r="G1110" s="3057"/>
      <c r="H1110" s="3057"/>
      <c r="I1110" s="3057"/>
      <c r="J1110" s="3057"/>
      <c r="K1110" s="3057"/>
      <c r="L1110" s="3057"/>
      <c r="M1110" s="3057"/>
      <c r="N1110" s="3057"/>
      <c r="O1110" s="3057"/>
      <c r="P1110" s="3057"/>
      <c r="Q1110" s="3057"/>
      <c r="R1110" s="3057"/>
      <c r="S1110" s="3057"/>
      <c r="T1110" s="3057"/>
      <c r="U1110" s="3057"/>
      <c r="V1110" s="3057"/>
      <c r="W1110" s="1412"/>
      <c r="X1110" s="1412"/>
      <c r="Y1110" s="1412"/>
      <c r="Z1110" s="1412"/>
      <c r="AA1110" s="1412"/>
      <c r="AB1110" s="1412"/>
      <c r="AC1110" s="1412"/>
      <c r="AD1110" s="1412"/>
      <c r="AE1110" s="1412"/>
      <c r="AF1110" s="1412"/>
    </row>
  </sheetData>
  <sheetProtection algorithmName="SHA-512" hashValue="95ZbnQTaHalVQxDSElLSO5VpHgFT/q4+C6fg2Odcbk4RaMxE/gXZ98MHzW54kIZLuk0VUCp5L9iRISQmQMGsRA==" saltValue="gdAHEUy4vI7aEr/irWvuMA==" spinCount="100000" sheet="1" objects="1" scenarios="1"/>
  <mergeCells count="630">
    <mergeCell ref="H897:H898"/>
    <mergeCell ref="AC897:AF919"/>
    <mergeCell ref="J928:K929"/>
    <mergeCell ref="H880:H881"/>
    <mergeCell ref="Q847:S848"/>
    <mergeCell ref="P882:P883"/>
    <mergeCell ref="Q882:S883"/>
    <mergeCell ref="T882:T883"/>
    <mergeCell ref="U882:X883"/>
    <mergeCell ref="J813:K814"/>
    <mergeCell ref="L813:L814"/>
    <mergeCell ref="M813:N814"/>
    <mergeCell ref="L905:L906"/>
    <mergeCell ref="M905:N906"/>
    <mergeCell ref="M870:N871"/>
    <mergeCell ref="H449:H450"/>
    <mergeCell ref="AC449:AF468"/>
    <mergeCell ref="M928:N929"/>
    <mergeCell ref="AC745:AF778"/>
    <mergeCell ref="H746:H748"/>
    <mergeCell ref="H767:H768"/>
    <mergeCell ref="AC804:AF827"/>
    <mergeCell ref="H805:H807"/>
    <mergeCell ref="H813:H814"/>
    <mergeCell ref="I813:I814"/>
    <mergeCell ref="AC274:AF292"/>
    <mergeCell ref="H275:H276"/>
    <mergeCell ref="H290:H291"/>
    <mergeCell ref="I290:I291"/>
    <mergeCell ref="J290:K291"/>
    <mergeCell ref="L290:L291"/>
    <mergeCell ref="M290:N291"/>
    <mergeCell ref="L204:L205"/>
    <mergeCell ref="M204:N205"/>
    <mergeCell ref="H469:H470"/>
    <mergeCell ref="AC469:AF489"/>
    <mergeCell ref="H471:H472"/>
    <mergeCell ref="H487:H488"/>
    <mergeCell ref="I487:I488"/>
    <mergeCell ref="J487:K488"/>
    <mergeCell ref="L487:L488"/>
    <mergeCell ref="M487:N488"/>
    <mergeCell ref="H920:H921"/>
    <mergeCell ref="AC920:AF943"/>
    <mergeCell ref="H922:H923"/>
    <mergeCell ref="H928:H929"/>
    <mergeCell ref="I928:I929"/>
    <mergeCell ref="AC187:AF206"/>
    <mergeCell ref="H188:H189"/>
    <mergeCell ref="H204:H205"/>
    <mergeCell ref="I204:I205"/>
    <mergeCell ref="J204:K205"/>
    <mergeCell ref="H451:H452"/>
    <mergeCell ref="H466:H467"/>
    <mergeCell ref="I466:I467"/>
    <mergeCell ref="J466:K467"/>
    <mergeCell ref="L466:L467"/>
    <mergeCell ref="M466:N467"/>
    <mergeCell ref="AC231:AF253"/>
    <mergeCell ref="H232:H233"/>
    <mergeCell ref="H251:H252"/>
    <mergeCell ref="I251:I252"/>
    <mergeCell ref="J251:K252"/>
    <mergeCell ref="L251:L252"/>
    <mergeCell ref="M251:N252"/>
    <mergeCell ref="H1094:H1095"/>
    <mergeCell ref="I1094:I1095"/>
    <mergeCell ref="J1094:K1095"/>
    <mergeCell ref="L1094:L1095"/>
    <mergeCell ref="M1094:N1095"/>
    <mergeCell ref="H1096:H1097"/>
    <mergeCell ref="I1096:I1097"/>
    <mergeCell ref="J1096:K1097"/>
    <mergeCell ref="L1096:L1097"/>
    <mergeCell ref="M1096:N1097"/>
    <mergeCell ref="H1090:H1091"/>
    <mergeCell ref="I1090:I1091"/>
    <mergeCell ref="J1090:K1091"/>
    <mergeCell ref="L1090:L1091"/>
    <mergeCell ref="M1090:N1091"/>
    <mergeCell ref="H1092:H1093"/>
    <mergeCell ref="I1092:I1093"/>
    <mergeCell ref="J1092:K1093"/>
    <mergeCell ref="L1092:L1093"/>
    <mergeCell ref="M1092:N1093"/>
    <mergeCell ref="H1079:H1080"/>
    <mergeCell ref="I1079:I1080"/>
    <mergeCell ref="J1079:L1080"/>
    <mergeCell ref="M1079:M1080"/>
    <mergeCell ref="N1079:P1080"/>
    <mergeCell ref="H1082:H1083"/>
    <mergeCell ref="I1082:I1083"/>
    <mergeCell ref="J1082:K1083"/>
    <mergeCell ref="L1082:L1083"/>
    <mergeCell ref="M1082:N1083"/>
    <mergeCell ref="H1072:H1073"/>
    <mergeCell ref="I1072:I1073"/>
    <mergeCell ref="J1072:L1073"/>
    <mergeCell ref="M1072:M1073"/>
    <mergeCell ref="N1072:P1073"/>
    <mergeCell ref="H1077:H1078"/>
    <mergeCell ref="I1077:I1078"/>
    <mergeCell ref="J1077:L1078"/>
    <mergeCell ref="M1077:M1078"/>
    <mergeCell ref="N1077:P1078"/>
    <mergeCell ref="AC1059:AC1060"/>
    <mergeCell ref="H1070:H1071"/>
    <mergeCell ref="I1070:I1071"/>
    <mergeCell ref="J1070:L1071"/>
    <mergeCell ref="M1070:M1071"/>
    <mergeCell ref="N1070:P1071"/>
    <mergeCell ref="H1064:H1065"/>
    <mergeCell ref="I1064:I1065"/>
    <mergeCell ref="J1064:L1065"/>
    <mergeCell ref="M1064:M1065"/>
    <mergeCell ref="N1064:P1065"/>
    <mergeCell ref="H1062:H1063"/>
    <mergeCell ref="I1062:I1063"/>
    <mergeCell ref="J1062:L1063"/>
    <mergeCell ref="M1062:M1063"/>
    <mergeCell ref="N1062:P1063"/>
    <mergeCell ref="AF1059:AF1060"/>
    <mergeCell ref="AD1059:AD1060"/>
    <mergeCell ref="AE1059:AE1060"/>
    <mergeCell ref="T1059:T1060"/>
    <mergeCell ref="U1059:U1060"/>
    <mergeCell ref="V1059:V1060"/>
    <mergeCell ref="W1059:W1060"/>
    <mergeCell ref="X1059:X1060"/>
    <mergeCell ref="Y1059:Y1060"/>
    <mergeCell ref="Z1059:Z1060"/>
    <mergeCell ref="AC1057:AC1058"/>
    <mergeCell ref="AD1057:AD1058"/>
    <mergeCell ref="S1057:S1058"/>
    <mergeCell ref="T1057:T1058"/>
    <mergeCell ref="U1057:U1058"/>
    <mergeCell ref="V1057:V1058"/>
    <mergeCell ref="W1057:W1058"/>
    <mergeCell ref="X1057:X1058"/>
    <mergeCell ref="R1059:R1060"/>
    <mergeCell ref="S1059:S1060"/>
    <mergeCell ref="Y1057:Y1058"/>
    <mergeCell ref="Z1057:Z1058"/>
    <mergeCell ref="AA1057:AA1058"/>
    <mergeCell ref="AB1057:AB1058"/>
    <mergeCell ref="AA1059:AA1060"/>
    <mergeCell ref="AB1059:AB1060"/>
    <mergeCell ref="H1055:H1056"/>
    <mergeCell ref="I1055:I1056"/>
    <mergeCell ref="AE1057:AE1058"/>
    <mergeCell ref="AF1057:AF1058"/>
    <mergeCell ref="H1059:H1060"/>
    <mergeCell ref="I1059:I1060"/>
    <mergeCell ref="J1059:L1060"/>
    <mergeCell ref="M1059:M1060"/>
    <mergeCell ref="N1059:P1060"/>
    <mergeCell ref="Q1059:Q1060"/>
    <mergeCell ref="AC1055:AC1056"/>
    <mergeCell ref="R1055:R1056"/>
    <mergeCell ref="S1055:S1056"/>
    <mergeCell ref="T1055:T1056"/>
    <mergeCell ref="U1055:U1056"/>
    <mergeCell ref="V1055:V1056"/>
    <mergeCell ref="W1055:W1056"/>
    <mergeCell ref="AE1055:AE1056"/>
    <mergeCell ref="AF1055:AF1056"/>
    <mergeCell ref="H1057:H1058"/>
    <mergeCell ref="I1057:I1058"/>
    <mergeCell ref="J1057:L1058"/>
    <mergeCell ref="M1057:M1058"/>
    <mergeCell ref="N1057:P1058"/>
    <mergeCell ref="Q1057:Q1058"/>
    <mergeCell ref="R1057:R1058"/>
    <mergeCell ref="X1055:X1056"/>
    <mergeCell ref="H1053:H1054"/>
    <mergeCell ref="I1053:I1054"/>
    <mergeCell ref="J1053:K1054"/>
    <mergeCell ref="L1053:L1054"/>
    <mergeCell ref="M1053:N1054"/>
    <mergeCell ref="AD1055:AD1056"/>
    <mergeCell ref="Y1055:Y1056"/>
    <mergeCell ref="Z1055:Z1056"/>
    <mergeCell ref="AA1055:AA1056"/>
    <mergeCell ref="AB1055:AB1056"/>
    <mergeCell ref="J1055:L1056"/>
    <mergeCell ref="M1055:M1056"/>
    <mergeCell ref="N1055:P1056"/>
    <mergeCell ref="Q1055:Q1056"/>
    <mergeCell ref="L1051:L1052"/>
    <mergeCell ref="M1051:N1052"/>
    <mergeCell ref="A1039:AF1039"/>
    <mergeCell ref="S1041:V1041"/>
    <mergeCell ref="A1043:C1043"/>
    <mergeCell ref="D1043:E1043"/>
    <mergeCell ref="F1043:G1043"/>
    <mergeCell ref="H1043:AF1043"/>
    <mergeCell ref="A1044:C1045"/>
    <mergeCell ref="H1044:H1045"/>
    <mergeCell ref="H1046:H1048"/>
    <mergeCell ref="H1051:H1052"/>
    <mergeCell ref="I1051:I1052"/>
    <mergeCell ref="J1051:K1052"/>
    <mergeCell ref="AC979:AF1013"/>
    <mergeCell ref="H981:H982"/>
    <mergeCell ref="H988:H989"/>
    <mergeCell ref="I988:I989"/>
    <mergeCell ref="J988:K989"/>
    <mergeCell ref="L988:L989"/>
    <mergeCell ref="M988:N989"/>
    <mergeCell ref="H995:H996"/>
    <mergeCell ref="H997:H998"/>
    <mergeCell ref="H999:H1000"/>
    <mergeCell ref="I999:I1000"/>
    <mergeCell ref="J999:K1000"/>
    <mergeCell ref="L999:L1000"/>
    <mergeCell ref="M999:O1000"/>
    <mergeCell ref="P999:P1000"/>
    <mergeCell ref="Q999:S1000"/>
    <mergeCell ref="H1014:H1015"/>
    <mergeCell ref="AC1014:AF1037"/>
    <mergeCell ref="H1016:H1017"/>
    <mergeCell ref="H1023:H1024"/>
    <mergeCell ref="I1023:I1024"/>
    <mergeCell ref="J1023:K1024"/>
    <mergeCell ref="L1023:L1024"/>
    <mergeCell ref="M1023:N1024"/>
    <mergeCell ref="H960:H961"/>
    <mergeCell ref="H962:H963"/>
    <mergeCell ref="H964:H965"/>
    <mergeCell ref="I964:I965"/>
    <mergeCell ref="J964:K965"/>
    <mergeCell ref="L964:L965"/>
    <mergeCell ref="M964:O965"/>
    <mergeCell ref="P964:P965"/>
    <mergeCell ref="Q964:S965"/>
    <mergeCell ref="T964:T965"/>
    <mergeCell ref="U964:X965"/>
    <mergeCell ref="H979:H980"/>
    <mergeCell ref="T999:T1000"/>
    <mergeCell ref="U999:X1000"/>
    <mergeCell ref="H944:H945"/>
    <mergeCell ref="AC944:AF978"/>
    <mergeCell ref="H946:H947"/>
    <mergeCell ref="H953:H954"/>
    <mergeCell ref="I953:I954"/>
    <mergeCell ref="J953:K954"/>
    <mergeCell ref="L953:L954"/>
    <mergeCell ref="M953:N954"/>
    <mergeCell ref="H847:H848"/>
    <mergeCell ref="I847:I848"/>
    <mergeCell ref="J847:K848"/>
    <mergeCell ref="L847:L848"/>
    <mergeCell ref="M847:O848"/>
    <mergeCell ref="P847:P848"/>
    <mergeCell ref="L882:L883"/>
    <mergeCell ref="M882:O883"/>
    <mergeCell ref="H862:H863"/>
    <mergeCell ref="AC862:AF896"/>
    <mergeCell ref="H864:H865"/>
    <mergeCell ref="H870:H871"/>
    <mergeCell ref="I870:I871"/>
    <mergeCell ref="J870:K871"/>
    <mergeCell ref="L870:L871"/>
    <mergeCell ref="H878:H879"/>
    <mergeCell ref="H845:H846"/>
    <mergeCell ref="T847:T848"/>
    <mergeCell ref="U847:X848"/>
    <mergeCell ref="H899:H900"/>
    <mergeCell ref="H905:H906"/>
    <mergeCell ref="I905:I906"/>
    <mergeCell ref="J905:K906"/>
    <mergeCell ref="H882:H883"/>
    <mergeCell ref="I882:I883"/>
    <mergeCell ref="J882:K883"/>
    <mergeCell ref="L928:L929"/>
    <mergeCell ref="H828:H829"/>
    <mergeCell ref="AC828:AF861"/>
    <mergeCell ref="H830:H831"/>
    <mergeCell ref="H836:H837"/>
    <mergeCell ref="I836:I837"/>
    <mergeCell ref="J836:K837"/>
    <mergeCell ref="L836:L837"/>
    <mergeCell ref="M836:N837"/>
    <mergeCell ref="H843:H844"/>
    <mergeCell ref="AC597:AF607"/>
    <mergeCell ref="H600:H601"/>
    <mergeCell ref="I600:I601"/>
    <mergeCell ref="J600:L601"/>
    <mergeCell ref="M600:M601"/>
    <mergeCell ref="N600:P601"/>
    <mergeCell ref="H602:H603"/>
    <mergeCell ref="I602:I603"/>
    <mergeCell ref="J602:L603"/>
    <mergeCell ref="AC647:AF678"/>
    <mergeCell ref="H648:H650"/>
    <mergeCell ref="AC710:AF744"/>
    <mergeCell ref="H711:H713"/>
    <mergeCell ref="H733:H734"/>
    <mergeCell ref="AC679:AF709"/>
    <mergeCell ref="H680:H682"/>
    <mergeCell ref="AC779:AF803"/>
    <mergeCell ref="H780:H782"/>
    <mergeCell ref="H788:H789"/>
    <mergeCell ref="I788:I789"/>
    <mergeCell ref="J788:K789"/>
    <mergeCell ref="L788:L789"/>
    <mergeCell ref="M788:N789"/>
    <mergeCell ref="AC591:AF596"/>
    <mergeCell ref="H593:H594"/>
    <mergeCell ref="I593:I594"/>
    <mergeCell ref="J593:L594"/>
    <mergeCell ref="M593:M594"/>
    <mergeCell ref="N593:P594"/>
    <mergeCell ref="H595:H596"/>
    <mergeCell ref="I595:I596"/>
    <mergeCell ref="J595:L596"/>
    <mergeCell ref="M595:M596"/>
    <mergeCell ref="M602:M603"/>
    <mergeCell ref="N595:P596"/>
    <mergeCell ref="H597:H598"/>
    <mergeCell ref="I597:I598"/>
    <mergeCell ref="J597:K598"/>
    <mergeCell ref="L597:L598"/>
    <mergeCell ref="M597:O598"/>
    <mergeCell ref="N602:P603"/>
    <mergeCell ref="H515:H516"/>
    <mergeCell ref="AC515:AF539"/>
    <mergeCell ref="H517:H518"/>
    <mergeCell ref="H531:H532"/>
    <mergeCell ref="H533:H534"/>
    <mergeCell ref="H537:H538"/>
    <mergeCell ref="I537:I538"/>
    <mergeCell ref="J537:K538"/>
    <mergeCell ref="L537:L538"/>
    <mergeCell ref="M537:N538"/>
    <mergeCell ref="H540:H541"/>
    <mergeCell ref="AC540:AF560"/>
    <mergeCell ref="H542:H543"/>
    <mergeCell ref="H558:H559"/>
    <mergeCell ref="I558:I559"/>
    <mergeCell ref="J558:K559"/>
    <mergeCell ref="L558:L559"/>
    <mergeCell ref="M558:N559"/>
    <mergeCell ref="H490:H491"/>
    <mergeCell ref="AC490:AF514"/>
    <mergeCell ref="H492:H493"/>
    <mergeCell ref="H506:H507"/>
    <mergeCell ref="H508:H509"/>
    <mergeCell ref="H512:H513"/>
    <mergeCell ref="I512:I513"/>
    <mergeCell ref="J512:K513"/>
    <mergeCell ref="L512:L513"/>
    <mergeCell ref="M512:N513"/>
    <mergeCell ref="AC424:AF448"/>
    <mergeCell ref="H426:H427"/>
    <mergeCell ref="H440:H441"/>
    <mergeCell ref="H442:H443"/>
    <mergeCell ref="H446:H447"/>
    <mergeCell ref="I446:I447"/>
    <mergeCell ref="J446:K447"/>
    <mergeCell ref="L446:L447"/>
    <mergeCell ref="M446:N447"/>
    <mergeCell ref="H424:H425"/>
    <mergeCell ref="H400:H401"/>
    <mergeCell ref="AC400:AF423"/>
    <mergeCell ref="H402:H403"/>
    <mergeCell ref="H415:H416"/>
    <mergeCell ref="H417:H418"/>
    <mergeCell ref="H421:H422"/>
    <mergeCell ref="I421:I422"/>
    <mergeCell ref="J421:K422"/>
    <mergeCell ref="L421:L422"/>
    <mergeCell ref="M421:N422"/>
    <mergeCell ref="AC361:AF379"/>
    <mergeCell ref="H371:H372"/>
    <mergeCell ref="H374:H375"/>
    <mergeCell ref="H377:H378"/>
    <mergeCell ref="I377:I378"/>
    <mergeCell ref="J377:K378"/>
    <mergeCell ref="L377:L378"/>
    <mergeCell ref="M377:N378"/>
    <mergeCell ref="AC380:AF399"/>
    <mergeCell ref="H392:H393"/>
    <mergeCell ref="H394:H395"/>
    <mergeCell ref="H397:H398"/>
    <mergeCell ref="I397:I398"/>
    <mergeCell ref="J397:K398"/>
    <mergeCell ref="L397:L398"/>
    <mergeCell ref="M397:N398"/>
    <mergeCell ref="H338:H339"/>
    <mergeCell ref="AC338:AF360"/>
    <mergeCell ref="H353:H354"/>
    <mergeCell ref="H355:H356"/>
    <mergeCell ref="H358:H359"/>
    <mergeCell ref="I358:I359"/>
    <mergeCell ref="J358:K359"/>
    <mergeCell ref="L358:L359"/>
    <mergeCell ref="M358:N359"/>
    <mergeCell ref="H315:H316"/>
    <mergeCell ref="AC315:AF337"/>
    <mergeCell ref="H330:H331"/>
    <mergeCell ref="H332:H333"/>
    <mergeCell ref="H335:H336"/>
    <mergeCell ref="I335:I336"/>
    <mergeCell ref="J335:K336"/>
    <mergeCell ref="L335:L336"/>
    <mergeCell ref="M335:N336"/>
    <mergeCell ref="H293:H294"/>
    <mergeCell ref="AC293:AF314"/>
    <mergeCell ref="H307:H308"/>
    <mergeCell ref="H309:H310"/>
    <mergeCell ref="H312:H313"/>
    <mergeCell ref="I312:I313"/>
    <mergeCell ref="J312:K313"/>
    <mergeCell ref="L312:L313"/>
    <mergeCell ref="M312:N313"/>
    <mergeCell ref="AC207:AF230"/>
    <mergeCell ref="H208:H209"/>
    <mergeCell ref="H228:H229"/>
    <mergeCell ref="I228:I229"/>
    <mergeCell ref="J228:K229"/>
    <mergeCell ref="L228:L229"/>
    <mergeCell ref="M228:N229"/>
    <mergeCell ref="AC254:AF273"/>
    <mergeCell ref="H255:H256"/>
    <mergeCell ref="H271:H272"/>
    <mergeCell ref="I271:I272"/>
    <mergeCell ref="J271:K272"/>
    <mergeCell ref="L271:L272"/>
    <mergeCell ref="M271:N272"/>
    <mergeCell ref="P161:Q162"/>
    <mergeCell ref="R161:R162"/>
    <mergeCell ref="S161:T162"/>
    <mergeCell ref="H163:H164"/>
    <mergeCell ref="I163:I164"/>
    <mergeCell ref="J163:K164"/>
    <mergeCell ref="L163:L164"/>
    <mergeCell ref="M163:N164"/>
    <mergeCell ref="AC166:AF186"/>
    <mergeCell ref="H167:H168"/>
    <mergeCell ref="H184:H185"/>
    <mergeCell ref="I184:I185"/>
    <mergeCell ref="J184:K185"/>
    <mergeCell ref="L184:L185"/>
    <mergeCell ref="M184:N185"/>
    <mergeCell ref="O159:O160"/>
    <mergeCell ref="P159:Q160"/>
    <mergeCell ref="R159:R160"/>
    <mergeCell ref="S159:T160"/>
    <mergeCell ref="H161:H162"/>
    <mergeCell ref="I161:I162"/>
    <mergeCell ref="J161:K162"/>
    <mergeCell ref="L161:L162"/>
    <mergeCell ref="M161:N162"/>
    <mergeCell ref="O161:O162"/>
    <mergeCell ref="H151:H152"/>
    <mergeCell ref="I151:I152"/>
    <mergeCell ref="J151:K152"/>
    <mergeCell ref="L151:L152"/>
    <mergeCell ref="M151:N152"/>
    <mergeCell ref="H159:H160"/>
    <mergeCell ref="I159:I160"/>
    <mergeCell ref="J159:K160"/>
    <mergeCell ref="L159:L160"/>
    <mergeCell ref="M159:N160"/>
    <mergeCell ref="H111:H112"/>
    <mergeCell ref="AC111:AF133"/>
    <mergeCell ref="H115:H117"/>
    <mergeCell ref="I115:I117"/>
    <mergeCell ref="J115:K117"/>
    <mergeCell ref="L115:L117"/>
    <mergeCell ref="M115:N117"/>
    <mergeCell ref="H122:H123"/>
    <mergeCell ref="I122:I123"/>
    <mergeCell ref="J122:K123"/>
    <mergeCell ref="L122:L123"/>
    <mergeCell ref="M122:N123"/>
    <mergeCell ref="H140:H141"/>
    <mergeCell ref="I140:I141"/>
    <mergeCell ref="J140:K141"/>
    <mergeCell ref="L140:L141"/>
    <mergeCell ref="M140:N141"/>
    <mergeCell ref="H94:H95"/>
    <mergeCell ref="I94:I95"/>
    <mergeCell ref="J94:K95"/>
    <mergeCell ref="L94:L95"/>
    <mergeCell ref="M94:N95"/>
    <mergeCell ref="H96:H97"/>
    <mergeCell ref="I96:I97"/>
    <mergeCell ref="J96:K97"/>
    <mergeCell ref="L96:L97"/>
    <mergeCell ref="M96:N97"/>
    <mergeCell ref="H90:H91"/>
    <mergeCell ref="I90:I91"/>
    <mergeCell ref="J90:K91"/>
    <mergeCell ref="L90:L91"/>
    <mergeCell ref="M90:N91"/>
    <mergeCell ref="H92:H93"/>
    <mergeCell ref="I92:I93"/>
    <mergeCell ref="J92:K93"/>
    <mergeCell ref="L92:L93"/>
    <mergeCell ref="M92:N93"/>
    <mergeCell ref="AC76:AF82"/>
    <mergeCell ref="H77:H78"/>
    <mergeCell ref="I77:I78"/>
    <mergeCell ref="J77:L78"/>
    <mergeCell ref="M77:M78"/>
    <mergeCell ref="N77:P78"/>
    <mergeCell ref="H79:H80"/>
    <mergeCell ref="I79:I80"/>
    <mergeCell ref="J79:L80"/>
    <mergeCell ref="M79:M80"/>
    <mergeCell ref="N79:P80"/>
    <mergeCell ref="H86:H88"/>
    <mergeCell ref="I86:I88"/>
    <mergeCell ref="J86:K88"/>
    <mergeCell ref="L86:L88"/>
    <mergeCell ref="M86:N88"/>
    <mergeCell ref="AC46:AF62"/>
    <mergeCell ref="N49:P50"/>
    <mergeCell ref="H51:H52"/>
    <mergeCell ref="I51:I52"/>
    <mergeCell ref="J51:L52"/>
    <mergeCell ref="M51:M52"/>
    <mergeCell ref="N51:P52"/>
    <mergeCell ref="AC63:AF75"/>
    <mergeCell ref="H66:H67"/>
    <mergeCell ref="I66:I67"/>
    <mergeCell ref="J66:L67"/>
    <mergeCell ref="M66:M67"/>
    <mergeCell ref="N66:P67"/>
    <mergeCell ref="H68:H69"/>
    <mergeCell ref="I68:I69"/>
    <mergeCell ref="J68:L69"/>
    <mergeCell ref="H71:H72"/>
    <mergeCell ref="I71:I72"/>
    <mergeCell ref="J71:K72"/>
    <mergeCell ref="L71:L72"/>
    <mergeCell ref="M71:N72"/>
    <mergeCell ref="H60:H62"/>
    <mergeCell ref="H49:H50"/>
    <mergeCell ref="I49:I50"/>
    <mergeCell ref="J49:L50"/>
    <mergeCell ref="M49:M50"/>
    <mergeCell ref="M68:M69"/>
    <mergeCell ref="N68:P69"/>
    <mergeCell ref="H38:H39"/>
    <mergeCell ref="I38:I39"/>
    <mergeCell ref="J38:L39"/>
    <mergeCell ref="M38:M39"/>
    <mergeCell ref="N38:P39"/>
    <mergeCell ref="H40:H41"/>
    <mergeCell ref="I40:I41"/>
    <mergeCell ref="J40:L41"/>
    <mergeCell ref="M40:M41"/>
    <mergeCell ref="N40:P41"/>
    <mergeCell ref="T25:T26"/>
    <mergeCell ref="U25:U26"/>
    <mergeCell ref="V25:V26"/>
    <mergeCell ref="H30:H31"/>
    <mergeCell ref="I30:I31"/>
    <mergeCell ref="J30:L31"/>
    <mergeCell ref="M30:M31"/>
    <mergeCell ref="N30:P31"/>
    <mergeCell ref="W25:W26"/>
    <mergeCell ref="X25:X26"/>
    <mergeCell ref="H28:H29"/>
    <mergeCell ref="I28:I29"/>
    <mergeCell ref="J28:L29"/>
    <mergeCell ref="M28:M29"/>
    <mergeCell ref="N28:P29"/>
    <mergeCell ref="Q25:Q26"/>
    <mergeCell ref="R25:R26"/>
    <mergeCell ref="S25:S26"/>
    <mergeCell ref="T23:T24"/>
    <mergeCell ref="U23:U24"/>
    <mergeCell ref="V23:V24"/>
    <mergeCell ref="W23:W24"/>
    <mergeCell ref="X23:X24"/>
    <mergeCell ref="H25:H26"/>
    <mergeCell ref="I25:I26"/>
    <mergeCell ref="J25:L26"/>
    <mergeCell ref="M25:M26"/>
    <mergeCell ref="N25:P26"/>
    <mergeCell ref="Q21:Q22"/>
    <mergeCell ref="R21:R22"/>
    <mergeCell ref="S21:S22"/>
    <mergeCell ref="T21:T22"/>
    <mergeCell ref="U21:U22"/>
    <mergeCell ref="V21:V22"/>
    <mergeCell ref="W21:W22"/>
    <mergeCell ref="X21:X22"/>
    <mergeCell ref="H23:H24"/>
    <mergeCell ref="I23:I24"/>
    <mergeCell ref="J23:L24"/>
    <mergeCell ref="M23:M24"/>
    <mergeCell ref="N23:P24"/>
    <mergeCell ref="Q23:Q24"/>
    <mergeCell ref="R23:R24"/>
    <mergeCell ref="S23:S24"/>
    <mergeCell ref="J19:K20"/>
    <mergeCell ref="L19:L20"/>
    <mergeCell ref="M19:N20"/>
    <mergeCell ref="H21:H22"/>
    <mergeCell ref="I21:I22"/>
    <mergeCell ref="J21:L22"/>
    <mergeCell ref="M21:M22"/>
    <mergeCell ref="N21:P22"/>
    <mergeCell ref="A8:C9"/>
    <mergeCell ref="D8:E9"/>
    <mergeCell ref="F8:G9"/>
    <mergeCell ref="H8:H9"/>
    <mergeCell ref="H19:H20"/>
    <mergeCell ref="I19:I20"/>
    <mergeCell ref="H10:H12"/>
    <mergeCell ref="H17:H18"/>
    <mergeCell ref="I17:I18"/>
    <mergeCell ref="J17:K18"/>
    <mergeCell ref="L17:L18"/>
    <mergeCell ref="M17:N18"/>
    <mergeCell ref="Y8:AB9"/>
    <mergeCell ref="AC8:AF9"/>
    <mergeCell ref="A3:AF3"/>
    <mergeCell ref="S5:V5"/>
    <mergeCell ref="A7:C7"/>
    <mergeCell ref="D7:E7"/>
    <mergeCell ref="F7:G7"/>
    <mergeCell ref="H7:X7"/>
    <mergeCell ref="Y7:AB7"/>
    <mergeCell ref="AC7:AF7"/>
  </mergeCells>
  <phoneticPr fontId="3"/>
  <dataValidations count="1">
    <dataValidation type="list" allowBlank="1" showInputMessage="1" showErrorMessage="1" sqref="Q8:Q9 U8:U9 Y10:Y11 AC10:AC11 M13:M14 R15 I1044:I1108 M54 F878:F880 Q135 R159:R162 Y207:Y208 Y254:Y255 Y293:Y294 Y315:Y316 Y338:Y339 Y400:Y401 Y424:Y425 Y449:Y450 Y490:Y491 Y515:Y516 Y540:Y541 M83:M85 Y134:Y135 O75 O53 A69 M49:M52 AC83:AC84 L86:L88 O44:O45 O99 O101 Q111:Q112 D96:D98 O33:O34 L115:L117 O120 U946 U121 D68:D70 O157:O162 F843:F845 O143 O146:O147 Q167:Q168 Y166:Y167 L174:L177 U167 O181:O183 Q208:Q209 U208 N216 S216 L215 M219 O225:O227 R227 Q255:Q256 U255 P220 O268:O270 U295 Q293 O305:O306 P307 M309 Q309:Q310 O311 R311 Q315 Q317 U317 F307 M325 P330 O328:O329 M332 O334 R334 Q332:Q333 Q340 Q338 U340 O351:O352 P353 M355 Q355:Q356 O357 R357 L813:L827 L366 O370 P371 M374 Q374:Q375 O376 R376 L386 P392 M394 O390:O391 O396 R396 D1097:D1099 Q400 Q394:Q395 M410 O413:O414 P415 M417 O419:O420 R420 Q424 Q426 L434 L436:L439 O438:O439 P440 M442 O444:O445 R445 Q449 Q451 L458 R465 Q490 Q492 L500 L502:L505 O504:O505 P506 M508 R511 O510:O511 Q515 Q517 L525 L527:L530 O529:O530 P531 M533 R536 O535:O536 M561:M564 Q540 Q542 L550 D550 R557 L1023:L1024 A97 L90:L110 F176:F177 M154 D118:D126 F303 O165 D458 L623:L633 O565 F324 L324 F326 L349:L352 F328 L373 A349 F367 L388:L391 O560 F411:F413 A282 A458 M515:M524 D502 D527 A550 D53:D55 Y76:Y77 A149 A218 L119:L120 A326 L769:L778 O588:O590 A502 F550:F551 A569 Y561:Y562 Q561 O567 AC561:AC562 L122:L133 M593:M596 L597:L599 O605 R605 U605 F391 P609 L615:L621 L609 M608 T609 Q620 M622 O629 O633 M634 Y608:Y609 AC608:AC609 D567:D572 A624 M651:M655 U648 O666:O668 O662 Y647:Y648 M600:M603 Q648:Q649 A662 M714:M718 U711 O731:O732 A1098 P726 Q733:Q734 Y710:Y711 AC580:AC581 O707:O709 R743:R744 U780 Q711:Q712 Y779:Y780 O1067 D844 U678 Q1014 Q150 O58 F960:F961 O635:O636 O570 M118 Q70 O124 T847:T848 M845 L140:L153 U864 R183 L905:L906 R270 T964:T965 Q962:Q963 D148:D151 T999:T1000 M997 M1025:M1026 L847:L861 T882:T883 O912:O914 Q845:Q846 O967:O969 Y862:Y863 O1002:O1004 M907:M908 O1030:O1032 M962 M265 Q417:Q418 Q442:Q443 O462:O465 Q508:Q509 Q533:Q534 O554:O557 Q997:Q998 M302 L301 L326:L329 M293:M300 L368:L370 Y380:Y381 F369 M551 L81:L82 R34 L53 M1070:M1075 O574 L42:L45 M66:M70 L71:L76 L347 O373 O735 Q121 O177 A176 M35:M36 M348 M367 M387 L409 M435 M490:M499 M459 M501 M526 Q780:Q781 Q1081 M1062:M1065 U1016 O1011:O1013 Y1014:Y1015 M710:M712 L1069 O584 L155:L165 R360 R379 R514 L604:L607 L933:L943 L727:L732 A527 R624 F301 F309 R206 U34 M63:M64 L1090:L1108 O1099 O1101 P102 Y46:Y47 Y111:Y112 M121 R132:R133 A412 Y897:Y898 AC134:AC135 O109:O110 F373 M178 L217:L218 R109:R110 O132:O133 L262:L264 U165 O186 O230 U292:U293 L179:L186 U230 L221:L230 D349:D350 R314 O314 L334:L337 O337 O360 R423 R399 U360 O379 O399 L419:L423 O423 L444:L448 R448 O514 O448 O468 U489:U490 L510:L514 A602 M8:M9 U15 L15:L20 M21:M26 L27 M28:M31 L32:L34 L37 M38:M41 P1102 O42 L48 L303:L306 L55:L59 Q60:Q61 L65 A54 Y361:Y362 A40 F1025:F1026 A79 M77:M80 M111:M114 Q83 Y83:Y84 M89 M134:M139 U110:U111 L411:L414 Q402 L592 A593 F662:F663 Y597:Y598 M610:M614 O797:O798 U744 Q828 Q830 U830 Y828:Y829 L836:L837 M838:M839 L840:L842 P843 P847:P848 O850:O852 O801:O803 L875:L877 P878 Q862 Q864 O885:O887 P882:P883 L882:L896 Q897 Q899 U899 O917:O919 L953:L954 M955:M956 L957:L959 P960 P964:P965 L964:L978 Y944:Y945 O976:O978 Q979 Q981 U981 Y979:Y980 L988:L989 M990:M991 L992:L994 P995 L999:L1013 P999:P1000 R977:R978 Q1016 M1014:M1022 M1044:M1045 Q1044:Q1045 U1044:U1045 L1051:L1054 M1055:M1060 L1061 L1076 M1077:M1081 L1082:L1085 M1086:M1089 Q1086 U45 U133 U186 L266:L273 L357:L360 L396:L399 R468 U514:U515 R589:R590 L584:L590 O539 U539:U540 L565:L579 U827:U828 U646 R677:R678 O859:O861 U861:U862 R918:R919 U896:U897 U943:U944 L552:L560 L1027:L1037 D1025 A1025 M897:M904 D996 A996 M979:M987 D960 A960 Y580:Y581 A727 Y591:Y592 D907 D815 M862:M869 A844 M828:M835 M779:M787 M591 Q580 M647:M649 M338:M346 M361:M365 F349:F350 A1079 A1071 A1057 D1056:D1058 D1070:D1072 D1078:D1080 U314:U315 U399:U400 U423:U424 U448:U449 U590 U579 O742:O744 R802:R803 R860:R861 O894:O896 Y63:Y64 U978:U979 O1035:O1037 L311:L314 U337:U338 F371 U379 U560 R578:R579 R1013 U1013:U1014 U1037 O15 A22 Y35:Y36 L1066:L1067 AC35:AC36 R44:R45 R165 R273 R337 L376:L379 L535:L539 R539 R560 L635:L646 R645:R646 O644:O646 R895:R896 R1036:R1037 Q295 R253 O292 M315:M323 M380:M385 F387 M400:M408 D282 M449:M457 M580:M583 M944:M952 A907 D879 A879 M1049:M1050 M1068 Q946 D21:D23 M46:M47 A122 D304 A304 F305 F299 D326 D370 A370 D389 F389 A389 D412 M424:M433 F435:F437 L481:L489 F502:F503 M540:M549 F568:F569 A585 D584:D587 D623:D626 O623:O624 O577:O579 M880 Q880:Q881 Q944 D176 R186 Q188:Q189 Y187:Y188 L194:L197 U188 O201:O203 M187:M193 M166:M173 R203 O197 A196 F196:F197 M198 O206 L199:L206 U206 D196 D217:D218 R230 Y231:Y232 Q232:Q233 U232 N239 S239 L238 M242 O248:O250 R250 P243 A241 L240:L241 O253 U253 L244:L253 M207:M214 D241:D242 M254:M261 U273 O273 Y274:Y275 Q275:Q276 U275 A263 O287:O289 R289 M274:M280 M284 L281:L283 L285:L292 R292 D263 M231:M237 A436 D436 U468:U469 L460:L468 Y469:Y470 Q469 Q471 L479 R486 D479 A479 O483:O486 M480 O489 R489 F479 F458 M469:M478 L658:L678 L656 M657 O676:O678 M683:M687 U680 O697:O699 O693 Y679:Y680 Q680:Q681 A693 D662 U709 F693:F694 R708:R709 M679:M681 L688:L709 D693 D726:D727 L735:L744 M720 L754:L759 M749:M753 U746 O765:O766 P760 Q767:Q768 Y745:Y746 R777:R778 Q746:Q747 O769 M745:M747 L761:L766 U778 A761 O776:O778 D760:D761 L719 L721:L725 L791:L803 U803 M790 D790 U805 Y804:Y805 Q805:Q806 O821:O822 O825:O827 A815 M804:M812 R826:R827 L788:L789 A790 L870:L871 M930:M932 U919:U920 L909:L919 L928:L929 O936:O938 F930 F907 Y920:Y921 Q920 Q922 U922 O941:O943 R942:R943 M920:M927 D930 A930 M872:M874 I8:I1037" xr:uid="{8BB28C27-191F-4C86-9028-693068D0D4A3}">
      <formula1>"□,■"</formula1>
    </dataValidation>
  </dataValidations>
  <pageMargins left="0.7" right="0.7" top="0.75" bottom="0.75" header="0.3" footer="0.3"/>
  <pageSetup paperSize="9" scale="50" fitToHeight="0" orientation="landscape" r:id="rId1"/>
  <rowBreaks count="27" manualBreakCount="27">
    <brk id="34" max="16383" man="1"/>
    <brk id="82" max="16383" man="1"/>
    <brk id="133" max="16383" man="1"/>
    <brk id="165" max="16383" man="1"/>
    <brk id="206" max="31" man="1"/>
    <brk id="253" max="16383" man="1"/>
    <brk id="292" max="16383" man="1"/>
    <brk id="337" max="16383" man="1"/>
    <brk id="379" max="16383" man="1"/>
    <brk id="423" max="16383" man="1"/>
    <brk id="468" max="16383" man="1"/>
    <brk id="514" max="16383" man="1"/>
    <brk id="560" max="31" man="1"/>
    <brk id="607" max="16383" man="1"/>
    <brk id="646" max="16383" man="1"/>
    <brk id="678" max="16383" man="1"/>
    <brk id="709" max="16383" man="1"/>
    <brk id="744" max="16383" man="1"/>
    <brk id="778" max="16383" man="1"/>
    <brk id="827" max="16383" man="1"/>
    <brk id="861" max="16383" man="1"/>
    <brk id="896" max="16383" man="1"/>
    <brk id="943" max="16383" man="1"/>
    <brk id="978" max="16383" man="1"/>
    <brk id="1013" max="16383" man="1"/>
    <brk id="1037" max="16383" man="1"/>
    <brk id="1085"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B1:AO130"/>
  <sheetViews>
    <sheetView showGridLines="0" view="pageBreakPreview" zoomScaleNormal="100" workbookViewId="0">
      <selection activeCell="B3" sqref="B3"/>
    </sheetView>
  </sheetViews>
  <sheetFormatPr defaultColWidth="9" defaultRowHeight="13.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c r="AN1" s="1"/>
    </row>
    <row r="2" spans="2:40" s="2" customFormat="1">
      <c r="B2" s="1" t="s">
        <v>103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577" t="s">
        <v>77</v>
      </c>
      <c r="AA3" s="1578"/>
      <c r="AB3" s="1578"/>
      <c r="AC3" s="1578"/>
      <c r="AD3" s="1579"/>
      <c r="AE3" s="1580"/>
      <c r="AF3" s="1581"/>
      <c r="AG3" s="1581"/>
      <c r="AH3" s="1581"/>
      <c r="AI3" s="1581"/>
      <c r="AJ3" s="1581"/>
      <c r="AK3" s="1581"/>
      <c r="AL3" s="1582"/>
      <c r="AM3" s="20"/>
      <c r="AN3" s="1"/>
    </row>
    <row r="4" spans="2:40" s="2" customFormat="1">
      <c r="AN4" s="21"/>
    </row>
    <row r="5" spans="2:40" s="2" customFormat="1">
      <c r="B5" s="1575" t="s">
        <v>41</v>
      </c>
      <c r="C5" s="1575"/>
      <c r="D5" s="1575"/>
      <c r="E5" s="1575"/>
      <c r="F5" s="1575"/>
      <c r="G5" s="1575"/>
      <c r="H5" s="1575"/>
      <c r="I5" s="1575"/>
      <c r="J5" s="1575"/>
      <c r="K5" s="1575"/>
      <c r="L5" s="1575"/>
      <c r="M5" s="1575"/>
      <c r="N5" s="1575"/>
      <c r="O5" s="1575"/>
      <c r="P5" s="1575"/>
      <c r="Q5" s="1575"/>
      <c r="R5" s="1575"/>
      <c r="S5" s="1575"/>
      <c r="T5" s="1575"/>
      <c r="U5" s="1575"/>
      <c r="V5" s="1575"/>
      <c r="W5" s="1575"/>
      <c r="X5" s="1575"/>
      <c r="Y5" s="1575"/>
      <c r="Z5" s="1575"/>
      <c r="AA5" s="1575"/>
      <c r="AB5" s="1575"/>
      <c r="AC5" s="1575"/>
      <c r="AD5" s="1575"/>
      <c r="AE5" s="1575"/>
      <c r="AF5" s="1575"/>
      <c r="AG5" s="1575"/>
      <c r="AH5" s="1575"/>
      <c r="AI5" s="1575"/>
      <c r="AJ5" s="1575"/>
      <c r="AK5" s="1575"/>
      <c r="AL5" s="1575"/>
    </row>
    <row r="6" spans="2:40" s="2" customFormat="1" ht="13.5" customHeight="1">
      <c r="AC6" s="1"/>
      <c r="AD6" s="45"/>
      <c r="AE6" s="45" t="s">
        <v>28</v>
      </c>
      <c r="AH6" s="2" t="s">
        <v>34</v>
      </c>
      <c r="AJ6" s="2" t="s">
        <v>30</v>
      </c>
      <c r="AL6" s="2" t="s">
        <v>29</v>
      </c>
    </row>
    <row r="7" spans="2:40" s="2" customFormat="1">
      <c r="B7" s="1575" t="s">
        <v>78</v>
      </c>
      <c r="C7" s="1575"/>
      <c r="D7" s="1575"/>
      <c r="E7" s="1575"/>
      <c r="F7" s="1575"/>
      <c r="G7" s="1575"/>
      <c r="H7" s="1575"/>
      <c r="I7" s="1575"/>
      <c r="J7" s="1575"/>
      <c r="K7" s="12"/>
      <c r="L7" s="12"/>
      <c r="M7" s="12"/>
      <c r="N7" s="12"/>
      <c r="O7" s="12"/>
      <c r="P7" s="12"/>
      <c r="Q7" s="12"/>
      <c r="R7" s="12"/>
      <c r="S7" s="12"/>
      <c r="T7" s="12"/>
    </row>
    <row r="8" spans="2:40" s="2" customFormat="1">
      <c r="AC8" s="1" t="s">
        <v>70</v>
      </c>
    </row>
    <row r="9" spans="2:40" s="2" customFormat="1">
      <c r="C9" s="1" t="s">
        <v>42</v>
      </c>
      <c r="D9" s="1"/>
    </row>
    <row r="10" spans="2:40" s="2" customFormat="1" ht="6.75" customHeight="1">
      <c r="C10" s="1"/>
      <c r="D10" s="1"/>
    </row>
    <row r="11" spans="2:40" s="2" customFormat="1" ht="14.25" customHeight="1">
      <c r="B11" s="1587" t="s">
        <v>79</v>
      </c>
      <c r="C11" s="1590" t="s">
        <v>7</v>
      </c>
      <c r="D11" s="1591"/>
      <c r="E11" s="1591"/>
      <c r="F11" s="1591"/>
      <c r="G11" s="1591"/>
      <c r="H11" s="1591"/>
      <c r="I11" s="1591"/>
      <c r="J11" s="1591"/>
      <c r="K11" s="305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588"/>
      <c r="C12" s="1596" t="s">
        <v>80</v>
      </c>
      <c r="D12" s="1597"/>
      <c r="E12" s="1597"/>
      <c r="F12" s="1597"/>
      <c r="G12" s="1597"/>
      <c r="H12" s="1597"/>
      <c r="I12" s="1597"/>
      <c r="J12" s="1597"/>
      <c r="K12" s="1597"/>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588"/>
      <c r="C13" s="1590" t="s">
        <v>8</v>
      </c>
      <c r="D13" s="1591"/>
      <c r="E13" s="1591"/>
      <c r="F13" s="1591"/>
      <c r="G13" s="1591"/>
      <c r="H13" s="1591"/>
      <c r="I13" s="1591"/>
      <c r="J13" s="1591"/>
      <c r="K13" s="1601"/>
      <c r="L13" s="3040" t="s">
        <v>81</v>
      </c>
      <c r="M13" s="3041"/>
      <c r="N13" s="3041"/>
      <c r="O13" s="3041"/>
      <c r="P13" s="3041"/>
      <c r="Q13" s="3041"/>
      <c r="R13" s="3041"/>
      <c r="S13" s="3041"/>
      <c r="T13" s="3041"/>
      <c r="U13" s="3041"/>
      <c r="V13" s="3041"/>
      <c r="W13" s="3041"/>
      <c r="X13" s="3041"/>
      <c r="Y13" s="3041"/>
      <c r="Z13" s="3041"/>
      <c r="AA13" s="3041"/>
      <c r="AB13" s="3041"/>
      <c r="AC13" s="3041"/>
      <c r="AD13" s="3041"/>
      <c r="AE13" s="3041"/>
      <c r="AF13" s="3041"/>
      <c r="AG13" s="3041"/>
      <c r="AH13" s="3041"/>
      <c r="AI13" s="3041"/>
      <c r="AJ13" s="3041"/>
      <c r="AK13" s="3041"/>
      <c r="AL13" s="3042"/>
    </row>
    <row r="14" spans="2:40" s="2" customFormat="1">
      <c r="B14" s="1588"/>
      <c r="C14" s="1596"/>
      <c r="D14" s="1597"/>
      <c r="E14" s="1597"/>
      <c r="F14" s="1597"/>
      <c r="G14" s="1597"/>
      <c r="H14" s="1597"/>
      <c r="I14" s="1597"/>
      <c r="J14" s="1597"/>
      <c r="K14" s="1602"/>
      <c r="L14" s="3043" t="s">
        <v>82</v>
      </c>
      <c r="M14" s="1583"/>
      <c r="N14" s="1583"/>
      <c r="O14" s="1583"/>
      <c r="P14" s="1583"/>
      <c r="Q14" s="1583"/>
      <c r="R14" s="1583"/>
      <c r="S14" s="1583"/>
      <c r="T14" s="1583"/>
      <c r="U14" s="1583"/>
      <c r="V14" s="1583"/>
      <c r="W14" s="1583"/>
      <c r="X14" s="1583"/>
      <c r="Y14" s="1583"/>
      <c r="Z14" s="1583"/>
      <c r="AA14" s="1583"/>
      <c r="AB14" s="1583"/>
      <c r="AC14" s="1583"/>
      <c r="AD14" s="1583"/>
      <c r="AE14" s="1583"/>
      <c r="AF14" s="1583"/>
      <c r="AG14" s="1583"/>
      <c r="AH14" s="1583"/>
      <c r="AI14" s="1583"/>
      <c r="AJ14" s="1583"/>
      <c r="AK14" s="1583"/>
      <c r="AL14" s="3044"/>
    </row>
    <row r="15" spans="2:40" s="2" customFormat="1">
      <c r="B15" s="1588"/>
      <c r="C15" s="1603"/>
      <c r="D15" s="1604"/>
      <c r="E15" s="1604"/>
      <c r="F15" s="1604"/>
      <c r="G15" s="1604"/>
      <c r="H15" s="1604"/>
      <c r="I15" s="1604"/>
      <c r="J15" s="1604"/>
      <c r="K15" s="1605"/>
      <c r="L15" s="1606" t="s">
        <v>83</v>
      </c>
      <c r="M15" s="1607"/>
      <c r="N15" s="1607"/>
      <c r="O15" s="1607"/>
      <c r="P15" s="1607"/>
      <c r="Q15" s="1607"/>
      <c r="R15" s="1607"/>
      <c r="S15" s="1607"/>
      <c r="T15" s="1607"/>
      <c r="U15" s="1607"/>
      <c r="V15" s="1607"/>
      <c r="W15" s="1607"/>
      <c r="X15" s="1607"/>
      <c r="Y15" s="1607"/>
      <c r="Z15" s="1607"/>
      <c r="AA15" s="1607"/>
      <c r="AB15" s="1607"/>
      <c r="AC15" s="1607"/>
      <c r="AD15" s="1607"/>
      <c r="AE15" s="1607"/>
      <c r="AF15" s="1607"/>
      <c r="AG15" s="1607"/>
      <c r="AH15" s="1607"/>
      <c r="AI15" s="1607"/>
      <c r="AJ15" s="1607"/>
      <c r="AK15" s="1607"/>
      <c r="AL15" s="1608"/>
    </row>
    <row r="16" spans="2:40" s="2" customFormat="1" ht="14.25" customHeight="1">
      <c r="B16" s="1588"/>
      <c r="C16" s="1609" t="s">
        <v>84</v>
      </c>
      <c r="D16" s="1610"/>
      <c r="E16" s="1610"/>
      <c r="F16" s="1610"/>
      <c r="G16" s="1610"/>
      <c r="H16" s="1610"/>
      <c r="I16" s="1610"/>
      <c r="J16" s="1610"/>
      <c r="K16" s="1611"/>
      <c r="L16" s="1577" t="s">
        <v>9</v>
      </c>
      <c r="M16" s="1578"/>
      <c r="N16" s="1578"/>
      <c r="O16" s="1578"/>
      <c r="P16" s="1579"/>
      <c r="Q16" s="24"/>
      <c r="R16" s="25"/>
      <c r="S16" s="25"/>
      <c r="T16" s="25"/>
      <c r="U16" s="25"/>
      <c r="V16" s="25"/>
      <c r="W16" s="25"/>
      <c r="X16" s="25"/>
      <c r="Y16" s="26"/>
      <c r="Z16" s="1584" t="s">
        <v>10</v>
      </c>
      <c r="AA16" s="1585"/>
      <c r="AB16" s="1585"/>
      <c r="AC16" s="1585"/>
      <c r="AD16" s="1586"/>
      <c r="AE16" s="28"/>
      <c r="AF16" s="32"/>
      <c r="AG16" s="22"/>
      <c r="AH16" s="22"/>
      <c r="AI16" s="22"/>
      <c r="AJ16" s="3041"/>
      <c r="AK16" s="3041"/>
      <c r="AL16" s="3042"/>
    </row>
    <row r="17" spans="2:40" ht="14.25" customHeight="1">
      <c r="B17" s="1588"/>
      <c r="C17" s="3050" t="s">
        <v>53</v>
      </c>
      <c r="D17" s="1690"/>
      <c r="E17" s="1690"/>
      <c r="F17" s="1690"/>
      <c r="G17" s="1690"/>
      <c r="H17" s="1690"/>
      <c r="I17" s="1690"/>
      <c r="J17" s="1690"/>
      <c r="K17" s="3051"/>
      <c r="L17" s="27"/>
      <c r="M17" s="27"/>
      <c r="N17" s="27"/>
      <c r="O17" s="27"/>
      <c r="P17" s="27"/>
      <c r="Q17" s="27"/>
      <c r="R17" s="27"/>
      <c r="S17" s="27"/>
      <c r="U17" s="1577" t="s">
        <v>11</v>
      </c>
      <c r="V17" s="1578"/>
      <c r="W17" s="1578"/>
      <c r="X17" s="1578"/>
      <c r="Y17" s="1579"/>
      <c r="Z17" s="18"/>
      <c r="AA17" s="19"/>
      <c r="AB17" s="19"/>
      <c r="AC17" s="19"/>
      <c r="AD17" s="19"/>
      <c r="AE17" s="3052"/>
      <c r="AF17" s="3052"/>
      <c r="AG17" s="3052"/>
      <c r="AH17" s="3052"/>
      <c r="AI17" s="3052"/>
      <c r="AJ17" s="3052"/>
      <c r="AK17" s="3052"/>
      <c r="AL17" s="17"/>
      <c r="AN17" s="3"/>
    </row>
    <row r="18" spans="2:40" ht="14.25" customHeight="1">
      <c r="B18" s="1588"/>
      <c r="C18" s="1616" t="s">
        <v>12</v>
      </c>
      <c r="D18" s="1616"/>
      <c r="E18" s="1616"/>
      <c r="F18" s="1616"/>
      <c r="G18" s="1616"/>
      <c r="H18" s="3054"/>
      <c r="I18" s="3054"/>
      <c r="J18" s="3054"/>
      <c r="K18" s="3055"/>
      <c r="L18" s="1577" t="s">
        <v>13</v>
      </c>
      <c r="M18" s="1578"/>
      <c r="N18" s="1578"/>
      <c r="O18" s="1578"/>
      <c r="P18" s="1579"/>
      <c r="Q18" s="29"/>
      <c r="R18" s="30"/>
      <c r="S18" s="30"/>
      <c r="T18" s="30"/>
      <c r="U18" s="30"/>
      <c r="V18" s="30"/>
      <c r="W18" s="30"/>
      <c r="X18" s="30"/>
      <c r="Y18" s="31"/>
      <c r="Z18" s="1618" t="s">
        <v>14</v>
      </c>
      <c r="AA18" s="1618"/>
      <c r="AB18" s="1618"/>
      <c r="AC18" s="1618"/>
      <c r="AD18" s="1619"/>
      <c r="AE18" s="15"/>
      <c r="AF18" s="16"/>
      <c r="AG18" s="16"/>
      <c r="AH18" s="16"/>
      <c r="AI18" s="16"/>
      <c r="AJ18" s="16"/>
      <c r="AK18" s="16"/>
      <c r="AL18" s="17"/>
      <c r="AN18" s="3"/>
    </row>
    <row r="19" spans="2:40" ht="13.5" customHeight="1">
      <c r="B19" s="1588"/>
      <c r="C19" s="1625" t="s">
        <v>15</v>
      </c>
      <c r="D19" s="1625"/>
      <c r="E19" s="1625"/>
      <c r="F19" s="1625"/>
      <c r="G19" s="1625"/>
      <c r="H19" s="3048"/>
      <c r="I19" s="3048"/>
      <c r="J19" s="3048"/>
      <c r="K19" s="3048"/>
      <c r="L19" s="3040" t="s">
        <v>81</v>
      </c>
      <c r="M19" s="3041"/>
      <c r="N19" s="3041"/>
      <c r="O19" s="3041"/>
      <c r="P19" s="3041"/>
      <c r="Q19" s="3041"/>
      <c r="R19" s="3041"/>
      <c r="S19" s="3041"/>
      <c r="T19" s="3041"/>
      <c r="U19" s="3041"/>
      <c r="V19" s="3041"/>
      <c r="W19" s="3041"/>
      <c r="X19" s="3041"/>
      <c r="Y19" s="3041"/>
      <c r="Z19" s="3041"/>
      <c r="AA19" s="3041"/>
      <c r="AB19" s="3041"/>
      <c r="AC19" s="3041"/>
      <c r="AD19" s="3041"/>
      <c r="AE19" s="3041"/>
      <c r="AF19" s="3041"/>
      <c r="AG19" s="3041"/>
      <c r="AH19" s="3041"/>
      <c r="AI19" s="3041"/>
      <c r="AJ19" s="3041"/>
      <c r="AK19" s="3041"/>
      <c r="AL19" s="3042"/>
      <c r="AN19" s="3"/>
    </row>
    <row r="20" spans="2:40" ht="14.25" customHeight="1">
      <c r="B20" s="1588"/>
      <c r="C20" s="1625"/>
      <c r="D20" s="1625"/>
      <c r="E20" s="1625"/>
      <c r="F20" s="1625"/>
      <c r="G20" s="1625"/>
      <c r="H20" s="3048"/>
      <c r="I20" s="3048"/>
      <c r="J20" s="3048"/>
      <c r="K20" s="3048"/>
      <c r="L20" s="3043" t="s">
        <v>82</v>
      </c>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3044"/>
      <c r="AN20" s="3"/>
    </row>
    <row r="21" spans="2:40">
      <c r="B21" s="1589"/>
      <c r="C21" s="1627"/>
      <c r="D21" s="1627"/>
      <c r="E21" s="1627"/>
      <c r="F21" s="1627"/>
      <c r="G21" s="1627"/>
      <c r="H21" s="3049"/>
      <c r="I21" s="3049"/>
      <c r="J21" s="3049"/>
      <c r="K21" s="3049"/>
      <c r="L21" s="3045"/>
      <c r="M21" s="3046"/>
      <c r="N21" s="3046"/>
      <c r="O21" s="3046"/>
      <c r="P21" s="3046"/>
      <c r="Q21" s="3046"/>
      <c r="R21" s="3046"/>
      <c r="S21" s="3046"/>
      <c r="T21" s="3046"/>
      <c r="U21" s="3046"/>
      <c r="V21" s="3046"/>
      <c r="W21" s="3046"/>
      <c r="X21" s="3046"/>
      <c r="Y21" s="3046"/>
      <c r="Z21" s="3046"/>
      <c r="AA21" s="3046"/>
      <c r="AB21" s="3046"/>
      <c r="AC21" s="3046"/>
      <c r="AD21" s="3046"/>
      <c r="AE21" s="3046"/>
      <c r="AF21" s="3046"/>
      <c r="AG21" s="3046"/>
      <c r="AH21" s="3046"/>
      <c r="AI21" s="3046"/>
      <c r="AJ21" s="3046"/>
      <c r="AK21" s="3046"/>
      <c r="AL21" s="3047"/>
      <c r="AN21" s="3"/>
    </row>
    <row r="22" spans="2:40" ht="13.5" customHeight="1">
      <c r="B22" s="1632" t="s">
        <v>85</v>
      </c>
      <c r="C22" s="1590" t="s">
        <v>100</v>
      </c>
      <c r="D22" s="1591"/>
      <c r="E22" s="1591"/>
      <c r="F22" s="1591"/>
      <c r="G22" s="1591"/>
      <c r="H22" s="1591"/>
      <c r="I22" s="1591"/>
      <c r="J22" s="1591"/>
      <c r="K22" s="1601"/>
      <c r="L22" s="3040" t="s">
        <v>81</v>
      </c>
      <c r="M22" s="3041"/>
      <c r="N22" s="3041"/>
      <c r="O22" s="3041"/>
      <c r="P22" s="3041"/>
      <c r="Q22" s="3041"/>
      <c r="R22" s="3041"/>
      <c r="S22" s="3041"/>
      <c r="T22" s="3041"/>
      <c r="U22" s="3041"/>
      <c r="V22" s="3041"/>
      <c r="W22" s="3041"/>
      <c r="X22" s="3041"/>
      <c r="Y22" s="3041"/>
      <c r="Z22" s="3041"/>
      <c r="AA22" s="3041"/>
      <c r="AB22" s="3041"/>
      <c r="AC22" s="3041"/>
      <c r="AD22" s="3041"/>
      <c r="AE22" s="3041"/>
      <c r="AF22" s="3041"/>
      <c r="AG22" s="3041"/>
      <c r="AH22" s="3041"/>
      <c r="AI22" s="3041"/>
      <c r="AJ22" s="3041"/>
      <c r="AK22" s="3041"/>
      <c r="AL22" s="3042"/>
      <c r="AN22" s="3"/>
    </row>
    <row r="23" spans="2:40" ht="14.25" customHeight="1">
      <c r="B23" s="1633"/>
      <c r="C23" s="1596"/>
      <c r="D23" s="1597"/>
      <c r="E23" s="1597"/>
      <c r="F23" s="1597"/>
      <c r="G23" s="1597"/>
      <c r="H23" s="1597"/>
      <c r="I23" s="1597"/>
      <c r="J23" s="1597"/>
      <c r="K23" s="1602"/>
      <c r="L23" s="3043" t="s">
        <v>82</v>
      </c>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3044"/>
      <c r="AN23" s="3"/>
    </row>
    <row r="24" spans="2:40">
      <c r="B24" s="1633"/>
      <c r="C24" s="1603"/>
      <c r="D24" s="1604"/>
      <c r="E24" s="1604"/>
      <c r="F24" s="1604"/>
      <c r="G24" s="1604"/>
      <c r="H24" s="1604"/>
      <c r="I24" s="1604"/>
      <c r="J24" s="1604"/>
      <c r="K24" s="1605"/>
      <c r="L24" s="3045"/>
      <c r="M24" s="3046"/>
      <c r="N24" s="3046"/>
      <c r="O24" s="3046"/>
      <c r="P24" s="3046"/>
      <c r="Q24" s="3046"/>
      <c r="R24" s="3046"/>
      <c r="S24" s="3046"/>
      <c r="T24" s="3046"/>
      <c r="U24" s="3046"/>
      <c r="V24" s="3046"/>
      <c r="W24" s="3046"/>
      <c r="X24" s="3046"/>
      <c r="Y24" s="3046"/>
      <c r="Z24" s="3046"/>
      <c r="AA24" s="3046"/>
      <c r="AB24" s="3046"/>
      <c r="AC24" s="3046"/>
      <c r="AD24" s="3046"/>
      <c r="AE24" s="3046"/>
      <c r="AF24" s="3046"/>
      <c r="AG24" s="3046"/>
      <c r="AH24" s="3046"/>
      <c r="AI24" s="3046"/>
      <c r="AJ24" s="3046"/>
      <c r="AK24" s="3046"/>
      <c r="AL24" s="3047"/>
      <c r="AN24" s="3"/>
    </row>
    <row r="25" spans="2:40" ht="14.25" customHeight="1">
      <c r="B25" s="1633"/>
      <c r="C25" s="1625" t="s">
        <v>84</v>
      </c>
      <c r="D25" s="1625"/>
      <c r="E25" s="1625"/>
      <c r="F25" s="1625"/>
      <c r="G25" s="1625"/>
      <c r="H25" s="1625"/>
      <c r="I25" s="1625"/>
      <c r="J25" s="1625"/>
      <c r="K25" s="1625"/>
      <c r="L25" s="1577" t="s">
        <v>9</v>
      </c>
      <c r="M25" s="1578"/>
      <c r="N25" s="1578"/>
      <c r="O25" s="1578"/>
      <c r="P25" s="1579"/>
      <c r="Q25" s="24"/>
      <c r="R25" s="25"/>
      <c r="S25" s="25"/>
      <c r="T25" s="25"/>
      <c r="U25" s="25"/>
      <c r="V25" s="25"/>
      <c r="W25" s="25"/>
      <c r="X25" s="25"/>
      <c r="Y25" s="26"/>
      <c r="Z25" s="1584" t="s">
        <v>10</v>
      </c>
      <c r="AA25" s="1585"/>
      <c r="AB25" s="1585"/>
      <c r="AC25" s="1585"/>
      <c r="AD25" s="1586"/>
      <c r="AE25" s="28"/>
      <c r="AF25" s="32"/>
      <c r="AG25" s="22"/>
      <c r="AH25" s="22"/>
      <c r="AI25" s="22"/>
      <c r="AJ25" s="3041"/>
      <c r="AK25" s="3041"/>
      <c r="AL25" s="3042"/>
      <c r="AN25" s="3"/>
    </row>
    <row r="26" spans="2:40" ht="13.5" customHeight="1">
      <c r="B26" s="1633"/>
      <c r="C26" s="1638" t="s">
        <v>16</v>
      </c>
      <c r="D26" s="1638"/>
      <c r="E26" s="1638"/>
      <c r="F26" s="1638"/>
      <c r="G26" s="1638"/>
      <c r="H26" s="1638"/>
      <c r="I26" s="1638"/>
      <c r="J26" s="1638"/>
      <c r="K26" s="1638"/>
      <c r="L26" s="3040" t="s">
        <v>81</v>
      </c>
      <c r="M26" s="3041"/>
      <c r="N26" s="3041"/>
      <c r="O26" s="3041"/>
      <c r="P26" s="3041"/>
      <c r="Q26" s="3041"/>
      <c r="R26" s="3041"/>
      <c r="S26" s="3041"/>
      <c r="T26" s="3041"/>
      <c r="U26" s="3041"/>
      <c r="V26" s="3041"/>
      <c r="W26" s="3041"/>
      <c r="X26" s="3041"/>
      <c r="Y26" s="3041"/>
      <c r="Z26" s="3041"/>
      <c r="AA26" s="3041"/>
      <c r="AB26" s="3041"/>
      <c r="AC26" s="3041"/>
      <c r="AD26" s="3041"/>
      <c r="AE26" s="3041"/>
      <c r="AF26" s="3041"/>
      <c r="AG26" s="3041"/>
      <c r="AH26" s="3041"/>
      <c r="AI26" s="3041"/>
      <c r="AJ26" s="3041"/>
      <c r="AK26" s="3041"/>
      <c r="AL26" s="3042"/>
      <c r="AN26" s="3"/>
    </row>
    <row r="27" spans="2:40" ht="14.25" customHeight="1">
      <c r="B27" s="1633"/>
      <c r="C27" s="1638"/>
      <c r="D27" s="1638"/>
      <c r="E27" s="1638"/>
      <c r="F27" s="1638"/>
      <c r="G27" s="1638"/>
      <c r="H27" s="1638"/>
      <c r="I27" s="1638"/>
      <c r="J27" s="1638"/>
      <c r="K27" s="1638"/>
      <c r="L27" s="3043" t="s">
        <v>82</v>
      </c>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3044"/>
      <c r="AN27" s="3"/>
    </row>
    <row r="28" spans="2:40">
      <c r="B28" s="1633"/>
      <c r="C28" s="1638"/>
      <c r="D28" s="1638"/>
      <c r="E28" s="1638"/>
      <c r="F28" s="1638"/>
      <c r="G28" s="1638"/>
      <c r="H28" s="1638"/>
      <c r="I28" s="1638"/>
      <c r="J28" s="1638"/>
      <c r="K28" s="1638"/>
      <c r="L28" s="3045"/>
      <c r="M28" s="3046"/>
      <c r="N28" s="3046"/>
      <c r="O28" s="3046"/>
      <c r="P28" s="3046"/>
      <c r="Q28" s="3046"/>
      <c r="R28" s="3046"/>
      <c r="S28" s="3046"/>
      <c r="T28" s="3046"/>
      <c r="U28" s="3046"/>
      <c r="V28" s="3046"/>
      <c r="W28" s="3046"/>
      <c r="X28" s="3046"/>
      <c r="Y28" s="3046"/>
      <c r="Z28" s="3046"/>
      <c r="AA28" s="3046"/>
      <c r="AB28" s="3046"/>
      <c r="AC28" s="3046"/>
      <c r="AD28" s="3046"/>
      <c r="AE28" s="3046"/>
      <c r="AF28" s="3046"/>
      <c r="AG28" s="3046"/>
      <c r="AH28" s="3046"/>
      <c r="AI28" s="3046"/>
      <c r="AJ28" s="3046"/>
      <c r="AK28" s="3046"/>
      <c r="AL28" s="3047"/>
      <c r="AN28" s="3"/>
    </row>
    <row r="29" spans="2:40" ht="14.25" customHeight="1">
      <c r="B29" s="1633"/>
      <c r="C29" s="1625" t="s">
        <v>84</v>
      </c>
      <c r="D29" s="1625"/>
      <c r="E29" s="1625"/>
      <c r="F29" s="1625"/>
      <c r="G29" s="1625"/>
      <c r="H29" s="1625"/>
      <c r="I29" s="1625"/>
      <c r="J29" s="1625"/>
      <c r="K29" s="1625"/>
      <c r="L29" s="1577" t="s">
        <v>9</v>
      </c>
      <c r="M29" s="1578"/>
      <c r="N29" s="1578"/>
      <c r="O29" s="1578"/>
      <c r="P29" s="1579"/>
      <c r="Q29" s="28"/>
      <c r="R29" s="32"/>
      <c r="S29" s="32"/>
      <c r="T29" s="32"/>
      <c r="U29" s="32"/>
      <c r="V29" s="32"/>
      <c r="W29" s="32"/>
      <c r="X29" s="32"/>
      <c r="Y29" s="33"/>
      <c r="Z29" s="1584" t="s">
        <v>10</v>
      </c>
      <c r="AA29" s="1585"/>
      <c r="AB29" s="1585"/>
      <c r="AC29" s="1585"/>
      <c r="AD29" s="1586"/>
      <c r="AE29" s="28"/>
      <c r="AF29" s="32"/>
      <c r="AG29" s="22"/>
      <c r="AH29" s="22"/>
      <c r="AI29" s="22"/>
      <c r="AJ29" s="3041"/>
      <c r="AK29" s="3041"/>
      <c r="AL29" s="3042"/>
      <c r="AN29" s="3"/>
    </row>
    <row r="30" spans="2:40" ht="14.25" customHeight="1">
      <c r="B30" s="1633"/>
      <c r="C30" s="1625" t="s">
        <v>17</v>
      </c>
      <c r="D30" s="1625"/>
      <c r="E30" s="1625"/>
      <c r="F30" s="1625"/>
      <c r="G30" s="1625"/>
      <c r="H30" s="1625"/>
      <c r="I30" s="1625"/>
      <c r="J30" s="1625"/>
      <c r="K30" s="1625"/>
      <c r="L30" s="3039"/>
      <c r="M30" s="3039"/>
      <c r="N30" s="3039"/>
      <c r="O30" s="3039"/>
      <c r="P30" s="3039"/>
      <c r="Q30" s="3039"/>
      <c r="R30" s="3039"/>
      <c r="S30" s="3039"/>
      <c r="T30" s="3039"/>
      <c r="U30" s="3039"/>
      <c r="V30" s="3039"/>
      <c r="W30" s="3039"/>
      <c r="X30" s="3039"/>
      <c r="Y30" s="3039"/>
      <c r="Z30" s="3039"/>
      <c r="AA30" s="3039"/>
      <c r="AB30" s="3039"/>
      <c r="AC30" s="3039"/>
      <c r="AD30" s="3039"/>
      <c r="AE30" s="3039"/>
      <c r="AF30" s="3039"/>
      <c r="AG30" s="3039"/>
      <c r="AH30" s="3039"/>
      <c r="AI30" s="3039"/>
      <c r="AJ30" s="3039"/>
      <c r="AK30" s="3039"/>
      <c r="AL30" s="3039"/>
      <c r="AN30" s="3"/>
    </row>
    <row r="31" spans="2:40" ht="13.5" customHeight="1">
      <c r="B31" s="1633"/>
      <c r="C31" s="1625" t="s">
        <v>18</v>
      </c>
      <c r="D31" s="1625"/>
      <c r="E31" s="1625"/>
      <c r="F31" s="1625"/>
      <c r="G31" s="1625"/>
      <c r="H31" s="1625"/>
      <c r="I31" s="1625"/>
      <c r="J31" s="1625"/>
      <c r="K31" s="1625"/>
      <c r="L31" s="3040" t="s">
        <v>81</v>
      </c>
      <c r="M31" s="3041"/>
      <c r="N31" s="3041"/>
      <c r="O31" s="3041"/>
      <c r="P31" s="3041"/>
      <c r="Q31" s="3041"/>
      <c r="R31" s="3041"/>
      <c r="S31" s="3041"/>
      <c r="T31" s="3041"/>
      <c r="U31" s="3041"/>
      <c r="V31" s="3041"/>
      <c r="W31" s="3041"/>
      <c r="X31" s="3041"/>
      <c r="Y31" s="3041"/>
      <c r="Z31" s="3041"/>
      <c r="AA31" s="3041"/>
      <c r="AB31" s="3041"/>
      <c r="AC31" s="3041"/>
      <c r="AD31" s="3041"/>
      <c r="AE31" s="3041"/>
      <c r="AF31" s="3041"/>
      <c r="AG31" s="3041"/>
      <c r="AH31" s="3041"/>
      <c r="AI31" s="3041"/>
      <c r="AJ31" s="3041"/>
      <c r="AK31" s="3041"/>
      <c r="AL31" s="3042"/>
      <c r="AN31" s="3"/>
    </row>
    <row r="32" spans="2:40" ht="14.25" customHeight="1">
      <c r="B32" s="1633"/>
      <c r="C32" s="1625"/>
      <c r="D32" s="1625"/>
      <c r="E32" s="1625"/>
      <c r="F32" s="1625"/>
      <c r="G32" s="1625"/>
      <c r="H32" s="1625"/>
      <c r="I32" s="1625"/>
      <c r="J32" s="1625"/>
      <c r="K32" s="1625"/>
      <c r="L32" s="3043" t="s">
        <v>82</v>
      </c>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3044"/>
      <c r="AN32" s="3"/>
    </row>
    <row r="33" spans="2:40">
      <c r="B33" s="1634"/>
      <c r="C33" s="1625"/>
      <c r="D33" s="1625"/>
      <c r="E33" s="1625"/>
      <c r="F33" s="1625"/>
      <c r="G33" s="1625"/>
      <c r="H33" s="1625"/>
      <c r="I33" s="1625"/>
      <c r="J33" s="1625"/>
      <c r="K33" s="1625"/>
      <c r="L33" s="3045"/>
      <c r="M33" s="3046"/>
      <c r="N33" s="1607"/>
      <c r="O33" s="1607"/>
      <c r="P33" s="1607"/>
      <c r="Q33" s="1607"/>
      <c r="R33" s="1607"/>
      <c r="S33" s="1607"/>
      <c r="T33" s="1607"/>
      <c r="U33" s="1607"/>
      <c r="V33" s="1607"/>
      <c r="W33" s="1607"/>
      <c r="X33" s="1607"/>
      <c r="Y33" s="1607"/>
      <c r="Z33" s="1607"/>
      <c r="AA33" s="1607"/>
      <c r="AB33" s="1607"/>
      <c r="AC33" s="3046"/>
      <c r="AD33" s="3046"/>
      <c r="AE33" s="3046"/>
      <c r="AF33" s="3046"/>
      <c r="AG33" s="3046"/>
      <c r="AH33" s="1607"/>
      <c r="AI33" s="1607"/>
      <c r="AJ33" s="1607"/>
      <c r="AK33" s="1607"/>
      <c r="AL33" s="1608"/>
      <c r="AN33" s="3"/>
    </row>
    <row r="34" spans="2:40" ht="13.5" customHeight="1">
      <c r="B34" s="1632" t="s">
        <v>43</v>
      </c>
      <c r="C34" s="1700" t="s">
        <v>86</v>
      </c>
      <c r="D34" s="1701"/>
      <c r="E34" s="1701"/>
      <c r="F34" s="1701"/>
      <c r="G34" s="1701"/>
      <c r="H34" s="1701"/>
      <c r="I34" s="1701"/>
      <c r="J34" s="1701"/>
      <c r="K34" s="1701"/>
      <c r="L34" s="1701"/>
      <c r="M34" s="3031" t="s">
        <v>19</v>
      </c>
      <c r="N34" s="3008"/>
      <c r="O34" s="53" t="s">
        <v>45</v>
      </c>
      <c r="P34" s="49"/>
      <c r="Q34" s="50"/>
      <c r="R34" s="1795" t="s">
        <v>20</v>
      </c>
      <c r="S34" s="1796"/>
      <c r="T34" s="1796"/>
      <c r="U34" s="1796"/>
      <c r="V34" s="1796"/>
      <c r="W34" s="1796"/>
      <c r="X34" s="1797"/>
      <c r="Y34" s="3033" t="s">
        <v>55</v>
      </c>
      <c r="Z34" s="3034"/>
      <c r="AA34" s="3034"/>
      <c r="AB34" s="3035"/>
      <c r="AC34" s="3036" t="s">
        <v>56</v>
      </c>
      <c r="AD34" s="3037"/>
      <c r="AE34" s="3037"/>
      <c r="AF34" s="3037"/>
      <c r="AG34" s="3038"/>
      <c r="AH34" s="3018" t="s">
        <v>50</v>
      </c>
      <c r="AI34" s="3019"/>
      <c r="AJ34" s="3019"/>
      <c r="AK34" s="3019"/>
      <c r="AL34" s="3020"/>
      <c r="AN34" s="3"/>
    </row>
    <row r="35" spans="2:40" ht="14.25" customHeight="1">
      <c r="B35" s="1633"/>
      <c r="C35" s="1703"/>
      <c r="D35" s="1704"/>
      <c r="E35" s="1704"/>
      <c r="F35" s="1704"/>
      <c r="G35" s="1704"/>
      <c r="H35" s="1704"/>
      <c r="I35" s="1704"/>
      <c r="J35" s="1704"/>
      <c r="K35" s="1704"/>
      <c r="L35" s="1704"/>
      <c r="M35" s="3032"/>
      <c r="N35" s="3011"/>
      <c r="O35" s="54" t="s">
        <v>46</v>
      </c>
      <c r="P35" s="51"/>
      <c r="Q35" s="52"/>
      <c r="R35" s="1798"/>
      <c r="S35" s="1799"/>
      <c r="T35" s="1799"/>
      <c r="U35" s="1799"/>
      <c r="V35" s="1799"/>
      <c r="W35" s="1799"/>
      <c r="X35" s="1800"/>
      <c r="Y35" s="55" t="s">
        <v>31</v>
      </c>
      <c r="Z35" s="14"/>
      <c r="AA35" s="14"/>
      <c r="AB35" s="14"/>
      <c r="AC35" s="3021" t="s">
        <v>32</v>
      </c>
      <c r="AD35" s="3022"/>
      <c r="AE35" s="3022"/>
      <c r="AF35" s="3022"/>
      <c r="AG35" s="3023"/>
      <c r="AH35" s="3024" t="s">
        <v>51</v>
      </c>
      <c r="AI35" s="3025"/>
      <c r="AJ35" s="3025"/>
      <c r="AK35" s="3025"/>
      <c r="AL35" s="3026"/>
      <c r="AN35" s="3"/>
    </row>
    <row r="36" spans="2:40" ht="14.25" customHeight="1">
      <c r="B36" s="1633"/>
      <c r="C36" s="1588"/>
      <c r="D36" s="68"/>
      <c r="E36" s="3013" t="s">
        <v>2</v>
      </c>
      <c r="F36" s="3013"/>
      <c r="G36" s="3013"/>
      <c r="H36" s="3013"/>
      <c r="I36" s="3013"/>
      <c r="J36" s="3013"/>
      <c r="K36" s="3013"/>
      <c r="L36" s="3027"/>
      <c r="M36" s="37"/>
      <c r="N36" s="36"/>
      <c r="O36" s="18"/>
      <c r="P36" s="19"/>
      <c r="Q36" s="36"/>
      <c r="R36" s="11" t="s">
        <v>57</v>
      </c>
      <c r="S36" s="5"/>
      <c r="T36" s="5"/>
      <c r="U36" s="5"/>
      <c r="V36" s="5"/>
      <c r="W36" s="5"/>
      <c r="X36" s="5"/>
      <c r="Y36" s="9"/>
      <c r="Z36" s="30"/>
      <c r="AA36" s="30"/>
      <c r="AB36" s="30"/>
      <c r="AC36" s="15"/>
      <c r="AD36" s="16"/>
      <c r="AE36" s="16"/>
      <c r="AF36" s="16"/>
      <c r="AG36" s="17"/>
      <c r="AH36" s="15"/>
      <c r="AI36" s="16"/>
      <c r="AJ36" s="16"/>
      <c r="AK36" s="16"/>
      <c r="AL36" s="17" t="s">
        <v>60</v>
      </c>
      <c r="AN36" s="3"/>
    </row>
    <row r="37" spans="2:40" ht="14.25" customHeight="1">
      <c r="B37" s="1633"/>
      <c r="C37" s="1588"/>
      <c r="D37" s="68"/>
      <c r="E37" s="3013" t="s">
        <v>3</v>
      </c>
      <c r="F37" s="3014"/>
      <c r="G37" s="3014"/>
      <c r="H37" s="3014"/>
      <c r="I37" s="3014"/>
      <c r="J37" s="3014"/>
      <c r="K37" s="3014"/>
      <c r="L37" s="3015"/>
      <c r="M37" s="37"/>
      <c r="N37" s="36"/>
      <c r="O37" s="18"/>
      <c r="P37" s="19"/>
      <c r="Q37" s="36"/>
      <c r="R37" s="11" t="s">
        <v>57</v>
      </c>
      <c r="S37" s="5"/>
      <c r="T37" s="5"/>
      <c r="U37" s="5"/>
      <c r="V37" s="5"/>
      <c r="W37" s="5"/>
      <c r="X37" s="5"/>
      <c r="Y37" s="9"/>
      <c r="Z37" s="30"/>
      <c r="AA37" s="30"/>
      <c r="AB37" s="30"/>
      <c r="AC37" s="15"/>
      <c r="AD37" s="16"/>
      <c r="AE37" s="16"/>
      <c r="AF37" s="16"/>
      <c r="AG37" s="17"/>
      <c r="AH37" s="15"/>
      <c r="AI37" s="16"/>
      <c r="AJ37" s="16"/>
      <c r="AK37" s="16"/>
      <c r="AL37" s="17" t="s">
        <v>60</v>
      </c>
      <c r="AN37" s="3"/>
    </row>
    <row r="38" spans="2:40" ht="14.25" customHeight="1">
      <c r="B38" s="1633"/>
      <c r="C38" s="1588"/>
      <c r="D38" s="68"/>
      <c r="E38" s="3013" t="s">
        <v>4</v>
      </c>
      <c r="F38" s="3014"/>
      <c r="G38" s="3014"/>
      <c r="H38" s="3014"/>
      <c r="I38" s="3014"/>
      <c r="J38" s="3014"/>
      <c r="K38" s="3014"/>
      <c r="L38" s="3015"/>
      <c r="M38" s="37"/>
      <c r="N38" s="36"/>
      <c r="O38" s="18"/>
      <c r="P38" s="19"/>
      <c r="Q38" s="36"/>
      <c r="R38" s="11" t="s">
        <v>57</v>
      </c>
      <c r="S38" s="5"/>
      <c r="T38" s="5"/>
      <c r="U38" s="5"/>
      <c r="V38" s="5"/>
      <c r="W38" s="5"/>
      <c r="X38" s="5"/>
      <c r="Y38" s="9"/>
      <c r="Z38" s="30"/>
      <c r="AA38" s="30"/>
      <c r="AB38" s="30"/>
      <c r="AC38" s="15"/>
      <c r="AD38" s="16"/>
      <c r="AE38" s="16"/>
      <c r="AF38" s="16"/>
      <c r="AG38" s="17"/>
      <c r="AH38" s="15"/>
      <c r="AI38" s="16"/>
      <c r="AJ38" s="16"/>
      <c r="AK38" s="16"/>
      <c r="AL38" s="17" t="s">
        <v>60</v>
      </c>
      <c r="AN38" s="3"/>
    </row>
    <row r="39" spans="2:40" ht="14.25" customHeight="1">
      <c r="B39" s="1633"/>
      <c r="C39" s="1588"/>
      <c r="D39" s="68"/>
      <c r="E39" s="3013" t="s">
        <v>6</v>
      </c>
      <c r="F39" s="3014"/>
      <c r="G39" s="3014"/>
      <c r="H39" s="3014"/>
      <c r="I39" s="3014"/>
      <c r="J39" s="3014"/>
      <c r="K39" s="3014"/>
      <c r="L39" s="3015"/>
      <c r="M39" s="37"/>
      <c r="N39" s="36"/>
      <c r="O39" s="18"/>
      <c r="P39" s="19"/>
      <c r="Q39" s="36"/>
      <c r="R39" s="11" t="s">
        <v>57</v>
      </c>
      <c r="S39" s="5"/>
      <c r="T39" s="5"/>
      <c r="U39" s="5"/>
      <c r="V39" s="5"/>
      <c r="W39" s="5"/>
      <c r="X39" s="5"/>
      <c r="Y39" s="9"/>
      <c r="Z39" s="30"/>
      <c r="AA39" s="30"/>
      <c r="AB39" s="30"/>
      <c r="AC39" s="15"/>
      <c r="AD39" s="16"/>
      <c r="AE39" s="16"/>
      <c r="AF39" s="16"/>
      <c r="AG39" s="17"/>
      <c r="AH39" s="15"/>
      <c r="AI39" s="16"/>
      <c r="AJ39" s="16"/>
      <c r="AK39" s="16"/>
      <c r="AL39" s="17" t="s">
        <v>60</v>
      </c>
      <c r="AN39" s="3"/>
    </row>
    <row r="40" spans="2:40" ht="14.25" customHeight="1">
      <c r="B40" s="1633"/>
      <c r="C40" s="1588"/>
      <c r="D40" s="68"/>
      <c r="E40" s="3013" t="s">
        <v>5</v>
      </c>
      <c r="F40" s="3014"/>
      <c r="G40" s="3014"/>
      <c r="H40" s="3014"/>
      <c r="I40" s="3014"/>
      <c r="J40" s="3014"/>
      <c r="K40" s="3014"/>
      <c r="L40" s="3015"/>
      <c r="M40" s="37"/>
      <c r="N40" s="36"/>
      <c r="O40" s="18"/>
      <c r="P40" s="19"/>
      <c r="Q40" s="36"/>
      <c r="R40" s="11" t="s">
        <v>57</v>
      </c>
      <c r="S40" s="5"/>
      <c r="T40" s="5"/>
      <c r="U40" s="5"/>
      <c r="V40" s="5"/>
      <c r="W40" s="5"/>
      <c r="X40" s="5"/>
      <c r="Y40" s="9"/>
      <c r="Z40" s="30"/>
      <c r="AA40" s="30"/>
      <c r="AB40" s="30"/>
      <c r="AC40" s="15"/>
      <c r="AD40" s="16"/>
      <c r="AE40" s="16"/>
      <c r="AF40" s="16"/>
      <c r="AG40" s="17"/>
      <c r="AH40" s="15"/>
      <c r="AI40" s="16"/>
      <c r="AJ40" s="16"/>
      <c r="AK40" s="16"/>
      <c r="AL40" s="17" t="s">
        <v>60</v>
      </c>
      <c r="AN40" s="3"/>
    </row>
    <row r="41" spans="2:40" ht="14.25" customHeight="1" thickBot="1">
      <c r="B41" s="1633"/>
      <c r="C41" s="1588"/>
      <c r="D41" s="69"/>
      <c r="E41" s="3028" t="s">
        <v>44</v>
      </c>
      <c r="F41" s="3029"/>
      <c r="G41" s="3029"/>
      <c r="H41" s="3029"/>
      <c r="I41" s="3029"/>
      <c r="J41" s="3029"/>
      <c r="K41" s="3029"/>
      <c r="L41" s="3030"/>
      <c r="M41" s="70"/>
      <c r="N41" s="35"/>
      <c r="O41" s="79"/>
      <c r="P41" s="34"/>
      <c r="Q41" s="35"/>
      <c r="R41" s="4" t="s">
        <v>57</v>
      </c>
      <c r="S41" s="80"/>
      <c r="T41" s="80"/>
      <c r="U41" s="80"/>
      <c r="V41" s="80"/>
      <c r="W41" s="80"/>
      <c r="X41" s="80"/>
      <c r="Y41" s="6"/>
      <c r="Z41" s="66"/>
      <c r="AA41" s="66"/>
      <c r="AB41" s="66"/>
      <c r="AC41" s="56"/>
      <c r="AD41" s="57"/>
      <c r="AE41" s="57"/>
      <c r="AF41" s="57"/>
      <c r="AG41" s="58"/>
      <c r="AH41" s="56"/>
      <c r="AI41" s="57"/>
      <c r="AJ41" s="57"/>
      <c r="AK41" s="57"/>
      <c r="AL41" s="58" t="s">
        <v>60</v>
      </c>
      <c r="AN41" s="3"/>
    </row>
    <row r="42" spans="2:40" ht="14.25" customHeight="1" thickTop="1">
      <c r="B42" s="1633"/>
      <c r="C42" s="1588"/>
      <c r="D42" s="71"/>
      <c r="E42" s="3016" t="s">
        <v>71</v>
      </c>
      <c r="F42" s="3016"/>
      <c r="G42" s="3016"/>
      <c r="H42" s="3016"/>
      <c r="I42" s="3016"/>
      <c r="J42" s="3016"/>
      <c r="K42" s="3016"/>
      <c r="L42" s="3017"/>
      <c r="M42" s="72"/>
      <c r="N42" s="74"/>
      <c r="O42" s="81"/>
      <c r="P42" s="73"/>
      <c r="Q42" s="74"/>
      <c r="R42" s="82" t="s">
        <v>57</v>
      </c>
      <c r="S42" s="83"/>
      <c r="T42" s="83"/>
      <c r="U42" s="83"/>
      <c r="V42" s="83"/>
      <c r="W42" s="83"/>
      <c r="X42" s="83"/>
      <c r="Y42" s="75"/>
      <c r="Z42" s="76"/>
      <c r="AA42" s="76"/>
      <c r="AB42" s="76"/>
      <c r="AC42" s="84"/>
      <c r="AD42" s="77"/>
      <c r="AE42" s="77"/>
      <c r="AF42" s="77"/>
      <c r="AG42" s="78"/>
      <c r="AH42" s="84"/>
      <c r="AI42" s="77"/>
      <c r="AJ42" s="77"/>
      <c r="AK42" s="77"/>
      <c r="AL42" s="78" t="s">
        <v>60</v>
      </c>
      <c r="AN42" s="3"/>
    </row>
    <row r="43" spans="2:40" ht="14.25" customHeight="1">
      <c r="B43" s="1633"/>
      <c r="C43" s="1588"/>
      <c r="D43" s="68"/>
      <c r="E43" s="3013" t="s">
        <v>72</v>
      </c>
      <c r="F43" s="3014"/>
      <c r="G43" s="3014"/>
      <c r="H43" s="3014"/>
      <c r="I43" s="3014"/>
      <c r="J43" s="3014"/>
      <c r="K43" s="3014"/>
      <c r="L43" s="3015"/>
      <c r="M43" s="37"/>
      <c r="N43" s="36"/>
      <c r="O43" s="18"/>
      <c r="P43" s="19"/>
      <c r="Q43" s="36"/>
      <c r="R43" s="11" t="s">
        <v>57</v>
      </c>
      <c r="S43" s="5"/>
      <c r="T43" s="5"/>
      <c r="U43" s="5"/>
      <c r="V43" s="5"/>
      <c r="W43" s="5"/>
      <c r="X43" s="5"/>
      <c r="Y43" s="9"/>
      <c r="Z43" s="30"/>
      <c r="AA43" s="30"/>
      <c r="AB43" s="30"/>
      <c r="AC43" s="15"/>
      <c r="AD43" s="16"/>
      <c r="AE43" s="16"/>
      <c r="AF43" s="16"/>
      <c r="AG43" s="17"/>
      <c r="AH43" s="15"/>
      <c r="AI43" s="16"/>
      <c r="AJ43" s="16"/>
      <c r="AK43" s="16"/>
      <c r="AL43" s="17" t="s">
        <v>60</v>
      </c>
      <c r="AN43" s="3"/>
    </row>
    <row r="44" spans="2:40" ht="14.25" customHeight="1">
      <c r="B44" s="1633"/>
      <c r="C44" s="1588"/>
      <c r="D44" s="68"/>
      <c r="E44" s="3013" t="s">
        <v>73</v>
      </c>
      <c r="F44" s="3014"/>
      <c r="G44" s="3014"/>
      <c r="H44" s="3014"/>
      <c r="I44" s="3014"/>
      <c r="J44" s="3014"/>
      <c r="K44" s="3014"/>
      <c r="L44" s="3015"/>
      <c r="M44" s="37"/>
      <c r="N44" s="36"/>
      <c r="O44" s="18"/>
      <c r="P44" s="19"/>
      <c r="Q44" s="36"/>
      <c r="R44" s="11" t="s">
        <v>57</v>
      </c>
      <c r="S44" s="5"/>
      <c r="T44" s="5"/>
      <c r="U44" s="5"/>
      <c r="V44" s="5"/>
      <c r="W44" s="5"/>
      <c r="X44" s="5"/>
      <c r="Y44" s="9"/>
      <c r="Z44" s="30"/>
      <c r="AA44" s="30"/>
      <c r="AB44" s="30"/>
      <c r="AC44" s="15"/>
      <c r="AD44" s="16"/>
      <c r="AE44" s="16"/>
      <c r="AF44" s="16"/>
      <c r="AG44" s="17"/>
      <c r="AH44" s="15"/>
      <c r="AI44" s="16"/>
      <c r="AJ44" s="16"/>
      <c r="AK44" s="16"/>
      <c r="AL44" s="17" t="s">
        <v>60</v>
      </c>
      <c r="AN44" s="3"/>
    </row>
    <row r="45" spans="2:40" ht="14.25" customHeight="1">
      <c r="B45" s="1633"/>
      <c r="C45" s="1588"/>
      <c r="D45" s="68"/>
      <c r="E45" s="3013" t="s">
        <v>74</v>
      </c>
      <c r="F45" s="3014"/>
      <c r="G45" s="3014"/>
      <c r="H45" s="3014"/>
      <c r="I45" s="3014"/>
      <c r="J45" s="3014"/>
      <c r="K45" s="3014"/>
      <c r="L45" s="3015"/>
      <c r="M45" s="37"/>
      <c r="N45" s="36"/>
      <c r="O45" s="18"/>
      <c r="P45" s="19"/>
      <c r="Q45" s="36"/>
      <c r="R45" s="11" t="s">
        <v>57</v>
      </c>
      <c r="S45" s="5"/>
      <c r="T45" s="5"/>
      <c r="U45" s="5"/>
      <c r="V45" s="5"/>
      <c r="W45" s="5"/>
      <c r="X45" s="5"/>
      <c r="Y45" s="9"/>
      <c r="Z45" s="30"/>
      <c r="AA45" s="30"/>
      <c r="AB45" s="30"/>
      <c r="AC45" s="15"/>
      <c r="AD45" s="16"/>
      <c r="AE45" s="16"/>
      <c r="AF45" s="16"/>
      <c r="AG45" s="17"/>
      <c r="AH45" s="15"/>
      <c r="AI45" s="16"/>
      <c r="AJ45" s="16"/>
      <c r="AK45" s="16"/>
      <c r="AL45" s="17" t="s">
        <v>60</v>
      </c>
      <c r="AN45" s="3"/>
    </row>
    <row r="46" spans="2:40" ht="14.25" customHeight="1">
      <c r="B46" s="1633"/>
      <c r="C46" s="1588"/>
      <c r="D46" s="68"/>
      <c r="E46" s="3013" t="s">
        <v>75</v>
      </c>
      <c r="F46" s="3014"/>
      <c r="G46" s="3014"/>
      <c r="H46" s="3014"/>
      <c r="I46" s="3014"/>
      <c r="J46" s="3014"/>
      <c r="K46" s="3014"/>
      <c r="L46" s="3015"/>
      <c r="M46" s="37"/>
      <c r="N46" s="36"/>
      <c r="O46" s="18"/>
      <c r="P46" s="19"/>
      <c r="Q46" s="36"/>
      <c r="R46" s="11" t="s">
        <v>57</v>
      </c>
      <c r="S46" s="5"/>
      <c r="T46" s="5"/>
      <c r="U46" s="5"/>
      <c r="V46" s="5"/>
      <c r="W46" s="5"/>
      <c r="X46" s="5"/>
      <c r="Y46" s="9"/>
      <c r="Z46" s="30"/>
      <c r="AA46" s="30"/>
      <c r="AB46" s="30"/>
      <c r="AC46" s="15"/>
      <c r="AD46" s="16"/>
      <c r="AE46" s="16"/>
      <c r="AF46" s="16"/>
      <c r="AG46" s="17"/>
      <c r="AH46" s="15"/>
      <c r="AI46" s="16"/>
      <c r="AJ46" s="16"/>
      <c r="AK46" s="16"/>
      <c r="AL46" s="17" t="s">
        <v>60</v>
      </c>
      <c r="AN46" s="3"/>
    </row>
    <row r="47" spans="2:40" ht="14.25" customHeight="1">
      <c r="B47" s="1634"/>
      <c r="C47" s="1588"/>
      <c r="D47" s="68"/>
      <c r="E47" s="3013" t="s">
        <v>76</v>
      </c>
      <c r="F47" s="3014"/>
      <c r="G47" s="3014"/>
      <c r="H47" s="3014"/>
      <c r="I47" s="3014"/>
      <c r="J47" s="3014"/>
      <c r="K47" s="3014"/>
      <c r="L47" s="3015"/>
      <c r="M47" s="37"/>
      <c r="N47" s="36"/>
      <c r="O47" s="18"/>
      <c r="P47" s="19"/>
      <c r="Q47" s="36"/>
      <c r="R47" s="11" t="s">
        <v>57</v>
      </c>
      <c r="S47" s="5"/>
      <c r="T47" s="5"/>
      <c r="U47" s="5"/>
      <c r="V47" s="5"/>
      <c r="W47" s="5"/>
      <c r="X47" s="5"/>
      <c r="Y47" s="9"/>
      <c r="Z47" s="30"/>
      <c r="AA47" s="30"/>
      <c r="AB47" s="30"/>
      <c r="AC47" s="15"/>
      <c r="AD47" s="16"/>
      <c r="AE47" s="16"/>
      <c r="AF47" s="16"/>
      <c r="AG47" s="17"/>
      <c r="AH47" s="15"/>
      <c r="AI47" s="16"/>
      <c r="AJ47" s="16"/>
      <c r="AK47" s="16"/>
      <c r="AL47" s="17" t="s">
        <v>60</v>
      </c>
      <c r="AN47" s="3"/>
    </row>
    <row r="48" spans="2:40" ht="14.25" customHeight="1">
      <c r="B48" s="1861" t="s">
        <v>47</v>
      </c>
      <c r="C48" s="1861"/>
      <c r="D48" s="1861"/>
      <c r="E48" s="1861"/>
      <c r="F48" s="1861"/>
      <c r="G48" s="1861"/>
      <c r="H48" s="1861"/>
      <c r="I48" s="1861"/>
      <c r="J48" s="1861"/>
      <c r="K48" s="186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861" t="s">
        <v>48</v>
      </c>
      <c r="C49" s="1861"/>
      <c r="D49" s="1861"/>
      <c r="E49" s="1861"/>
      <c r="F49" s="1861"/>
      <c r="G49" s="1861"/>
      <c r="H49" s="1861"/>
      <c r="I49" s="1861"/>
      <c r="J49" s="1861"/>
      <c r="K49" s="1789"/>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616" t="s">
        <v>21</v>
      </c>
      <c r="C50" s="1616"/>
      <c r="D50" s="1616"/>
      <c r="E50" s="1616"/>
      <c r="F50" s="1616"/>
      <c r="G50" s="1616"/>
      <c r="H50" s="1616"/>
      <c r="I50" s="1616"/>
      <c r="J50" s="1616"/>
      <c r="K50" s="1616"/>
      <c r="L50" s="61"/>
      <c r="M50" s="62"/>
      <c r="N50" s="62"/>
      <c r="O50" s="62"/>
      <c r="P50" s="62"/>
      <c r="Q50" s="62"/>
      <c r="R50" s="63"/>
      <c r="S50" s="63"/>
      <c r="T50" s="63"/>
      <c r="U50" s="64"/>
      <c r="V50" s="9" t="s">
        <v>0</v>
      </c>
      <c r="W50" s="10"/>
      <c r="X50" s="10"/>
      <c r="Y50" s="10"/>
      <c r="Z50" s="30"/>
      <c r="AA50" s="30"/>
      <c r="AB50" s="30"/>
      <c r="AC50" s="16"/>
      <c r="AD50" s="16"/>
      <c r="AE50" s="16"/>
      <c r="AF50" s="16"/>
      <c r="AG50" s="16"/>
      <c r="AH50" s="47"/>
      <c r="AI50" s="16"/>
      <c r="AJ50" s="16"/>
      <c r="AK50" s="16"/>
      <c r="AL50" s="17"/>
      <c r="AN50" s="3"/>
    </row>
    <row r="51" spans="2:40" ht="14.25" customHeight="1">
      <c r="B51" s="3005" t="s">
        <v>49</v>
      </c>
      <c r="C51" s="3005"/>
      <c r="D51" s="3005"/>
      <c r="E51" s="3005"/>
      <c r="F51" s="3005"/>
      <c r="G51" s="3005"/>
      <c r="H51" s="3005"/>
      <c r="I51" s="3005"/>
      <c r="J51" s="3005"/>
      <c r="K51" s="3005"/>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697" t="s">
        <v>40</v>
      </c>
      <c r="C52" s="1698"/>
      <c r="D52" s="1698"/>
      <c r="E52" s="1698"/>
      <c r="F52" s="1698"/>
      <c r="G52" s="1698"/>
      <c r="H52" s="1698"/>
      <c r="I52" s="1698"/>
      <c r="J52" s="1698"/>
      <c r="K52" s="1698"/>
      <c r="L52" s="1698"/>
      <c r="M52" s="1698"/>
      <c r="N52" s="1698"/>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587" t="s">
        <v>22</v>
      </c>
      <c r="C53" s="1617" t="s">
        <v>87</v>
      </c>
      <c r="D53" s="1618"/>
      <c r="E53" s="1618"/>
      <c r="F53" s="1618"/>
      <c r="G53" s="1618"/>
      <c r="H53" s="1618"/>
      <c r="I53" s="1618"/>
      <c r="J53" s="1618"/>
      <c r="K53" s="1618"/>
      <c r="L53" s="1618"/>
      <c r="M53" s="1618"/>
      <c r="N53" s="1618"/>
      <c r="O53" s="1618"/>
      <c r="P53" s="1618"/>
      <c r="Q53" s="1618"/>
      <c r="R53" s="1618"/>
      <c r="S53" s="1618"/>
      <c r="T53" s="1619"/>
      <c r="U53" s="1617" t="s">
        <v>33</v>
      </c>
      <c r="V53" s="1711"/>
      <c r="W53" s="1711"/>
      <c r="X53" s="1711"/>
      <c r="Y53" s="1711"/>
      <c r="Z53" s="1711"/>
      <c r="AA53" s="1711"/>
      <c r="AB53" s="1711"/>
      <c r="AC53" s="1711"/>
      <c r="AD53" s="1711"/>
      <c r="AE53" s="1711"/>
      <c r="AF53" s="1711"/>
      <c r="AG53" s="1711"/>
      <c r="AH53" s="1711"/>
      <c r="AI53" s="1711"/>
      <c r="AJ53" s="1711"/>
      <c r="AK53" s="1711"/>
      <c r="AL53" s="3006"/>
      <c r="AN53" s="3"/>
    </row>
    <row r="54" spans="2:40">
      <c r="B54" s="1588"/>
      <c r="C54" s="3007"/>
      <c r="D54" s="1709"/>
      <c r="E54" s="1709"/>
      <c r="F54" s="1709"/>
      <c r="G54" s="1709"/>
      <c r="H54" s="1709"/>
      <c r="I54" s="1709"/>
      <c r="J54" s="1709"/>
      <c r="K54" s="1709"/>
      <c r="L54" s="1709"/>
      <c r="M54" s="1709"/>
      <c r="N54" s="1709"/>
      <c r="O54" s="1709"/>
      <c r="P54" s="1709"/>
      <c r="Q54" s="1709"/>
      <c r="R54" s="1709"/>
      <c r="S54" s="1709"/>
      <c r="T54" s="3008"/>
      <c r="U54" s="3007"/>
      <c r="V54" s="1709"/>
      <c r="W54" s="1709"/>
      <c r="X54" s="1709"/>
      <c r="Y54" s="1709"/>
      <c r="Z54" s="1709"/>
      <c r="AA54" s="1709"/>
      <c r="AB54" s="1709"/>
      <c r="AC54" s="1709"/>
      <c r="AD54" s="1709"/>
      <c r="AE54" s="1709"/>
      <c r="AF54" s="1709"/>
      <c r="AG54" s="1709"/>
      <c r="AH54" s="1709"/>
      <c r="AI54" s="1709"/>
      <c r="AJ54" s="1709"/>
      <c r="AK54" s="1709"/>
      <c r="AL54" s="3008"/>
      <c r="AN54" s="3"/>
    </row>
    <row r="55" spans="2:40">
      <c r="B55" s="1588"/>
      <c r="C55" s="3009"/>
      <c r="D55" s="3010"/>
      <c r="E55" s="3010"/>
      <c r="F55" s="3010"/>
      <c r="G55" s="3010"/>
      <c r="H55" s="3010"/>
      <c r="I55" s="3010"/>
      <c r="J55" s="3010"/>
      <c r="K55" s="3010"/>
      <c r="L55" s="3010"/>
      <c r="M55" s="3010"/>
      <c r="N55" s="3010"/>
      <c r="O55" s="3010"/>
      <c r="P55" s="3010"/>
      <c r="Q55" s="3010"/>
      <c r="R55" s="3010"/>
      <c r="S55" s="3010"/>
      <c r="T55" s="3011"/>
      <c r="U55" s="3009"/>
      <c r="V55" s="3010"/>
      <c r="W55" s="3010"/>
      <c r="X55" s="3010"/>
      <c r="Y55" s="3010"/>
      <c r="Z55" s="3010"/>
      <c r="AA55" s="3010"/>
      <c r="AB55" s="3010"/>
      <c r="AC55" s="3010"/>
      <c r="AD55" s="3010"/>
      <c r="AE55" s="3010"/>
      <c r="AF55" s="3010"/>
      <c r="AG55" s="3010"/>
      <c r="AH55" s="3010"/>
      <c r="AI55" s="3010"/>
      <c r="AJ55" s="3010"/>
      <c r="AK55" s="3010"/>
      <c r="AL55" s="3011"/>
      <c r="AN55" s="3"/>
    </row>
    <row r="56" spans="2:40">
      <c r="B56" s="1588"/>
      <c r="C56" s="3009"/>
      <c r="D56" s="3010"/>
      <c r="E56" s="3010"/>
      <c r="F56" s="3010"/>
      <c r="G56" s="3010"/>
      <c r="H56" s="3010"/>
      <c r="I56" s="3010"/>
      <c r="J56" s="3010"/>
      <c r="K56" s="3010"/>
      <c r="L56" s="3010"/>
      <c r="M56" s="3010"/>
      <c r="N56" s="3010"/>
      <c r="O56" s="3010"/>
      <c r="P56" s="3010"/>
      <c r="Q56" s="3010"/>
      <c r="R56" s="3010"/>
      <c r="S56" s="3010"/>
      <c r="T56" s="3011"/>
      <c r="U56" s="3009"/>
      <c r="V56" s="3010"/>
      <c r="W56" s="3010"/>
      <c r="X56" s="3010"/>
      <c r="Y56" s="3010"/>
      <c r="Z56" s="3010"/>
      <c r="AA56" s="3010"/>
      <c r="AB56" s="3010"/>
      <c r="AC56" s="3010"/>
      <c r="AD56" s="3010"/>
      <c r="AE56" s="3010"/>
      <c r="AF56" s="3010"/>
      <c r="AG56" s="3010"/>
      <c r="AH56" s="3010"/>
      <c r="AI56" s="3010"/>
      <c r="AJ56" s="3010"/>
      <c r="AK56" s="3010"/>
      <c r="AL56" s="3011"/>
      <c r="AN56" s="3"/>
    </row>
    <row r="57" spans="2:40">
      <c r="B57" s="1589"/>
      <c r="C57" s="3012"/>
      <c r="D57" s="1711"/>
      <c r="E57" s="1711"/>
      <c r="F57" s="1711"/>
      <c r="G57" s="1711"/>
      <c r="H57" s="1711"/>
      <c r="I57" s="1711"/>
      <c r="J57" s="1711"/>
      <c r="K57" s="1711"/>
      <c r="L57" s="1711"/>
      <c r="M57" s="1711"/>
      <c r="N57" s="1711"/>
      <c r="O57" s="1711"/>
      <c r="P57" s="1711"/>
      <c r="Q57" s="1711"/>
      <c r="R57" s="1711"/>
      <c r="S57" s="1711"/>
      <c r="T57" s="3006"/>
      <c r="U57" s="3012"/>
      <c r="V57" s="1711"/>
      <c r="W57" s="1711"/>
      <c r="X57" s="1711"/>
      <c r="Y57" s="1711"/>
      <c r="Z57" s="1711"/>
      <c r="AA57" s="1711"/>
      <c r="AB57" s="1711"/>
      <c r="AC57" s="1711"/>
      <c r="AD57" s="1711"/>
      <c r="AE57" s="1711"/>
      <c r="AF57" s="1711"/>
      <c r="AG57" s="1711"/>
      <c r="AH57" s="1711"/>
      <c r="AI57" s="1711"/>
      <c r="AJ57" s="1711"/>
      <c r="AK57" s="1711"/>
      <c r="AL57" s="3006"/>
      <c r="AN57" s="3"/>
    </row>
    <row r="58" spans="2:40" ht="14.25" customHeight="1">
      <c r="B58" s="1577" t="s">
        <v>23</v>
      </c>
      <c r="C58" s="1578"/>
      <c r="D58" s="1578"/>
      <c r="E58" s="1578"/>
      <c r="F58" s="1579"/>
      <c r="G58" s="1616" t="s">
        <v>24</v>
      </c>
      <c r="H58" s="1616"/>
      <c r="I58" s="1616"/>
      <c r="J58" s="1616"/>
      <c r="K58" s="1616"/>
      <c r="L58" s="1616"/>
      <c r="M58" s="1616"/>
      <c r="N58" s="1616"/>
      <c r="O58" s="1616"/>
      <c r="P58" s="1616"/>
      <c r="Q58" s="1616"/>
      <c r="R58" s="1616"/>
      <c r="S58" s="1616"/>
      <c r="T58" s="1616"/>
      <c r="U58" s="1616"/>
      <c r="V58" s="1616"/>
      <c r="W58" s="1616"/>
      <c r="X58" s="1616"/>
      <c r="Y58" s="1616"/>
      <c r="Z58" s="1616"/>
      <c r="AA58" s="1616"/>
      <c r="AB58" s="1616"/>
      <c r="AC58" s="1616"/>
      <c r="AD58" s="1616"/>
      <c r="AE58" s="1616"/>
      <c r="AF58" s="1616"/>
      <c r="AG58" s="1616"/>
      <c r="AH58" s="1616"/>
      <c r="AI58" s="1616"/>
      <c r="AJ58" s="1616"/>
      <c r="AK58" s="1616"/>
      <c r="AL58" s="1616"/>
      <c r="AN58" s="3"/>
    </row>
    <row r="60" spans="2:40">
      <c r="B60" s="14" t="s">
        <v>52</v>
      </c>
    </row>
    <row r="61" spans="2:40">
      <c r="B61" s="14" t="s">
        <v>97</v>
      </c>
    </row>
    <row r="62" spans="2:40">
      <c r="B62" s="14" t="s">
        <v>98</v>
      </c>
    </row>
    <row r="63" spans="2:40">
      <c r="B63" s="14" t="s">
        <v>101</v>
      </c>
    </row>
    <row r="64" spans="2:40">
      <c r="B64" s="14" t="s">
        <v>58</v>
      </c>
    </row>
    <row r="65" spans="2:41">
      <c r="B65" s="14" t="s">
        <v>88</v>
      </c>
    </row>
    <row r="66" spans="2:41">
      <c r="B66" s="14" t="s">
        <v>59</v>
      </c>
      <c r="AN66" s="3"/>
      <c r="AO66" s="14"/>
    </row>
    <row r="67" spans="2:41">
      <c r="B67" s="14" t="s">
        <v>54</v>
      </c>
    </row>
    <row r="68" spans="2:41">
      <c r="B68" s="14" t="s">
        <v>61</v>
      </c>
    </row>
    <row r="69" spans="2:41">
      <c r="B69" s="14" t="s">
        <v>99</v>
      </c>
    </row>
    <row r="70" spans="2:41">
      <c r="B70" s="14" t="s">
        <v>96</v>
      </c>
    </row>
    <row r="84" spans="2:2" ht="12.75" customHeight="1">
      <c r="B84" s="46"/>
    </row>
    <row r="85" spans="2:2" ht="12.75" customHeight="1">
      <c r="B85" s="46" t="s">
        <v>35</v>
      </c>
    </row>
    <row r="86" spans="2:2" ht="12.75" customHeight="1">
      <c r="B86" s="46" t="s">
        <v>25</v>
      </c>
    </row>
    <row r="87" spans="2:2" ht="12.75" customHeight="1">
      <c r="B87" s="46" t="s">
        <v>26</v>
      </c>
    </row>
    <row r="88" spans="2:2" ht="12.75" customHeight="1">
      <c r="B88" s="46" t="s">
        <v>36</v>
      </c>
    </row>
    <row r="89" spans="2:2" ht="12.75" customHeight="1">
      <c r="B89" s="46" t="s">
        <v>27</v>
      </c>
    </row>
    <row r="90" spans="2:2" ht="12.75" customHeight="1">
      <c r="B90" s="46" t="s">
        <v>37</v>
      </c>
    </row>
    <row r="91" spans="2:2" ht="12.75" customHeight="1">
      <c r="B91" s="46" t="s">
        <v>38</v>
      </c>
    </row>
    <row r="92" spans="2:2" ht="12.75" customHeight="1">
      <c r="B92" s="46" t="s">
        <v>39</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C19:K21"/>
    <mergeCell ref="L19:AL19"/>
    <mergeCell ref="L20:AL20"/>
    <mergeCell ref="L21:AL21"/>
    <mergeCell ref="B22:B33"/>
    <mergeCell ref="C22:K24"/>
    <mergeCell ref="L22:AL22"/>
    <mergeCell ref="L23:AL23"/>
    <mergeCell ref="L24:AL24"/>
    <mergeCell ref="C25:K25"/>
    <mergeCell ref="L25:P25"/>
    <mergeCell ref="Z25:AD25"/>
    <mergeCell ref="AJ25:AL25"/>
    <mergeCell ref="C26:K28"/>
    <mergeCell ref="L26:AL26"/>
    <mergeCell ref="L27:AL27"/>
    <mergeCell ref="L28:AL28"/>
    <mergeCell ref="C29:K29"/>
    <mergeCell ref="L29:P29"/>
    <mergeCell ref="Z29:AD29"/>
    <mergeCell ref="AJ29:AL29"/>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3"/>
  <pageMargins left="0.39370078740157483" right="0" top="0.59055118110236227" bottom="0" header="0.51181102362204722" footer="0.51181102362204722"/>
  <pageSetup paperSize="9" scale="8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EE14E-53A5-496F-938E-8F7E674C6F64}">
  <sheetPr>
    <tabColor rgb="FFFFFF00"/>
    <pageSetUpPr fitToPage="1"/>
  </sheetPr>
  <dimension ref="A2:AK517"/>
  <sheetViews>
    <sheetView view="pageBreakPreview" zoomScale="70" zoomScaleNormal="75" zoomScaleSheetLayoutView="70" workbookViewId="0">
      <selection activeCell="AG1" sqref="AG1:AK1048576"/>
    </sheetView>
  </sheetViews>
  <sheetFormatPr defaultColWidth="9" defaultRowHeight="13.2"/>
  <cols>
    <col min="1" max="2" width="4.21875" style="1406" customWidth="1"/>
    <col min="3" max="3" width="25" style="1412" customWidth="1"/>
    <col min="4" max="4" width="4.88671875" style="1412" customWidth="1"/>
    <col min="5" max="5" width="41.6640625" style="1412" customWidth="1"/>
    <col min="6" max="6" width="4.88671875" style="1412" customWidth="1"/>
    <col min="7" max="7" width="19.6640625" style="1412" customWidth="1"/>
    <col min="8" max="8" width="33.88671875" style="1412" customWidth="1"/>
    <col min="9" max="24" width="5.21875" style="1412" customWidth="1"/>
    <col min="25" max="32" width="4.88671875" style="1412" customWidth="1"/>
    <col min="33" max="33" width="13.33203125" style="1412" hidden="1" customWidth="1"/>
    <col min="34" max="37" width="0" style="1412" hidden="1" customWidth="1"/>
    <col min="38" max="16384" width="9" style="1412"/>
  </cols>
  <sheetData>
    <row r="2" spans="1:37" ht="20.25" customHeight="1">
      <c r="A2" s="3292" t="s">
        <v>2516</v>
      </c>
      <c r="B2" s="3292"/>
    </row>
    <row r="3" spans="1:37" ht="20.25" customHeight="1">
      <c r="A3" s="1571" t="s">
        <v>2515</v>
      </c>
      <c r="B3" s="1571"/>
      <c r="C3" s="1571"/>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row>
    <row r="4" spans="1:37" ht="20.25" customHeight="1"/>
    <row r="5" spans="1:37" ht="30" customHeight="1">
      <c r="S5" s="1572" t="s">
        <v>1211</v>
      </c>
      <c r="T5" s="1573"/>
      <c r="U5" s="1573"/>
      <c r="V5" s="1574"/>
      <c r="W5" s="3291"/>
      <c r="X5" s="3228"/>
      <c r="Y5" s="3228"/>
      <c r="Z5" s="3228"/>
      <c r="AA5" s="3228"/>
      <c r="AB5" s="3228"/>
      <c r="AC5" s="3228"/>
      <c r="AD5" s="3228"/>
      <c r="AE5" s="3228"/>
      <c r="AF5" s="3227"/>
      <c r="AG5" s="3056" t="str">
        <f>"kaigo_num='" &amp;W5&amp;X5&amp;Y5&amp;Z5&amp;AA5&amp;AB5&amp;AC5&amp;AD5&amp;AE5&amp;AF5&amp; "'"</f>
        <v>kaigo_num=''</v>
      </c>
    </row>
    <row r="6" spans="1:37" ht="20.25" customHeight="1">
      <c r="AG6" s="3056"/>
    </row>
    <row r="7" spans="1:37" ht="17.25" customHeight="1">
      <c r="A7" s="1572" t="s">
        <v>2281</v>
      </c>
      <c r="B7" s="1573"/>
      <c r="C7" s="1574"/>
      <c r="D7" s="1572" t="s">
        <v>1</v>
      </c>
      <c r="E7" s="1574"/>
      <c r="F7" s="1572" t="s">
        <v>1213</v>
      </c>
      <c r="G7" s="1574"/>
      <c r="H7" s="1572" t="s">
        <v>2514</v>
      </c>
      <c r="I7" s="1573"/>
      <c r="J7" s="1573"/>
      <c r="K7" s="1573"/>
      <c r="L7" s="1573"/>
      <c r="M7" s="1573"/>
      <c r="N7" s="1573"/>
      <c r="O7" s="1573"/>
      <c r="P7" s="1573"/>
      <c r="Q7" s="1573"/>
      <c r="R7" s="1573"/>
      <c r="S7" s="1573"/>
      <c r="T7" s="1573"/>
      <c r="U7" s="1573"/>
      <c r="V7" s="1573"/>
      <c r="W7" s="1573"/>
      <c r="X7" s="1574"/>
      <c r="Y7" s="1572" t="s">
        <v>1006</v>
      </c>
      <c r="Z7" s="1573"/>
      <c r="AA7" s="1573"/>
      <c r="AB7" s="1574"/>
      <c r="AC7" s="1572" t="s">
        <v>1215</v>
      </c>
      <c r="AD7" s="1573"/>
      <c r="AE7" s="1573"/>
      <c r="AF7" s="1574"/>
      <c r="AG7" s="3056"/>
    </row>
    <row r="8" spans="1:37" ht="18.75" customHeight="1">
      <c r="A8" s="1565" t="s">
        <v>1216</v>
      </c>
      <c r="B8" s="1566"/>
      <c r="C8" s="1567"/>
      <c r="D8" s="1404"/>
      <c r="E8" s="1336"/>
      <c r="F8" s="1335"/>
      <c r="G8" s="1336"/>
      <c r="H8" s="1545" t="s">
        <v>1217</v>
      </c>
      <c r="I8" s="3138" t="s">
        <v>121</v>
      </c>
      <c r="J8" s="1270" t="s">
        <v>1218</v>
      </c>
      <c r="K8" s="1271"/>
      <c r="L8" s="1271"/>
      <c r="M8" s="3138" t="s">
        <v>121</v>
      </c>
      <c r="N8" s="1270" t="s">
        <v>1219</v>
      </c>
      <c r="O8" s="1271"/>
      <c r="P8" s="1271"/>
      <c r="Q8" s="3138" t="s">
        <v>121</v>
      </c>
      <c r="R8" s="1270" t="s">
        <v>1220</v>
      </c>
      <c r="S8" s="1271"/>
      <c r="T8" s="1271"/>
      <c r="U8" s="3138" t="s">
        <v>121</v>
      </c>
      <c r="V8" s="1270" t="s">
        <v>1221</v>
      </c>
      <c r="W8" s="1271"/>
      <c r="X8" s="1272"/>
      <c r="Y8" s="1530"/>
      <c r="Z8" s="1531"/>
      <c r="AA8" s="1531"/>
      <c r="AB8" s="1532"/>
      <c r="AC8" s="1530"/>
      <c r="AD8" s="1531"/>
      <c r="AE8" s="1531"/>
      <c r="AF8" s="1532"/>
      <c r="AG8" s="3056" t="str">
        <f>"tiikikbn_code:"&amp; IF(I8="■",1,IF(M8="■",6,IF(Q8="■",7,IF(U8="■",2,IF(I9="■",3,IF(M9="■",4,IF(Q9="■",9,IF(U9="■",5,0))))))))</f>
        <v>tiikikbn_code:0</v>
      </c>
    </row>
    <row r="9" spans="1:37" ht="18.75" customHeight="1">
      <c r="A9" s="3127"/>
      <c r="B9" s="3126"/>
      <c r="C9" s="3125"/>
      <c r="D9" s="3124"/>
      <c r="E9" s="1349"/>
      <c r="F9" s="1348"/>
      <c r="G9" s="1349"/>
      <c r="H9" s="3123"/>
      <c r="I9" s="3078" t="s">
        <v>121</v>
      </c>
      <c r="J9" s="3075" t="s">
        <v>1222</v>
      </c>
      <c r="K9" s="3121"/>
      <c r="L9" s="3121"/>
      <c r="M9" s="3077" t="s">
        <v>121</v>
      </c>
      <c r="N9" s="3075" t="s">
        <v>1223</v>
      </c>
      <c r="O9" s="3121"/>
      <c r="P9" s="3121"/>
      <c r="Q9" s="3077" t="s">
        <v>121</v>
      </c>
      <c r="R9" s="3075" t="s">
        <v>1224</v>
      </c>
      <c r="S9" s="3121"/>
      <c r="T9" s="3121"/>
      <c r="U9" s="3077" t="s">
        <v>121</v>
      </c>
      <c r="V9" s="3075" t="s">
        <v>1225</v>
      </c>
      <c r="W9" s="3121"/>
      <c r="X9" s="1317"/>
      <c r="Y9" s="1536"/>
      <c r="Z9" s="1537"/>
      <c r="AA9" s="1537"/>
      <c r="AB9" s="1538"/>
      <c r="AC9" s="1536"/>
      <c r="AD9" s="1537"/>
      <c r="AE9" s="1537"/>
      <c r="AF9" s="1538"/>
      <c r="AG9" s="3056"/>
    </row>
    <row r="10" spans="1:37" ht="19.5" hidden="1" customHeight="1">
      <c r="A10" s="735"/>
      <c r="B10" s="1407"/>
      <c r="C10" s="1303"/>
      <c r="D10" s="1335"/>
      <c r="E10" s="1275"/>
      <c r="F10" s="1289"/>
      <c r="G10" s="1305"/>
      <c r="H10" s="1372" t="s">
        <v>1244</v>
      </c>
      <c r="I10" s="3063" t="s">
        <v>121</v>
      </c>
      <c r="J10" s="1296" t="s">
        <v>1242</v>
      </c>
      <c r="K10" s="1309"/>
      <c r="L10" s="1355"/>
      <c r="M10" s="3062" t="s">
        <v>121</v>
      </c>
      <c r="N10" s="1296" t="s">
        <v>1245</v>
      </c>
      <c r="O10" s="1296"/>
      <c r="P10" s="1296"/>
      <c r="Q10" s="1330"/>
      <c r="R10" s="1330"/>
      <c r="S10" s="1330"/>
      <c r="T10" s="1330"/>
      <c r="U10" s="1330"/>
      <c r="V10" s="1330"/>
      <c r="W10" s="1330"/>
      <c r="X10" s="1356"/>
      <c r="Y10" s="3122" t="s">
        <v>121</v>
      </c>
      <c r="Z10" s="1273" t="s">
        <v>1229</v>
      </c>
      <c r="AA10" s="1273"/>
      <c r="AB10" s="1293"/>
      <c r="AC10" s="3122" t="s">
        <v>121</v>
      </c>
      <c r="AD10" s="1273" t="s">
        <v>1229</v>
      </c>
      <c r="AE10" s="1273"/>
      <c r="AF10" s="1293"/>
      <c r="AG10" s="3056" t="str">
        <f>"ser_code = '" &amp; IF(A15="■",62,"") &amp; "'"</f>
        <v>ser_code = ''</v>
      </c>
      <c r="AI10" s="3056" t="str">
        <f>"62:field223:" &amp; IF(I10="■",1,IF(M10="■",2,0))</f>
        <v>62:field223:0</v>
      </c>
      <c r="AJ10" s="3056" t="str">
        <f>"62:field203:" &amp; IF(Y10="■",1,IF(Y11="■",2,0))</f>
        <v>62:field203:0</v>
      </c>
      <c r="AK10" s="3056" t="str">
        <f>"62:waribiki_code:" &amp; IF(AC10="■",1,IF(AC11="■",2,0))</f>
        <v>62:waribiki_code:0</v>
      </c>
    </row>
    <row r="11" spans="1:37" s="3056" customFormat="1" ht="19.5" hidden="1" customHeight="1">
      <c r="A11" s="735"/>
      <c r="B11" s="1407"/>
      <c r="C11" s="1303"/>
      <c r="D11" s="1304"/>
      <c r="E11" s="1275"/>
      <c r="F11" s="1289"/>
      <c r="G11" s="1305"/>
      <c r="H11" s="3097" t="s">
        <v>1246</v>
      </c>
      <c r="I11" s="3096" t="s">
        <v>121</v>
      </c>
      <c r="J11" s="3091" t="s">
        <v>1242</v>
      </c>
      <c r="K11" s="3095"/>
      <c r="L11" s="3094"/>
      <c r="M11" s="3093" t="s">
        <v>121</v>
      </c>
      <c r="N11" s="3091" t="s">
        <v>1245</v>
      </c>
      <c r="O11" s="3224"/>
      <c r="P11" s="3223"/>
      <c r="Q11" s="3222"/>
      <c r="R11" s="3222"/>
      <c r="S11" s="3222"/>
      <c r="T11" s="3222"/>
      <c r="U11" s="3222"/>
      <c r="V11" s="3222"/>
      <c r="W11" s="3222"/>
      <c r="X11" s="3221"/>
      <c r="Y11" s="3122" t="s">
        <v>121</v>
      </c>
      <c r="Z11" s="1273" t="s">
        <v>1234</v>
      </c>
      <c r="AA11" s="1292"/>
      <c r="AB11" s="1293"/>
      <c r="AC11" s="3122" t="s">
        <v>121</v>
      </c>
      <c r="AD11" s="1273" t="s">
        <v>1234</v>
      </c>
      <c r="AE11" s="1292"/>
      <c r="AF11" s="627"/>
      <c r="AI11" s="3056" t="str">
        <f>"62:field232:" &amp; IF(I11="■",1,IF(M11="■",2,0))</f>
        <v>62:field232:0</v>
      </c>
    </row>
    <row r="12" spans="1:37" ht="18.75" hidden="1" customHeight="1">
      <c r="A12" s="735"/>
      <c r="B12" s="1407"/>
      <c r="C12" s="1303"/>
      <c r="D12" s="1304"/>
      <c r="E12" s="1275"/>
      <c r="F12" s="1289"/>
      <c r="G12" s="1305"/>
      <c r="H12" s="1401" t="s">
        <v>1341</v>
      </c>
      <c r="I12" s="3122" t="s">
        <v>121</v>
      </c>
      <c r="J12" s="1296" t="s">
        <v>1230</v>
      </c>
      <c r="K12" s="1309"/>
      <c r="L12" s="3122" t="s">
        <v>121</v>
      </c>
      <c r="M12" s="1296" t="s">
        <v>1248</v>
      </c>
      <c r="N12" s="1296"/>
      <c r="O12" s="1296"/>
      <c r="P12" s="1296"/>
      <c r="Q12" s="1296"/>
      <c r="R12" s="1296"/>
      <c r="S12" s="1296"/>
      <c r="T12" s="1296"/>
      <c r="U12" s="1296"/>
      <c r="V12" s="1296"/>
      <c r="W12" s="1296"/>
      <c r="X12" s="1332"/>
      <c r="Z12" s="1273"/>
      <c r="AA12" s="1292"/>
      <c r="AB12" s="1293"/>
      <c r="AD12" s="1273"/>
      <c r="AE12" s="1292"/>
      <c r="AF12" s="1293"/>
      <c r="AG12" s="3056"/>
      <c r="AI12" s="3056" t="str">
        <f>"62:tokutiiki_code:" &amp; IF(I12="■",1,IF(L12="■",2,0))</f>
        <v>62:tokutiiki_code:0</v>
      </c>
    </row>
    <row r="13" spans="1:37" ht="18.75" hidden="1" customHeight="1">
      <c r="A13" s="735"/>
      <c r="B13" s="1407"/>
      <c r="C13" s="1303"/>
      <c r="D13" s="1304"/>
      <c r="E13" s="1275"/>
      <c r="F13" s="1289"/>
      <c r="G13" s="1305"/>
      <c r="H13" s="1539" t="s">
        <v>1342</v>
      </c>
      <c r="I13" s="3086" t="s">
        <v>121</v>
      </c>
      <c r="J13" s="1528" t="s">
        <v>1343</v>
      </c>
      <c r="K13" s="1528"/>
      <c r="L13" s="1528"/>
      <c r="M13" s="3086" t="s">
        <v>121</v>
      </c>
      <c r="N13" s="1528" t="s">
        <v>1344</v>
      </c>
      <c r="O13" s="1528"/>
      <c r="P13" s="1528"/>
      <c r="Q13" s="1328"/>
      <c r="R13" s="1328"/>
      <c r="S13" s="1328"/>
      <c r="T13" s="1328"/>
      <c r="U13" s="1328"/>
      <c r="V13" s="1328"/>
      <c r="W13" s="1328"/>
      <c r="X13" s="1368"/>
      <c r="AB13" s="1293"/>
      <c r="AF13" s="1293"/>
      <c r="AG13" s="1352"/>
      <c r="AI13" s="3056" t="str">
        <f>"62:chuusankanti_tiiki_code:" &amp; IF(I13="■",1,IF(M13="■",2,0))</f>
        <v>62:chuusankanti_tiiki_code:0</v>
      </c>
    </row>
    <row r="14" spans="1:37" ht="18.75" hidden="1" customHeight="1">
      <c r="A14" s="735"/>
      <c r="B14" s="1407"/>
      <c r="C14" s="1303"/>
      <c r="D14" s="1304"/>
      <c r="E14" s="1275"/>
      <c r="F14" s="1289"/>
      <c r="G14" s="1305"/>
      <c r="H14" s="1540"/>
      <c r="I14" s="3070"/>
      <c r="J14" s="1529"/>
      <c r="K14" s="1529"/>
      <c r="L14" s="1529"/>
      <c r="M14" s="3070"/>
      <c r="N14" s="1529"/>
      <c r="O14" s="1529"/>
      <c r="P14" s="1529"/>
      <c r="Q14" s="1330"/>
      <c r="R14" s="1330"/>
      <c r="S14" s="1330"/>
      <c r="T14" s="1330"/>
      <c r="U14" s="1330"/>
      <c r="V14" s="1330"/>
      <c r="W14" s="1330"/>
      <c r="X14" s="1356"/>
      <c r="Y14" s="1295"/>
      <c r="Z14" s="1292"/>
      <c r="AA14" s="1292"/>
      <c r="AB14" s="1293"/>
      <c r="AC14" s="1295"/>
      <c r="AD14" s="1292"/>
      <c r="AE14" s="1292"/>
      <c r="AF14" s="1293"/>
      <c r="AG14" s="1352"/>
      <c r="AI14" s="3056"/>
    </row>
    <row r="15" spans="1:37" ht="18.75" hidden="1" customHeight="1">
      <c r="A15" s="3069" t="s">
        <v>121</v>
      </c>
      <c r="B15" s="1407">
        <v>62</v>
      </c>
      <c r="C15" s="1303" t="s">
        <v>72</v>
      </c>
      <c r="D15" s="1304"/>
      <c r="E15" s="1275"/>
      <c r="F15" s="1289"/>
      <c r="G15" s="1305"/>
      <c r="H15" s="1539" t="s">
        <v>1345</v>
      </c>
      <c r="I15" s="3086" t="s">
        <v>121</v>
      </c>
      <c r="J15" s="1528" t="s">
        <v>1343</v>
      </c>
      <c r="K15" s="1528"/>
      <c r="L15" s="1528"/>
      <c r="M15" s="3086" t="s">
        <v>121</v>
      </c>
      <c r="N15" s="1528" t="s">
        <v>1344</v>
      </c>
      <c r="O15" s="1528"/>
      <c r="P15" s="1528"/>
      <c r="Q15" s="1328"/>
      <c r="R15" s="1328"/>
      <c r="S15" s="1328"/>
      <c r="T15" s="1328"/>
      <c r="U15" s="1328"/>
      <c r="V15" s="1328"/>
      <c r="W15" s="1328"/>
      <c r="X15" s="1368"/>
      <c r="Y15" s="1295"/>
      <c r="Z15" s="1292"/>
      <c r="AA15" s="1292"/>
      <c r="AB15" s="1293"/>
      <c r="AC15" s="1295"/>
      <c r="AD15" s="1292"/>
      <c r="AE15" s="1292"/>
      <c r="AF15" s="1293"/>
      <c r="AI15" s="3056" t="str">
        <f>"62:chuusankanti_kibo_code:" &amp; IF(I15="■",1,IF(M15="■",2,0))</f>
        <v>62:chuusankanti_kibo_code:0</v>
      </c>
    </row>
    <row r="16" spans="1:37" ht="18.75" hidden="1" customHeight="1">
      <c r="A16" s="735"/>
      <c r="B16" s="1407"/>
      <c r="C16" s="1303"/>
      <c r="D16" s="1304"/>
      <c r="E16" s="1275"/>
      <c r="F16" s="1289"/>
      <c r="G16" s="1305"/>
      <c r="H16" s="1540"/>
      <c r="I16" s="3070"/>
      <c r="J16" s="1529"/>
      <c r="K16" s="1529"/>
      <c r="L16" s="1529"/>
      <c r="M16" s="3070"/>
      <c r="N16" s="1529"/>
      <c r="O16" s="1529"/>
      <c r="P16" s="1529"/>
      <c r="Q16" s="1330"/>
      <c r="R16" s="1330"/>
      <c r="S16" s="1330"/>
      <c r="T16" s="1330"/>
      <c r="U16" s="1330"/>
      <c r="V16" s="1330"/>
      <c r="W16" s="1330"/>
      <c r="X16" s="1356"/>
      <c r="Y16" s="1295"/>
      <c r="Z16" s="1292"/>
      <c r="AA16" s="1292"/>
      <c r="AB16" s="1293"/>
      <c r="AC16" s="1295"/>
      <c r="AD16" s="1292"/>
      <c r="AE16" s="1292"/>
      <c r="AF16" s="1293"/>
    </row>
    <row r="17" spans="1:36" ht="18.75" hidden="1" customHeight="1">
      <c r="A17" s="735"/>
      <c r="B17" s="1407"/>
      <c r="C17" s="1303"/>
      <c r="D17" s="1304"/>
      <c r="E17" s="1275"/>
      <c r="F17" s="1289"/>
      <c r="G17" s="1305"/>
      <c r="H17" s="3112" t="s">
        <v>1260</v>
      </c>
      <c r="I17" s="3290" t="s">
        <v>121</v>
      </c>
      <c r="J17" s="1298" t="s">
        <v>1230</v>
      </c>
      <c r="K17" s="1298"/>
      <c r="L17" s="3065" t="s">
        <v>121</v>
      </c>
      <c r="M17" s="1298" t="s">
        <v>1256</v>
      </c>
      <c r="N17" s="1298"/>
      <c r="O17" s="3065" t="s">
        <v>121</v>
      </c>
      <c r="P17" s="1298" t="s">
        <v>1257</v>
      </c>
      <c r="Q17" s="1307"/>
      <c r="R17" s="1299"/>
      <c r="S17" s="1299"/>
      <c r="T17" s="1299"/>
      <c r="U17" s="1299"/>
      <c r="V17" s="1299"/>
      <c r="W17" s="1299"/>
      <c r="X17" s="1302"/>
      <c r="Y17" s="1295"/>
      <c r="Z17" s="1292"/>
      <c r="AA17" s="1292"/>
      <c r="AB17" s="1293"/>
      <c r="AC17" s="1295"/>
      <c r="AD17" s="1292"/>
      <c r="AE17" s="1292"/>
      <c r="AF17" s="1293"/>
      <c r="AI17" s="3056" t="str">
        <f>"62:ninti_senmoncare_code:" &amp; IF(I17="■",1,IF(O17="■",3,IF(L17="■",2,0)))</f>
        <v>62:ninti_senmoncare_code:0</v>
      </c>
    </row>
    <row r="18" spans="1:36" ht="18.75" hidden="1" customHeight="1">
      <c r="A18" s="735"/>
      <c r="B18" s="1407"/>
      <c r="C18" s="1303"/>
      <c r="D18" s="1304"/>
      <c r="E18" s="1275"/>
      <c r="F18" s="1289"/>
      <c r="G18" s="1305"/>
      <c r="H18" s="1409" t="s">
        <v>1266</v>
      </c>
      <c r="I18" s="3066" t="s">
        <v>121</v>
      </c>
      <c r="J18" s="1298" t="s">
        <v>1230</v>
      </c>
      <c r="K18" s="1296"/>
      <c r="L18" s="3065" t="s">
        <v>121</v>
      </c>
      <c r="M18" s="1298" t="s">
        <v>2477</v>
      </c>
      <c r="N18" s="1298"/>
      <c r="O18" s="3065" t="s">
        <v>121</v>
      </c>
      <c r="P18" s="1298" t="s">
        <v>1257</v>
      </c>
      <c r="Q18" s="1298"/>
      <c r="R18" s="3065" t="s">
        <v>121</v>
      </c>
      <c r="S18" s="1296" t="s">
        <v>2476</v>
      </c>
      <c r="T18" s="1296"/>
      <c r="U18" s="1298"/>
      <c r="V18" s="1298"/>
      <c r="W18" s="1298"/>
      <c r="X18" s="1310"/>
      <c r="Y18" s="1295"/>
      <c r="Z18" s="1292"/>
      <c r="AA18" s="1292"/>
      <c r="AB18" s="1293"/>
      <c r="AC18" s="1295"/>
      <c r="AD18" s="1292"/>
      <c r="AE18" s="1292"/>
      <c r="AF18" s="1293"/>
      <c r="AI18" s="3056" t="str">
        <f>"62:serteikyo_kyoka_code:" &amp; IF(I18="■",1,IF(L18="■",4,IF(O18="■",3,IF(R18="■",5,0))))</f>
        <v>62:serteikyo_kyoka_code:0</v>
      </c>
    </row>
    <row r="19" spans="1:36" ht="18.75" hidden="1" customHeight="1">
      <c r="A19" s="736"/>
      <c r="B19" s="1407"/>
      <c r="C19" s="1346"/>
      <c r="D19" s="1348"/>
      <c r="E19" s="1317"/>
      <c r="F19" s="1318"/>
      <c r="G19" s="1361"/>
      <c r="H19" s="3134" t="s">
        <v>2288</v>
      </c>
      <c r="I19" s="3060" t="s">
        <v>121</v>
      </c>
      <c r="J19" s="3130" t="s">
        <v>1230</v>
      </c>
      <c r="K19" s="3130"/>
      <c r="L19" s="3059" t="s">
        <v>121</v>
      </c>
      <c r="M19" s="3130" t="s">
        <v>2287</v>
      </c>
      <c r="N19" s="3133"/>
      <c r="O19" s="3059" t="s">
        <v>121</v>
      </c>
      <c r="P19" s="3132" t="s">
        <v>2286</v>
      </c>
      <c r="Q19" s="3131"/>
      <c r="R19" s="3059" t="s">
        <v>121</v>
      </c>
      <c r="S19" s="3130" t="s">
        <v>2285</v>
      </c>
      <c r="T19" s="3131"/>
      <c r="U19" s="3059" t="s">
        <v>121</v>
      </c>
      <c r="V19" s="3130" t="s">
        <v>2284</v>
      </c>
      <c r="W19" s="3129"/>
      <c r="X19" s="3128"/>
      <c r="Y19" s="1323"/>
      <c r="Z19" s="1323"/>
      <c r="AA19" s="1323"/>
      <c r="AB19" s="1324"/>
      <c r="AC19" s="1322"/>
      <c r="AD19" s="1323"/>
      <c r="AE19" s="1323"/>
      <c r="AF19" s="1324"/>
      <c r="AG19" s="3056"/>
      <c r="AH19" s="3056"/>
      <c r="AI19" s="3056" t="str">
        <f>"62:shoguukaizen_code:"&amp;IF(I19="■",1,IF(L19="■",7,IF(O19="■",8,IF(R19="■",9,IF(U19="■","A",0)))))</f>
        <v>62:shoguukaizen_code:0</v>
      </c>
    </row>
    <row r="20" spans="1:36" ht="19.5" hidden="1" customHeight="1">
      <c r="A20" s="735"/>
      <c r="B20" s="1405"/>
      <c r="C20" s="1303"/>
      <c r="D20" s="1304"/>
      <c r="E20" s="1275"/>
      <c r="F20" s="1289"/>
      <c r="G20" s="1305"/>
      <c r="H20" s="3273" t="s">
        <v>1244</v>
      </c>
      <c r="I20" s="3063" t="s">
        <v>121</v>
      </c>
      <c r="J20" s="1296" t="s">
        <v>1242</v>
      </c>
      <c r="K20" s="1309"/>
      <c r="L20" s="1355"/>
      <c r="M20" s="3062" t="s">
        <v>121</v>
      </c>
      <c r="N20" s="1296" t="s">
        <v>1245</v>
      </c>
      <c r="O20" s="1296"/>
      <c r="P20" s="1296"/>
      <c r="Q20" s="1330"/>
      <c r="R20" s="1330"/>
      <c r="S20" s="1330"/>
      <c r="T20" s="1330"/>
      <c r="U20" s="1330"/>
      <c r="V20" s="1330"/>
      <c r="W20" s="1330"/>
      <c r="X20" s="1356"/>
      <c r="Y20" s="3122" t="s">
        <v>121</v>
      </c>
      <c r="Z20" s="1273" t="s">
        <v>1229</v>
      </c>
      <c r="AA20" s="1273"/>
      <c r="AB20" s="1293"/>
      <c r="AC20" s="1533"/>
      <c r="AD20" s="1534"/>
      <c r="AE20" s="1534"/>
      <c r="AF20" s="1535"/>
      <c r="AG20" s="3056" t="str">
        <f>"ser_code = '" &amp; IF(A26="■",63,"") &amp; "'"</f>
        <v>ser_code = ''</v>
      </c>
      <c r="AI20" s="3056" t="str">
        <f>"63:field223:" &amp; IF(I20="■",1,IF(M20="■",2,0))</f>
        <v>63:field223:0</v>
      </c>
      <c r="AJ20" s="3056" t="str">
        <f>"63:field203:" &amp; IF(Y20="■",1,IF(Y21="■",2,0))</f>
        <v>63:field203:0</v>
      </c>
    </row>
    <row r="21" spans="1:36" s="3056" customFormat="1" ht="19.5" hidden="1" customHeight="1">
      <c r="A21" s="735"/>
      <c r="B21" s="1407"/>
      <c r="C21" s="1303"/>
      <c r="D21" s="1304"/>
      <c r="E21" s="1275"/>
      <c r="F21" s="1289"/>
      <c r="G21" s="1305"/>
      <c r="H21" s="3097" t="s">
        <v>1246</v>
      </c>
      <c r="I21" s="3096" t="s">
        <v>121</v>
      </c>
      <c r="J21" s="3091" t="s">
        <v>1242</v>
      </c>
      <c r="K21" s="3095"/>
      <c r="L21" s="3094"/>
      <c r="M21" s="3093" t="s">
        <v>121</v>
      </c>
      <c r="N21" s="3091" t="s">
        <v>1245</v>
      </c>
      <c r="O21" s="3224"/>
      <c r="P21" s="3223"/>
      <c r="Q21" s="3222"/>
      <c r="R21" s="3222"/>
      <c r="S21" s="3222"/>
      <c r="T21" s="3222"/>
      <c r="U21" s="3222"/>
      <c r="V21" s="3222"/>
      <c r="W21" s="3222"/>
      <c r="X21" s="3221"/>
      <c r="Y21" s="3122" t="s">
        <v>121</v>
      </c>
      <c r="Z21" s="1273" t="s">
        <v>1234</v>
      </c>
      <c r="AA21" s="1292"/>
      <c r="AB21" s="1293"/>
      <c r="AC21" s="1533"/>
      <c r="AD21" s="1534"/>
      <c r="AE21" s="1534"/>
      <c r="AF21" s="1535"/>
      <c r="AG21" s="3056" t="str">
        <f>"63:sisetukbn_code:" &amp; IF(D26="■",1,IF(D27="■",2,0))</f>
        <v>63:sisetukbn_code:0</v>
      </c>
      <c r="AI21" s="3056" t="str">
        <f>"63:field232:" &amp; IF(I21="■",1,IF(M21="■",2,0))</f>
        <v>63:field232:0</v>
      </c>
    </row>
    <row r="22" spans="1:36" ht="18.75" hidden="1" customHeight="1">
      <c r="A22" s="735"/>
      <c r="B22" s="1407"/>
      <c r="C22" s="1303"/>
      <c r="D22" s="1304"/>
      <c r="E22" s="1275"/>
      <c r="F22" s="1289"/>
      <c r="G22" s="1305"/>
      <c r="H22" s="1401" t="s">
        <v>1341</v>
      </c>
      <c r="I22" s="3122" t="s">
        <v>121</v>
      </c>
      <c r="J22" s="1296" t="s">
        <v>1230</v>
      </c>
      <c r="K22" s="1309"/>
      <c r="L22" s="3122" t="s">
        <v>121</v>
      </c>
      <c r="M22" s="1296" t="s">
        <v>1248</v>
      </c>
      <c r="N22" s="1296"/>
      <c r="O22" s="1296"/>
      <c r="P22" s="1296"/>
      <c r="Q22" s="1330"/>
      <c r="R22" s="1330"/>
      <c r="S22" s="1330"/>
      <c r="T22" s="1330"/>
      <c r="U22" s="1330"/>
      <c r="V22" s="1330"/>
      <c r="W22" s="1330"/>
      <c r="X22" s="1356"/>
      <c r="Z22" s="1273"/>
      <c r="AA22" s="1292"/>
      <c r="AB22" s="1293"/>
      <c r="AC22" s="1533"/>
      <c r="AD22" s="1534"/>
      <c r="AE22" s="1534"/>
      <c r="AF22" s="1535"/>
      <c r="AG22" s="3056"/>
      <c r="AI22" s="3056" t="str">
        <f>"63:tokutiiki_code:" &amp; IF(I22="■",1,IF(L22="■",2,0))</f>
        <v>63:tokutiiki_code:0</v>
      </c>
    </row>
    <row r="23" spans="1:36" ht="18.75" hidden="1" customHeight="1">
      <c r="A23" s="735"/>
      <c r="B23" s="1407"/>
      <c r="C23" s="1303"/>
      <c r="D23" s="1304"/>
      <c r="E23" s="1275"/>
      <c r="F23" s="1289"/>
      <c r="G23" s="1305"/>
      <c r="H23" s="1539" t="s">
        <v>1342</v>
      </c>
      <c r="I23" s="3086" t="s">
        <v>121</v>
      </c>
      <c r="J23" s="1528" t="s">
        <v>1343</v>
      </c>
      <c r="K23" s="1528"/>
      <c r="L23" s="1528"/>
      <c r="M23" s="3086" t="s">
        <v>121</v>
      </c>
      <c r="N23" s="1528" t="s">
        <v>1344</v>
      </c>
      <c r="O23" s="1528"/>
      <c r="P23" s="1528"/>
      <c r="Q23" s="1328"/>
      <c r="R23" s="1328"/>
      <c r="S23" s="1328"/>
      <c r="T23" s="1328"/>
      <c r="U23" s="1328"/>
      <c r="V23" s="1328"/>
      <c r="W23" s="1328"/>
      <c r="X23" s="1368"/>
      <c r="AB23" s="1293"/>
      <c r="AC23" s="1533"/>
      <c r="AD23" s="1534"/>
      <c r="AE23" s="1534"/>
      <c r="AF23" s="1535"/>
      <c r="AI23" s="3056" t="str">
        <f>"63:chuusankanti_tiiki_code:" &amp; IF(I23="■",1,IF(M23="■",2,0))</f>
        <v>63:chuusankanti_tiiki_code:0</v>
      </c>
    </row>
    <row r="24" spans="1:36" ht="18.75" hidden="1" customHeight="1">
      <c r="A24" s="735"/>
      <c r="B24" s="1407"/>
      <c r="C24" s="1303"/>
      <c r="D24" s="1304"/>
      <c r="E24" s="1275"/>
      <c r="F24" s="1289"/>
      <c r="G24" s="1305"/>
      <c r="H24" s="1540"/>
      <c r="I24" s="3070"/>
      <c r="J24" s="1529"/>
      <c r="K24" s="1529"/>
      <c r="L24" s="1529"/>
      <c r="M24" s="3070"/>
      <c r="N24" s="1529"/>
      <c r="O24" s="1529"/>
      <c r="P24" s="1529"/>
      <c r="Q24" s="1330"/>
      <c r="R24" s="1330"/>
      <c r="S24" s="1330"/>
      <c r="T24" s="1330"/>
      <c r="U24" s="1330"/>
      <c r="V24" s="1330"/>
      <c r="W24" s="1330"/>
      <c r="X24" s="1356"/>
      <c r="Y24" s="1295"/>
      <c r="Z24" s="1292"/>
      <c r="AA24" s="1292"/>
      <c r="AB24" s="1293"/>
      <c r="AC24" s="1533"/>
      <c r="AD24" s="1534"/>
      <c r="AE24" s="1534"/>
      <c r="AF24" s="1535"/>
      <c r="AG24" s="1352"/>
      <c r="AI24" s="3056"/>
    </row>
    <row r="25" spans="1:36" ht="18.75" hidden="1" customHeight="1">
      <c r="A25" s="735"/>
      <c r="B25" s="1407"/>
      <c r="C25" s="1303"/>
      <c r="D25" s="1304"/>
      <c r="E25" s="1275"/>
      <c r="F25" s="1289"/>
      <c r="G25" s="1305"/>
      <c r="H25" s="1539" t="s">
        <v>1345</v>
      </c>
      <c r="I25" s="3086" t="s">
        <v>121</v>
      </c>
      <c r="J25" s="1528" t="s">
        <v>1343</v>
      </c>
      <c r="K25" s="1528"/>
      <c r="L25" s="1528"/>
      <c r="M25" s="3086" t="s">
        <v>121</v>
      </c>
      <c r="N25" s="1528" t="s">
        <v>1344</v>
      </c>
      <c r="O25" s="1528"/>
      <c r="P25" s="1528"/>
      <c r="Q25" s="1328"/>
      <c r="R25" s="1328"/>
      <c r="S25" s="1328"/>
      <c r="T25" s="1328"/>
      <c r="U25" s="1328"/>
      <c r="V25" s="1328"/>
      <c r="W25" s="1328"/>
      <c r="X25" s="1368"/>
      <c r="Y25" s="1295"/>
      <c r="Z25" s="1292"/>
      <c r="AA25" s="1292"/>
      <c r="AB25" s="1293"/>
      <c r="AC25" s="1533"/>
      <c r="AD25" s="1534"/>
      <c r="AE25" s="1534"/>
      <c r="AF25" s="1535"/>
      <c r="AG25" s="1352"/>
      <c r="AI25" s="3056" t="str">
        <f>"63:chuusankanti_kibo_code:" &amp; IF(I25="■",1,IF(M25="■",2,0))</f>
        <v>63:chuusankanti_kibo_code:0</v>
      </c>
    </row>
    <row r="26" spans="1:36" ht="18.75" hidden="1" customHeight="1">
      <c r="A26" s="3069" t="s">
        <v>121</v>
      </c>
      <c r="B26" s="1407">
        <v>63</v>
      </c>
      <c r="C26" s="1303" t="s">
        <v>538</v>
      </c>
      <c r="D26" s="3122" t="s">
        <v>121</v>
      </c>
      <c r="E26" s="1275" t="s">
        <v>2268</v>
      </c>
      <c r="F26" s="1289"/>
      <c r="G26" s="1305"/>
      <c r="H26" s="1540"/>
      <c r="I26" s="3070"/>
      <c r="J26" s="1529"/>
      <c r="K26" s="1529"/>
      <c r="L26" s="1529"/>
      <c r="M26" s="3070"/>
      <c r="N26" s="1529"/>
      <c r="O26" s="1529"/>
      <c r="P26" s="1529"/>
      <c r="Q26" s="1330"/>
      <c r="R26" s="1330"/>
      <c r="S26" s="1330"/>
      <c r="T26" s="1330"/>
      <c r="U26" s="1330"/>
      <c r="V26" s="1330"/>
      <c r="W26" s="1330"/>
      <c r="X26" s="1356"/>
      <c r="Y26" s="1295"/>
      <c r="Z26" s="1292"/>
      <c r="AA26" s="1292"/>
      <c r="AB26" s="1293"/>
      <c r="AC26" s="1533"/>
      <c r="AD26" s="1534"/>
      <c r="AE26" s="1534"/>
      <c r="AF26" s="1535"/>
    </row>
    <row r="27" spans="1:36" ht="18.75" hidden="1" customHeight="1">
      <c r="A27" s="735"/>
      <c r="B27" s="1407"/>
      <c r="C27" s="1303"/>
      <c r="D27" s="3122" t="s">
        <v>121</v>
      </c>
      <c r="E27" s="1275" t="s">
        <v>2267</v>
      </c>
      <c r="F27" s="1289"/>
      <c r="G27" s="1305"/>
      <c r="H27" s="1409" t="s">
        <v>2513</v>
      </c>
      <c r="I27" s="3137" t="s">
        <v>121</v>
      </c>
      <c r="J27" s="1298" t="s">
        <v>1230</v>
      </c>
      <c r="K27" s="1299"/>
      <c r="L27" s="3065" t="s">
        <v>121</v>
      </c>
      <c r="M27" s="1298" t="s">
        <v>1263</v>
      </c>
      <c r="N27" s="1298"/>
      <c r="O27" s="3136" t="s">
        <v>121</v>
      </c>
      <c r="P27" s="1290" t="s">
        <v>1287</v>
      </c>
      <c r="Q27" s="1307"/>
      <c r="R27" s="1307"/>
      <c r="S27" s="1307"/>
      <c r="T27" s="1298"/>
      <c r="U27" s="1307"/>
      <c r="V27" s="1307"/>
      <c r="W27" s="1307"/>
      <c r="X27" s="1308"/>
      <c r="Y27" s="1295"/>
      <c r="Z27" s="1292"/>
      <c r="AA27" s="1292"/>
      <c r="AB27" s="1293"/>
      <c r="AC27" s="1533"/>
      <c r="AD27" s="1534"/>
      <c r="AE27" s="1534"/>
      <c r="AF27" s="1535"/>
      <c r="AI27" s="3056" t="str">
        <f>"63:kinkyu_code:"&amp;IF(I27="■",1,IF(O27="■",3,IF(L27="■",2,0)))</f>
        <v>63:kinkyu_code:0</v>
      </c>
    </row>
    <row r="28" spans="1:36" ht="18.75" hidden="1" customHeight="1">
      <c r="A28" s="735"/>
      <c r="B28" s="1407"/>
      <c r="C28" s="1303"/>
      <c r="D28" s="735"/>
      <c r="E28" s="1275"/>
      <c r="F28" s="1289"/>
      <c r="G28" s="1305"/>
      <c r="H28" s="1409" t="s">
        <v>2512</v>
      </c>
      <c r="I28" s="3066" t="s">
        <v>121</v>
      </c>
      <c r="J28" s="1298" t="s">
        <v>1239</v>
      </c>
      <c r="K28" s="1299"/>
      <c r="L28" s="1300"/>
      <c r="M28" s="3122" t="s">
        <v>121</v>
      </c>
      <c r="N28" s="1298" t="s">
        <v>1240</v>
      </c>
      <c r="O28" s="1307"/>
      <c r="P28" s="1307"/>
      <c r="Q28" s="1307"/>
      <c r="R28" s="1307"/>
      <c r="S28" s="1307"/>
      <c r="T28" s="1307"/>
      <c r="U28" s="1307"/>
      <c r="V28" s="1307"/>
      <c r="W28" s="1307"/>
      <c r="X28" s="1308"/>
      <c r="Y28" s="1295"/>
      <c r="Z28" s="1292"/>
      <c r="AA28" s="1292"/>
      <c r="AB28" s="1293"/>
      <c r="AC28" s="1533"/>
      <c r="AD28" s="1534"/>
      <c r="AE28" s="1534"/>
      <c r="AF28" s="1535"/>
      <c r="AI28" s="3056" t="str">
        <f>"63:tokukanri_code:" &amp; IF(I28="■",1,IF(M28="■",2,0))</f>
        <v>63:tokukanri_code:0</v>
      </c>
    </row>
    <row r="29" spans="1:36" ht="18.75" hidden="1" customHeight="1">
      <c r="A29" s="735"/>
      <c r="B29" s="1407"/>
      <c r="C29" s="1303"/>
      <c r="D29" s="1304"/>
      <c r="E29" s="1275"/>
      <c r="F29" s="1289"/>
      <c r="G29" s="1305"/>
      <c r="H29" s="1410" t="s">
        <v>2469</v>
      </c>
      <c r="I29" s="3137" t="s">
        <v>121</v>
      </c>
      <c r="J29" s="1298" t="s">
        <v>1230</v>
      </c>
      <c r="K29" s="1299"/>
      <c r="L29" s="3065" t="s">
        <v>121</v>
      </c>
      <c r="M29" s="1298" t="s">
        <v>1248</v>
      </c>
      <c r="N29" s="1298"/>
      <c r="O29" s="1326"/>
      <c r="P29" s="1326"/>
      <c r="Q29" s="1326"/>
      <c r="R29" s="1326"/>
      <c r="S29" s="1326"/>
      <c r="T29" s="1326"/>
      <c r="U29" s="1326"/>
      <c r="V29" s="1326"/>
      <c r="W29" s="1326"/>
      <c r="X29" s="1327"/>
      <c r="Y29" s="1295"/>
      <c r="Z29" s="1292"/>
      <c r="AA29" s="1292"/>
      <c r="AB29" s="1293"/>
      <c r="AC29" s="1533"/>
      <c r="AD29" s="1534"/>
      <c r="AE29" s="1534"/>
      <c r="AF29" s="1535"/>
      <c r="AI29" s="3056" t="str">
        <f>"63:field230:" &amp; IF(I29="■",1,IF(L29="■",2,0))</f>
        <v>63:field230:0</v>
      </c>
    </row>
    <row r="30" spans="1:36" ht="18.75" hidden="1" customHeight="1">
      <c r="A30" s="735"/>
      <c r="B30" s="1407"/>
      <c r="C30" s="1303"/>
      <c r="D30" s="1304"/>
      <c r="E30" s="1275"/>
      <c r="F30" s="1289"/>
      <c r="G30" s="1305"/>
      <c r="H30" s="1311" t="s">
        <v>2511</v>
      </c>
      <c r="I30" s="3066" t="s">
        <v>121</v>
      </c>
      <c r="J30" s="1298" t="s">
        <v>1230</v>
      </c>
      <c r="K30" s="1299"/>
      <c r="L30" s="3122" t="s">
        <v>121</v>
      </c>
      <c r="M30" s="1298" t="s">
        <v>1248</v>
      </c>
      <c r="N30" s="1298"/>
      <c r="O30" s="1298"/>
      <c r="P30" s="1298"/>
      <c r="Q30" s="1298"/>
      <c r="R30" s="1298"/>
      <c r="S30" s="1298"/>
      <c r="T30" s="1298"/>
      <c r="U30" s="1298"/>
      <c r="V30" s="1298"/>
      <c r="W30" s="1298"/>
      <c r="X30" s="1310"/>
      <c r="Y30" s="1295"/>
      <c r="Z30" s="1292"/>
      <c r="AA30" s="1292"/>
      <c r="AB30" s="1293"/>
      <c r="AC30" s="1533"/>
      <c r="AD30" s="1534"/>
      <c r="AE30" s="1534"/>
      <c r="AF30" s="1535"/>
      <c r="AI30" s="3056" t="str">
        <f>"63:field169:" &amp; IF(I30="■",1,IF(L30="■",2,0))</f>
        <v>63:field169:0</v>
      </c>
    </row>
    <row r="31" spans="1:36" ht="19.5" hidden="1" customHeight="1">
      <c r="A31" s="735"/>
      <c r="B31" s="1407"/>
      <c r="C31" s="1303"/>
      <c r="D31" s="1304"/>
      <c r="E31" s="1275"/>
      <c r="F31" s="1289"/>
      <c r="G31" s="1305"/>
      <c r="H31" s="1306" t="s">
        <v>1325</v>
      </c>
      <c r="I31" s="3066" t="s">
        <v>121</v>
      </c>
      <c r="J31" s="1298" t="s">
        <v>1230</v>
      </c>
      <c r="K31" s="1298"/>
      <c r="L31" s="3065" t="s">
        <v>121</v>
      </c>
      <c r="M31" s="1298" t="s">
        <v>1248</v>
      </c>
      <c r="N31" s="1298"/>
      <c r="O31" s="1307"/>
      <c r="P31" s="1298"/>
      <c r="Q31" s="1307"/>
      <c r="R31" s="1307"/>
      <c r="S31" s="1307"/>
      <c r="T31" s="1307"/>
      <c r="U31" s="1307"/>
      <c r="V31" s="1307"/>
      <c r="W31" s="1307"/>
      <c r="X31" s="1308"/>
      <c r="Y31" s="1292"/>
      <c r="Z31" s="1292"/>
      <c r="AA31" s="1292"/>
      <c r="AB31" s="1293"/>
      <c r="AC31" s="1533"/>
      <c r="AD31" s="1534"/>
      <c r="AE31" s="1534"/>
      <c r="AF31" s="1535"/>
      <c r="AI31" s="3056" t="str">
        <f>"63:field224:" &amp; IF(I31="■",1,IF(L31="■",2,0))</f>
        <v>63:field224:0</v>
      </c>
    </row>
    <row r="32" spans="1:36" ht="18.75" hidden="1" customHeight="1">
      <c r="A32" s="736"/>
      <c r="B32" s="1316"/>
      <c r="C32" s="1346"/>
      <c r="D32" s="1348"/>
      <c r="E32" s="1317"/>
      <c r="F32" s="1318"/>
      <c r="G32" s="1361"/>
      <c r="H32" s="1319" t="s">
        <v>1266</v>
      </c>
      <c r="I32" s="3060" t="s">
        <v>121</v>
      </c>
      <c r="J32" s="1320" t="s">
        <v>1230</v>
      </c>
      <c r="K32" s="1320"/>
      <c r="L32" s="3059" t="s">
        <v>121</v>
      </c>
      <c r="M32" s="1320" t="s">
        <v>1263</v>
      </c>
      <c r="N32" s="1320"/>
      <c r="O32" s="3059" t="s">
        <v>121</v>
      </c>
      <c r="P32" s="1320" t="s">
        <v>1311</v>
      </c>
      <c r="Q32" s="1370"/>
      <c r="R32" s="1373"/>
      <c r="S32" s="1373"/>
      <c r="T32" s="1373"/>
      <c r="U32" s="1373"/>
      <c r="V32" s="1373"/>
      <c r="W32" s="1373"/>
      <c r="X32" s="3156"/>
      <c r="Y32" s="1322"/>
      <c r="Z32" s="1323"/>
      <c r="AA32" s="1323"/>
      <c r="AB32" s="1324"/>
      <c r="AC32" s="1536"/>
      <c r="AD32" s="1537"/>
      <c r="AE32" s="1537"/>
      <c r="AF32" s="1538"/>
      <c r="AI32" s="3056" t="str">
        <f>"63:serteikyo_kyoka_code:"&amp;IF(I32="■",1,IF(L32="■",3,IF(O32="■",4,0)))</f>
        <v>63:serteikyo_kyoka_code:0</v>
      </c>
    </row>
    <row r="33" spans="1:36" ht="19.5" customHeight="1">
      <c r="A33" s="735"/>
      <c r="B33" s="1405"/>
      <c r="C33" s="1333"/>
      <c r="D33" s="1304"/>
      <c r="E33" s="1272"/>
      <c r="F33" s="1279"/>
      <c r="G33" s="1305"/>
      <c r="H33" s="1372" t="s">
        <v>1244</v>
      </c>
      <c r="I33" s="3066" t="s">
        <v>121</v>
      </c>
      <c r="J33" s="1298" t="s">
        <v>1242</v>
      </c>
      <c r="K33" s="1299"/>
      <c r="L33" s="1300"/>
      <c r="M33" s="3065" t="s">
        <v>121</v>
      </c>
      <c r="N33" s="1298" t="s">
        <v>1245</v>
      </c>
      <c r="O33" s="1298"/>
      <c r="P33" s="1298"/>
      <c r="Q33" s="1307"/>
      <c r="R33" s="1307"/>
      <c r="S33" s="1307"/>
      <c r="T33" s="1307"/>
      <c r="U33" s="1307"/>
      <c r="V33" s="1307"/>
      <c r="W33" s="1307"/>
      <c r="X33" s="1308"/>
      <c r="Y33" s="3122" t="s">
        <v>121</v>
      </c>
      <c r="Z33" s="1273" t="s">
        <v>1229</v>
      </c>
      <c r="AA33" s="1273"/>
      <c r="AB33" s="1293"/>
      <c r="AC33" s="1530"/>
      <c r="AD33" s="1531"/>
      <c r="AE33" s="1531"/>
      <c r="AF33" s="1532"/>
      <c r="AG33" s="3056" t="str">
        <f>"ser_code = '" &amp; IF(A37="■",64,"") &amp; "'"</f>
        <v>ser_code = ''</v>
      </c>
      <c r="AH33" s="3056"/>
      <c r="AI33" s="3056" t="str">
        <f>"64:field223:" &amp; IF(I33="■",1,IF(M33="■",2,0))</f>
        <v>64:field223:0</v>
      </c>
      <c r="AJ33" s="3056" t="str">
        <f>"64:field203:" &amp; IF(Y33="■",1,IF(Y34="■",2,0))</f>
        <v>64:field203:0</v>
      </c>
    </row>
    <row r="34" spans="1:36" s="3056" customFormat="1" ht="19.5" customHeight="1">
      <c r="A34" s="735"/>
      <c r="B34" s="1407"/>
      <c r="C34" s="1303"/>
      <c r="D34" s="1304"/>
      <c r="E34" s="1275"/>
      <c r="F34" s="1289"/>
      <c r="G34" s="1305"/>
      <c r="H34" s="3097" t="s">
        <v>1246</v>
      </c>
      <c r="I34" s="3096" t="s">
        <v>121</v>
      </c>
      <c r="J34" s="3091" t="s">
        <v>1242</v>
      </c>
      <c r="K34" s="3095"/>
      <c r="L34" s="3094"/>
      <c r="M34" s="3093" t="s">
        <v>121</v>
      </c>
      <c r="N34" s="3091" t="s">
        <v>1245</v>
      </c>
      <c r="O34" s="3224"/>
      <c r="P34" s="3223"/>
      <c r="Q34" s="3222"/>
      <c r="R34" s="3222"/>
      <c r="S34" s="3222"/>
      <c r="T34" s="3222"/>
      <c r="U34" s="3222"/>
      <c r="V34" s="3222"/>
      <c r="W34" s="3222"/>
      <c r="X34" s="3221"/>
      <c r="Y34" s="3122" t="s">
        <v>121</v>
      </c>
      <c r="Z34" s="1273" t="s">
        <v>1234</v>
      </c>
      <c r="AA34" s="1292"/>
      <c r="AB34" s="1293"/>
      <c r="AC34" s="1533"/>
      <c r="AD34" s="1534"/>
      <c r="AE34" s="1534"/>
      <c r="AF34" s="1535"/>
      <c r="AG34" s="3056" t="str">
        <f>"64:sisetukbn_code:" &amp; IF(D36="■",1,IF(D37="■",2,IF(D38="■",3,0)))</f>
        <v>64:sisetukbn_code:0</v>
      </c>
      <c r="AI34" s="3056" t="str">
        <f>"64:field232:" &amp; IF(I34="■",1,IF(M34="■",2,0))</f>
        <v>64:field232:0</v>
      </c>
    </row>
    <row r="35" spans="1:36" ht="18.75" customHeight="1">
      <c r="A35" s="735"/>
      <c r="B35" s="1407"/>
      <c r="C35" s="1353"/>
      <c r="D35" s="1289"/>
      <c r="E35" s="1275"/>
      <c r="F35" s="1289"/>
      <c r="G35" s="1305"/>
      <c r="H35" s="1401" t="s">
        <v>1341</v>
      </c>
      <c r="I35" s="3122" t="s">
        <v>121</v>
      </c>
      <c r="J35" s="1296" t="s">
        <v>1230</v>
      </c>
      <c r="K35" s="1309"/>
      <c r="L35" s="3122" t="s">
        <v>121</v>
      </c>
      <c r="M35" s="1296" t="s">
        <v>1248</v>
      </c>
      <c r="N35" s="1296"/>
      <c r="O35" s="1296"/>
      <c r="P35" s="1296"/>
      <c r="Q35" s="1330"/>
      <c r="R35" s="1330"/>
      <c r="S35" s="1330"/>
      <c r="T35" s="1330"/>
      <c r="U35" s="1330"/>
      <c r="V35" s="1330"/>
      <c r="W35" s="1330"/>
      <c r="X35" s="1356"/>
      <c r="Z35" s="1273"/>
      <c r="AA35" s="1292"/>
      <c r="AB35" s="1293"/>
      <c r="AC35" s="1533"/>
      <c r="AD35" s="1534"/>
      <c r="AE35" s="1534"/>
      <c r="AF35" s="1535"/>
      <c r="AG35" s="3056"/>
      <c r="AH35" s="3056"/>
      <c r="AI35" s="3056" t="str">
        <f>"64:tokutiiki_code:" &amp; IF(I35="■",1,IF(L35="■",2,0))</f>
        <v>64:tokutiiki_code:0</v>
      </c>
      <c r="AJ35" s="3056"/>
    </row>
    <row r="36" spans="1:36" ht="18.75" customHeight="1">
      <c r="A36" s="735"/>
      <c r="B36" s="1407"/>
      <c r="C36" s="1353"/>
      <c r="D36" s="3122" t="s">
        <v>121</v>
      </c>
      <c r="E36" s="1275" t="s">
        <v>1314</v>
      </c>
      <c r="F36" s="1289"/>
      <c r="G36" s="1305"/>
      <c r="H36" s="1539" t="s">
        <v>1349</v>
      </c>
      <c r="I36" s="3086" t="s">
        <v>121</v>
      </c>
      <c r="J36" s="1528" t="s">
        <v>1343</v>
      </c>
      <c r="K36" s="1528"/>
      <c r="L36" s="1528"/>
      <c r="M36" s="3086" t="s">
        <v>121</v>
      </c>
      <c r="N36" s="1528" t="s">
        <v>1344</v>
      </c>
      <c r="O36" s="1528"/>
      <c r="P36" s="1528"/>
      <c r="Q36" s="1328"/>
      <c r="R36" s="1328"/>
      <c r="S36" s="1328"/>
      <c r="T36" s="1328"/>
      <c r="U36" s="1328"/>
      <c r="V36" s="1328"/>
      <c r="W36" s="1328"/>
      <c r="X36" s="1368"/>
      <c r="AB36" s="1293"/>
      <c r="AC36" s="1533"/>
      <c r="AD36" s="1534"/>
      <c r="AE36" s="1534"/>
      <c r="AF36" s="1535"/>
      <c r="AG36" s="3056"/>
      <c r="AH36" s="3056"/>
      <c r="AI36" s="3056" t="str">
        <f>"64:chuusankanti_tiiki_code:" &amp; IF(I36="■",1,IF(M36="■",2,0))</f>
        <v>64:chuusankanti_tiiki_code:0</v>
      </c>
      <c r="AJ36" s="3056"/>
    </row>
    <row r="37" spans="1:36" ht="18.75" customHeight="1">
      <c r="A37" s="3069" t="s">
        <v>121</v>
      </c>
      <c r="B37" s="1407">
        <v>64</v>
      </c>
      <c r="C37" s="1353" t="s">
        <v>1350</v>
      </c>
      <c r="D37" s="3122" t="s">
        <v>121</v>
      </c>
      <c r="E37" s="1275" t="s">
        <v>1317</v>
      </c>
      <c r="F37" s="1289"/>
      <c r="G37" s="1305"/>
      <c r="H37" s="1540"/>
      <c r="I37" s="3070"/>
      <c r="J37" s="1529"/>
      <c r="K37" s="1529"/>
      <c r="L37" s="1529"/>
      <c r="M37" s="3070"/>
      <c r="N37" s="1529"/>
      <c r="O37" s="1529"/>
      <c r="P37" s="1529"/>
      <c r="Q37" s="1330"/>
      <c r="R37" s="1330"/>
      <c r="S37" s="1330"/>
      <c r="T37" s="1330"/>
      <c r="U37" s="1330"/>
      <c r="V37" s="1330"/>
      <c r="W37" s="1330"/>
      <c r="X37" s="1356"/>
      <c r="Y37" s="1295"/>
      <c r="Z37" s="1292"/>
      <c r="AA37" s="1292"/>
      <c r="AB37" s="1293"/>
      <c r="AC37" s="1533"/>
      <c r="AD37" s="1534"/>
      <c r="AE37" s="1534"/>
      <c r="AF37" s="1535"/>
      <c r="AG37" s="3056"/>
      <c r="AH37" s="3056"/>
      <c r="AI37" s="3056"/>
      <c r="AJ37" s="3056"/>
    </row>
    <row r="38" spans="1:36" ht="18.75" customHeight="1">
      <c r="A38" s="735"/>
      <c r="B38" s="1407"/>
      <c r="C38" s="1353" t="s">
        <v>1316</v>
      </c>
      <c r="D38" s="3122" t="s">
        <v>121</v>
      </c>
      <c r="E38" s="1275" t="s">
        <v>1319</v>
      </c>
      <c r="F38" s="1289"/>
      <c r="G38" s="1305"/>
      <c r="H38" s="1539" t="s">
        <v>1351</v>
      </c>
      <c r="I38" s="3086" t="s">
        <v>121</v>
      </c>
      <c r="J38" s="1528" t="s">
        <v>1343</v>
      </c>
      <c r="K38" s="1528"/>
      <c r="L38" s="1528"/>
      <c r="M38" s="3086" t="s">
        <v>121</v>
      </c>
      <c r="N38" s="1528" t="s">
        <v>1344</v>
      </c>
      <c r="O38" s="1528"/>
      <c r="P38" s="1528"/>
      <c r="Q38" s="1328"/>
      <c r="R38" s="1328"/>
      <c r="S38" s="1328"/>
      <c r="T38" s="1328"/>
      <c r="U38" s="1328"/>
      <c r="V38" s="1328"/>
      <c r="W38" s="1328"/>
      <c r="X38" s="1368"/>
      <c r="Y38" s="1295"/>
      <c r="Z38" s="1292"/>
      <c r="AA38" s="1292"/>
      <c r="AB38" s="1293"/>
      <c r="AC38" s="1533"/>
      <c r="AD38" s="1534"/>
      <c r="AE38" s="1534"/>
      <c r="AF38" s="1535"/>
      <c r="AI38" s="3056" t="str">
        <f>"64:chuusankanti_kibo_code:" &amp; IF(I38="■",1,IF(M38="■",2,0))</f>
        <v>64:chuusankanti_kibo_code:0</v>
      </c>
    </row>
    <row r="39" spans="1:36" ht="18.75" customHeight="1">
      <c r="A39" s="735"/>
      <c r="B39" s="1407"/>
      <c r="C39" s="1353"/>
      <c r="D39" s="1304"/>
      <c r="E39" s="1275"/>
      <c r="F39" s="1289"/>
      <c r="G39" s="1305"/>
      <c r="H39" s="1540"/>
      <c r="I39" s="3070"/>
      <c r="J39" s="1529"/>
      <c r="K39" s="1529"/>
      <c r="L39" s="1529"/>
      <c r="M39" s="3070"/>
      <c r="N39" s="1529"/>
      <c r="O39" s="1529"/>
      <c r="P39" s="1529"/>
      <c r="Q39" s="1330"/>
      <c r="R39" s="1330"/>
      <c r="S39" s="1330"/>
      <c r="T39" s="1330"/>
      <c r="U39" s="1330"/>
      <c r="V39" s="1330"/>
      <c r="W39" s="1330"/>
      <c r="X39" s="1356"/>
      <c r="Y39" s="1295"/>
      <c r="Z39" s="1292"/>
      <c r="AA39" s="1292"/>
      <c r="AB39" s="1293"/>
      <c r="AC39" s="1533"/>
      <c r="AD39" s="1534"/>
      <c r="AE39" s="1534"/>
      <c r="AF39" s="1535"/>
    </row>
    <row r="40" spans="1:36" ht="19.5" customHeight="1">
      <c r="A40" s="735"/>
      <c r="B40" s="1407"/>
      <c r="C40" s="1303"/>
      <c r="D40" s="1304"/>
      <c r="E40" s="1275"/>
      <c r="F40" s="1289"/>
      <c r="G40" s="1305"/>
      <c r="H40" s="1306" t="s">
        <v>1325</v>
      </c>
      <c r="I40" s="3066" t="s">
        <v>121</v>
      </c>
      <c r="J40" s="1298" t="s">
        <v>1230</v>
      </c>
      <c r="K40" s="1298"/>
      <c r="L40" s="3065" t="s">
        <v>121</v>
      </c>
      <c r="M40" s="1298" t="s">
        <v>1248</v>
      </c>
      <c r="N40" s="1298"/>
      <c r="O40" s="1307"/>
      <c r="P40" s="1298"/>
      <c r="Q40" s="1307"/>
      <c r="R40" s="1307"/>
      <c r="S40" s="1307"/>
      <c r="T40" s="1307"/>
      <c r="U40" s="1307"/>
      <c r="V40" s="1307"/>
      <c r="W40" s="1307"/>
      <c r="X40" s="1308"/>
      <c r="Y40" s="1292"/>
      <c r="Z40" s="1292"/>
      <c r="AA40" s="1292"/>
      <c r="AB40" s="1293"/>
      <c r="AC40" s="1533"/>
      <c r="AD40" s="1534"/>
      <c r="AE40" s="1534"/>
      <c r="AF40" s="1535"/>
      <c r="AI40" s="3056" t="str">
        <f>"64:field224:" &amp; IF(I40="■",1,IF(L40="■",2,0))</f>
        <v>64:field224:0</v>
      </c>
    </row>
    <row r="41" spans="1:36" ht="18.75" customHeight="1">
      <c r="A41" s="736"/>
      <c r="B41" s="1316"/>
      <c r="C41" s="1359"/>
      <c r="D41" s="1318"/>
      <c r="E41" s="1317"/>
      <c r="F41" s="1318"/>
      <c r="G41" s="1361"/>
      <c r="H41" s="1319" t="s">
        <v>1266</v>
      </c>
      <c r="I41" s="3060" t="s">
        <v>121</v>
      </c>
      <c r="J41" s="1320" t="s">
        <v>1230</v>
      </c>
      <c r="K41" s="1320"/>
      <c r="L41" s="3059" t="s">
        <v>121</v>
      </c>
      <c r="M41" s="1320" t="s">
        <v>1263</v>
      </c>
      <c r="N41" s="1320"/>
      <c r="O41" s="3059" t="s">
        <v>121</v>
      </c>
      <c r="P41" s="1320" t="s">
        <v>1311</v>
      </c>
      <c r="Q41" s="1370"/>
      <c r="R41" s="1373"/>
      <c r="S41" s="1370"/>
      <c r="T41" s="1370"/>
      <c r="U41" s="1370"/>
      <c r="V41" s="1370"/>
      <c r="W41" s="1370"/>
      <c r="X41" s="1371"/>
      <c r="Y41" s="1322"/>
      <c r="Z41" s="1323"/>
      <c r="AA41" s="1323"/>
      <c r="AB41" s="1324"/>
      <c r="AC41" s="1536"/>
      <c r="AD41" s="1537"/>
      <c r="AE41" s="1537"/>
      <c r="AF41" s="1538"/>
      <c r="AI41" s="3056" t="str">
        <f>"64:serteikyo_kyoka_code:" &amp; IF(I41="■",1,IF(L41="■",3,IF(O41="■",4,0)))</f>
        <v>64:serteikyo_kyoka_code:0</v>
      </c>
    </row>
    <row r="42" spans="1:36" ht="18.75" hidden="1" customHeight="1">
      <c r="A42" s="1276"/>
      <c r="B42" s="1405"/>
      <c r="C42" s="1350"/>
      <c r="D42" s="1279"/>
      <c r="E42" s="1272"/>
      <c r="F42" s="1279"/>
      <c r="G42" s="1351"/>
      <c r="H42" s="3218" t="s">
        <v>1341</v>
      </c>
      <c r="I42" s="3119" t="s">
        <v>121</v>
      </c>
      <c r="J42" s="1280" t="s">
        <v>1230</v>
      </c>
      <c r="K42" s="1281"/>
      <c r="L42" s="3138" t="s">
        <v>121</v>
      </c>
      <c r="M42" s="1280" t="s">
        <v>1248</v>
      </c>
      <c r="N42" s="1280"/>
      <c r="O42" s="1280"/>
      <c r="P42" s="1280"/>
      <c r="Q42" s="1284"/>
      <c r="R42" s="1284"/>
      <c r="S42" s="1284"/>
      <c r="T42" s="1284"/>
      <c r="U42" s="1284"/>
      <c r="V42" s="1284"/>
      <c r="W42" s="1284"/>
      <c r="X42" s="1325"/>
      <c r="Y42" s="3138" t="s">
        <v>121</v>
      </c>
      <c r="Z42" s="1270" t="s">
        <v>1229</v>
      </c>
      <c r="AA42" s="1270"/>
      <c r="AB42" s="1286"/>
      <c r="AC42" s="1549"/>
      <c r="AD42" s="1550"/>
      <c r="AE42" s="1550"/>
      <c r="AF42" s="1551"/>
      <c r="AG42" s="3056" t="str">
        <f>"ser_code = '" &amp; IF(A45="■",34,"") &amp; "'"</f>
        <v>ser_code = ''</v>
      </c>
      <c r="AH42" s="3056"/>
      <c r="AI42" s="3056" t="str">
        <f>"34:tokutiiki_code:" &amp; IF(I42="■",1,IF(L42="■",2,0))</f>
        <v>34:tokutiiki_code:0</v>
      </c>
      <c r="AJ42" s="3056" t="str">
        <f>"34:field203:" &amp; IF(Y42="■",1,IF(Y43="■",2,0))</f>
        <v>34:field203:0</v>
      </c>
    </row>
    <row r="43" spans="1:36" ht="18.75" hidden="1" customHeight="1">
      <c r="A43" s="735"/>
      <c r="B43" s="1407"/>
      <c r="C43" s="1303"/>
      <c r="D43" s="1289"/>
      <c r="E43" s="1275"/>
      <c r="F43" s="1289"/>
      <c r="G43" s="1305"/>
      <c r="H43" s="1539" t="s">
        <v>1349</v>
      </c>
      <c r="I43" s="3179" t="s">
        <v>121</v>
      </c>
      <c r="J43" s="1528" t="s">
        <v>1343</v>
      </c>
      <c r="K43" s="1528"/>
      <c r="L43" s="1528"/>
      <c r="M43" s="3086" t="s">
        <v>121</v>
      </c>
      <c r="N43" s="1528" t="s">
        <v>1344</v>
      </c>
      <c r="O43" s="1528"/>
      <c r="P43" s="1528"/>
      <c r="Q43" s="1328"/>
      <c r="R43" s="1328"/>
      <c r="S43" s="1328"/>
      <c r="T43" s="1328"/>
      <c r="U43" s="1328"/>
      <c r="V43" s="1328"/>
      <c r="W43" s="1328"/>
      <c r="X43" s="1368"/>
      <c r="Y43" s="3122" t="s">
        <v>121</v>
      </c>
      <c r="Z43" s="1273" t="s">
        <v>1234</v>
      </c>
      <c r="AA43" s="1273"/>
      <c r="AB43" s="1293"/>
      <c r="AC43" s="1552"/>
      <c r="AD43" s="1553"/>
      <c r="AE43" s="1553"/>
      <c r="AF43" s="1554"/>
      <c r="AG43" s="3056"/>
      <c r="AH43" s="3056"/>
      <c r="AI43" s="3056" t="str">
        <f>"34:chuusankanti_tiiki_code:" &amp; IF(I43="■",1,IF(M43="■",2,0))</f>
        <v>34:chuusankanti_tiiki_code:0</v>
      </c>
      <c r="AJ43" s="3056"/>
    </row>
    <row r="44" spans="1:36" ht="18.75" hidden="1" customHeight="1">
      <c r="A44" s="735"/>
      <c r="B44" s="1407"/>
      <c r="C44" s="1303"/>
      <c r="D44" s="1289"/>
      <c r="E44" s="1275"/>
      <c r="F44" s="1289"/>
      <c r="G44" s="1305"/>
      <c r="H44" s="1540"/>
      <c r="I44" s="3220"/>
      <c r="J44" s="1529"/>
      <c r="K44" s="1529"/>
      <c r="L44" s="1529"/>
      <c r="M44" s="3070"/>
      <c r="N44" s="1529"/>
      <c r="O44" s="1529"/>
      <c r="P44" s="1529"/>
      <c r="Q44" s="1330"/>
      <c r="R44" s="1330"/>
      <c r="S44" s="1330"/>
      <c r="T44" s="1330"/>
      <c r="U44" s="1330"/>
      <c r="V44" s="1330"/>
      <c r="W44" s="1330"/>
      <c r="X44" s="1356"/>
      <c r="Y44" s="1295"/>
      <c r="Z44" s="1292"/>
      <c r="AA44" s="1292"/>
      <c r="AB44" s="1293"/>
      <c r="AC44" s="1552"/>
      <c r="AD44" s="1553"/>
      <c r="AE44" s="1553"/>
      <c r="AF44" s="1554"/>
      <c r="AG44" s="3056"/>
      <c r="AH44" s="3056"/>
      <c r="AI44" s="3056"/>
      <c r="AJ44" s="3056"/>
    </row>
    <row r="45" spans="1:36" ht="18.75" hidden="1" customHeight="1">
      <c r="A45" s="3069" t="s">
        <v>121</v>
      </c>
      <c r="B45" s="1407">
        <v>34</v>
      </c>
      <c r="C45" s="1353" t="s">
        <v>2510</v>
      </c>
      <c r="D45" s="1289"/>
      <c r="E45" s="1275"/>
      <c r="F45" s="1289"/>
      <c r="G45" s="1305"/>
      <c r="H45" s="1539" t="s">
        <v>1351</v>
      </c>
      <c r="I45" s="3179" t="s">
        <v>121</v>
      </c>
      <c r="J45" s="1528" t="s">
        <v>1343</v>
      </c>
      <c r="K45" s="1528"/>
      <c r="L45" s="1528"/>
      <c r="M45" s="3086" t="s">
        <v>121</v>
      </c>
      <c r="N45" s="1528" t="s">
        <v>1344</v>
      </c>
      <c r="O45" s="1528"/>
      <c r="P45" s="1528"/>
      <c r="Q45" s="1328"/>
      <c r="R45" s="1328"/>
      <c r="S45" s="1328"/>
      <c r="T45" s="1328"/>
      <c r="U45" s="1328"/>
      <c r="V45" s="1328"/>
      <c r="W45" s="1328"/>
      <c r="X45" s="1368"/>
      <c r="Y45" s="1295"/>
      <c r="Z45" s="1292"/>
      <c r="AA45" s="1292"/>
      <c r="AB45" s="1293"/>
      <c r="AC45" s="1552"/>
      <c r="AD45" s="1553"/>
      <c r="AE45" s="1553"/>
      <c r="AF45" s="1554"/>
      <c r="AG45" s="3056"/>
      <c r="AH45" s="3056"/>
      <c r="AI45" s="3056" t="str">
        <f>"34:chuusankanti_kibo_code:" &amp; IF(I45="■",1,IF(M45="■",2,0))</f>
        <v>34:chuusankanti_kibo_code:0</v>
      </c>
      <c r="AJ45" s="3056"/>
    </row>
    <row r="46" spans="1:36" ht="18" hidden="1" customHeight="1">
      <c r="A46" s="735"/>
      <c r="B46" s="1407"/>
      <c r="C46" s="1353" t="s">
        <v>2509</v>
      </c>
      <c r="D46" s="1289"/>
      <c r="E46" s="1275"/>
      <c r="F46" s="1289"/>
      <c r="G46" s="1305"/>
      <c r="H46" s="1540"/>
      <c r="I46" s="3220"/>
      <c r="J46" s="1529"/>
      <c r="K46" s="1529"/>
      <c r="L46" s="1529"/>
      <c r="M46" s="3070"/>
      <c r="N46" s="1529"/>
      <c r="O46" s="1529"/>
      <c r="P46" s="1529"/>
      <c r="Q46" s="1330"/>
      <c r="R46" s="1330"/>
      <c r="S46" s="1330"/>
      <c r="T46" s="1330"/>
      <c r="U46" s="1330"/>
      <c r="V46" s="1330"/>
      <c r="W46" s="1330"/>
      <c r="X46" s="1356"/>
      <c r="Y46" s="1295"/>
      <c r="Z46" s="1292"/>
      <c r="AA46" s="1292"/>
      <c r="AB46" s="1293"/>
      <c r="AC46" s="1552"/>
      <c r="AD46" s="1553"/>
      <c r="AE46" s="1553"/>
      <c r="AF46" s="1554"/>
    </row>
    <row r="47" spans="1:36" ht="18.75" hidden="1" customHeight="1">
      <c r="A47" s="735"/>
      <c r="B47" s="1407"/>
      <c r="C47" s="1303"/>
      <c r="D47" s="1304"/>
      <c r="E47" s="1294"/>
      <c r="F47" s="1304"/>
      <c r="G47" s="1407"/>
      <c r="H47" s="1401" t="s">
        <v>2460</v>
      </c>
      <c r="I47" s="3069" t="s">
        <v>121</v>
      </c>
      <c r="J47" s="1559" t="s">
        <v>1230</v>
      </c>
      <c r="K47" s="1559"/>
      <c r="L47" s="3122" t="s">
        <v>121</v>
      </c>
      <c r="M47" s="1559" t="s">
        <v>1248</v>
      </c>
      <c r="N47" s="1559"/>
      <c r="O47" s="1273"/>
      <c r="P47" s="1273"/>
      <c r="Q47" s="3100"/>
      <c r="R47" s="3100"/>
      <c r="S47" s="3100"/>
      <c r="T47" s="3100"/>
      <c r="U47" s="3100"/>
      <c r="V47" s="3100"/>
      <c r="W47" s="3100"/>
      <c r="X47" s="3099"/>
      <c r="Y47" s="1295"/>
      <c r="Z47" s="1292"/>
      <c r="AA47" s="1292"/>
      <c r="AB47" s="1293"/>
      <c r="AC47" s="1552"/>
      <c r="AD47" s="1553"/>
      <c r="AE47" s="1553"/>
      <c r="AF47" s="1554"/>
      <c r="AI47" s="3056" t="str">
        <f>"34:field240:" &amp; IF(I47="■",1,IF(L47="■",2,0))</f>
        <v>34:field240:0</v>
      </c>
    </row>
    <row r="48" spans="1:36" ht="18.75" hidden="1" customHeight="1">
      <c r="A48" s="736"/>
      <c r="B48" s="1316"/>
      <c r="C48" s="1359"/>
      <c r="D48" s="1348"/>
      <c r="E48" s="1349"/>
      <c r="F48" s="1348"/>
      <c r="G48" s="1316"/>
      <c r="H48" s="3219" t="s">
        <v>2459</v>
      </c>
      <c r="I48" s="3060" t="s">
        <v>121</v>
      </c>
      <c r="J48" s="1320" t="s">
        <v>1230</v>
      </c>
      <c r="K48" s="1373"/>
      <c r="L48" s="3059" t="s">
        <v>121</v>
      </c>
      <c r="M48" s="1320" t="s">
        <v>1248</v>
      </c>
      <c r="N48" s="1320"/>
      <c r="O48" s="1320"/>
      <c r="P48" s="1320"/>
      <c r="Q48" s="1370"/>
      <c r="R48" s="1370"/>
      <c r="S48" s="1370"/>
      <c r="T48" s="1370"/>
      <c r="U48" s="1370"/>
      <c r="V48" s="1370"/>
      <c r="W48" s="1370"/>
      <c r="X48" s="1371"/>
      <c r="Y48" s="1322"/>
      <c r="Z48" s="3075"/>
      <c r="AA48" s="3075"/>
      <c r="AB48" s="1324"/>
      <c r="AC48" s="1555"/>
      <c r="AD48" s="1556"/>
      <c r="AE48" s="1556"/>
      <c r="AF48" s="1557"/>
      <c r="AI48" s="3056" t="str">
        <f>"34:field241:" &amp; IF(I48="■",1,IF(L48="■",2,0))</f>
        <v>34:field241:0</v>
      </c>
    </row>
    <row r="49" spans="1:37" ht="18.75" customHeight="1">
      <c r="A49" s="1276"/>
      <c r="B49" s="1405"/>
      <c r="C49" s="1350"/>
      <c r="D49" s="1279"/>
      <c r="E49" s="1272"/>
      <c r="F49" s="1279"/>
      <c r="G49" s="1351"/>
      <c r="H49" s="1545" t="s">
        <v>90</v>
      </c>
      <c r="I49" s="3119" t="s">
        <v>121</v>
      </c>
      <c r="J49" s="1270" t="s">
        <v>1230</v>
      </c>
      <c r="K49" s="1270"/>
      <c r="L49" s="1337"/>
      <c r="M49" s="3138" t="s">
        <v>121</v>
      </c>
      <c r="N49" s="1270" t="s">
        <v>1231</v>
      </c>
      <c r="O49" s="1270"/>
      <c r="P49" s="1337"/>
      <c r="Q49" s="3138" t="s">
        <v>121</v>
      </c>
      <c r="R49" s="1334" t="s">
        <v>1232</v>
      </c>
      <c r="S49" s="1334"/>
      <c r="T49" s="1334"/>
      <c r="U49" s="3138" t="s">
        <v>121</v>
      </c>
      <c r="V49" s="1334" t="s">
        <v>1233</v>
      </c>
      <c r="W49" s="1334"/>
      <c r="X49" s="1336"/>
      <c r="Y49" s="3138" t="s">
        <v>121</v>
      </c>
      <c r="Z49" s="1270" t="s">
        <v>1229</v>
      </c>
      <c r="AA49" s="1270"/>
      <c r="AB49" s="1286"/>
      <c r="AC49" s="3276"/>
      <c r="AD49" s="3289"/>
      <c r="AE49" s="3289"/>
      <c r="AF49" s="3288"/>
      <c r="AG49" s="3056" t="str">
        <f>"ser_code = '" &amp; IF(A54="■",66,"") &amp; "'"</f>
        <v>ser_code = ''</v>
      </c>
      <c r="AH49" s="3056"/>
      <c r="AI49" s="3056" t="str">
        <f>"66:"&amp;IF(AND(I49="□",M49="□",Q49="□",U49="□",I50="□",M50="□",Q50="□"),"ketu_doctor_code:0",IF(I49="■","ketu_doctor_code:1:ketu_kangos_code:1:ketu_kshoku_code:1:ketu_rryoho_code:1:ketu_sryoho_code:1:ketu_gengo_code:1",
IF(M49="■","ketu_doctor_code:2","ketu_doctor_code:1")
&amp;IF(Q49="■",":ketu_kangos_code:2",":ketu_kangos_code:1")
&amp;IF(U49="■",":ketu_kshoku_code:2",":ketu_kshoku_code:1")
&amp;IF(I50="■",":ketu_rryoho_code:2",":ketu_rryoho_code:1")
&amp;IF(M50="■",":ketu_sryoho_code:2",":ketu_sryoho_code:1")
&amp;IF(Q50="■",":ketu_gengo_code:2",":ketu_gengo_code:1")))</f>
        <v>66:ketu_doctor_code:0</v>
      </c>
      <c r="AJ49" s="3056" t="str">
        <f>"66:field203:" &amp; IF(Y49="■",1,IF(Y50="■",2,0))</f>
        <v>66:field203:0</v>
      </c>
    </row>
    <row r="50" spans="1:37" ht="18.75" customHeight="1">
      <c r="A50" s="735"/>
      <c r="B50" s="1407"/>
      <c r="C50" s="1353"/>
      <c r="D50" s="1289"/>
      <c r="E50" s="1275"/>
      <c r="F50" s="1289"/>
      <c r="G50" s="1305"/>
      <c r="H50" s="1546"/>
      <c r="I50" s="3069" t="s">
        <v>121</v>
      </c>
      <c r="J50" s="1273" t="s">
        <v>1235</v>
      </c>
      <c r="M50" s="3122" t="s">
        <v>121</v>
      </c>
      <c r="N50" s="1273" t="s">
        <v>1236</v>
      </c>
      <c r="Q50" s="3122" t="s">
        <v>121</v>
      </c>
      <c r="R50" s="1273" t="s">
        <v>1291</v>
      </c>
      <c r="X50" s="1294"/>
      <c r="Y50" s="3122" t="s">
        <v>121</v>
      </c>
      <c r="Z50" s="1273" t="s">
        <v>1234</v>
      </c>
      <c r="AA50" s="1292"/>
      <c r="AB50" s="1293"/>
      <c r="AC50" s="3287"/>
      <c r="AD50" s="3286"/>
      <c r="AE50" s="3286"/>
      <c r="AF50" s="3285"/>
      <c r="AG50" s="3056" t="str">
        <f>"66:sisetukbn_code:" &amp; IF(D53="■",1,IF(D54="■",2,IF(D55="■",3,0)))</f>
        <v>66:sisetukbn_code:0</v>
      </c>
      <c r="AH50" s="3056"/>
      <c r="AI50" s="3056"/>
      <c r="AJ50" s="3056"/>
    </row>
    <row r="51" spans="1:37" ht="19.5" customHeight="1">
      <c r="A51" s="735"/>
      <c r="B51" s="1407"/>
      <c r="C51" s="1353"/>
      <c r="D51" s="1289"/>
      <c r="E51" s="1275"/>
      <c r="F51" s="1289"/>
      <c r="G51" s="1305"/>
      <c r="H51" s="1306" t="s">
        <v>1244</v>
      </c>
      <c r="I51" s="3066" t="s">
        <v>121</v>
      </c>
      <c r="J51" s="1298" t="s">
        <v>1242</v>
      </c>
      <c r="K51" s="1299"/>
      <c r="L51" s="1300"/>
      <c r="M51" s="3065" t="s">
        <v>121</v>
      </c>
      <c r="N51" s="1298" t="s">
        <v>1245</v>
      </c>
      <c r="O51" s="1298"/>
      <c r="P51" s="1298"/>
      <c r="Q51" s="1307"/>
      <c r="R51" s="1307"/>
      <c r="S51" s="1307"/>
      <c r="T51" s="1307"/>
      <c r="U51" s="1307"/>
      <c r="V51" s="1307"/>
      <c r="W51" s="1307"/>
      <c r="X51" s="1308"/>
      <c r="Y51" s="1295"/>
      <c r="Z51" s="1292"/>
      <c r="AA51" s="1292"/>
      <c r="AB51" s="1293"/>
      <c r="AC51" s="3287"/>
      <c r="AD51" s="3286"/>
      <c r="AE51" s="3286"/>
      <c r="AF51" s="3285"/>
      <c r="AG51" s="1352"/>
      <c r="AI51" s="3056" t="str">
        <f>"66:field223:" &amp; IF(I51="■",1,IF(M51="■",2,0))</f>
        <v>66:field223:0</v>
      </c>
    </row>
    <row r="52" spans="1:37" ht="19.5" customHeight="1">
      <c r="A52" s="735"/>
      <c r="B52" s="1407"/>
      <c r="C52" s="1303"/>
      <c r="D52" s="1304"/>
      <c r="E52" s="1275"/>
      <c r="F52" s="1289"/>
      <c r="G52" s="1305"/>
      <c r="H52" s="1354" t="s">
        <v>1246</v>
      </c>
      <c r="I52" s="3063" t="s">
        <v>121</v>
      </c>
      <c r="J52" s="1296" t="s">
        <v>1242</v>
      </c>
      <c r="K52" s="1309"/>
      <c r="L52" s="1355"/>
      <c r="M52" s="3062" t="s">
        <v>121</v>
      </c>
      <c r="N52" s="1296" t="s">
        <v>1245</v>
      </c>
      <c r="O52" s="1296"/>
      <c r="P52" s="1296"/>
      <c r="Q52" s="1330"/>
      <c r="R52" s="1330"/>
      <c r="S52" s="1330"/>
      <c r="T52" s="1330"/>
      <c r="U52" s="1330"/>
      <c r="V52" s="1330"/>
      <c r="W52" s="1330"/>
      <c r="X52" s="1356"/>
      <c r="Y52" s="1295"/>
      <c r="Z52" s="1292"/>
      <c r="AA52" s="1292"/>
      <c r="AB52" s="1293"/>
      <c r="AC52" s="3287"/>
      <c r="AD52" s="3286"/>
      <c r="AE52" s="3286"/>
      <c r="AF52" s="3285"/>
      <c r="AI52" s="3056" t="str">
        <f>"66:field232:" &amp; IF(I52="■",1,IF(M52="■",2,0))</f>
        <v>66:field232:0</v>
      </c>
    </row>
    <row r="53" spans="1:37" ht="18.75" customHeight="1">
      <c r="A53" s="735"/>
      <c r="B53" s="1407"/>
      <c r="C53" s="1303"/>
      <c r="D53" s="3122" t="s">
        <v>121</v>
      </c>
      <c r="E53" s="1275" t="s">
        <v>1314</v>
      </c>
      <c r="F53" s="1289"/>
      <c r="G53" s="1305"/>
      <c r="H53" s="1312" t="s">
        <v>1315</v>
      </c>
      <c r="I53" s="3066" t="s">
        <v>121</v>
      </c>
      <c r="J53" s="1298" t="s">
        <v>1230</v>
      </c>
      <c r="K53" s="1299"/>
      <c r="L53" s="3065" t="s">
        <v>121</v>
      </c>
      <c r="M53" s="1298" t="s">
        <v>1248</v>
      </c>
      <c r="N53" s="1298"/>
      <c r="O53" s="1326"/>
      <c r="P53" s="1326"/>
      <c r="Q53" s="1326"/>
      <c r="R53" s="1326"/>
      <c r="S53" s="1326"/>
      <c r="T53" s="1326"/>
      <c r="U53" s="1326"/>
      <c r="V53" s="1326"/>
      <c r="W53" s="1326"/>
      <c r="X53" s="1327"/>
      <c r="Y53" s="1295"/>
      <c r="Z53" s="1292"/>
      <c r="AA53" s="1292"/>
      <c r="AB53" s="1293"/>
      <c r="AC53" s="3287"/>
      <c r="AD53" s="3286"/>
      <c r="AE53" s="3286"/>
      <c r="AF53" s="3285"/>
      <c r="AI53" s="3056" t="str">
        <f>"66:field157:" &amp; IF(I53="■",1,IF(L53="■",2,0))</f>
        <v>66:field157:0</v>
      </c>
    </row>
    <row r="54" spans="1:37" ht="18.75" customHeight="1">
      <c r="A54" s="3069" t="s">
        <v>121</v>
      </c>
      <c r="B54" s="1407">
        <v>66</v>
      </c>
      <c r="C54" s="1353" t="s">
        <v>1313</v>
      </c>
      <c r="D54" s="3122" t="s">
        <v>121</v>
      </c>
      <c r="E54" s="1275" t="s">
        <v>1317</v>
      </c>
      <c r="F54" s="1289"/>
      <c r="G54" s="1305"/>
      <c r="H54" s="1409" t="s">
        <v>1318</v>
      </c>
      <c r="I54" s="3065" t="s">
        <v>121</v>
      </c>
      <c r="J54" s="1298" t="s">
        <v>1230</v>
      </c>
      <c r="K54" s="1299"/>
      <c r="L54" s="3065" t="s">
        <v>121</v>
      </c>
      <c r="M54" s="1298" t="s">
        <v>1248</v>
      </c>
      <c r="N54" s="1298"/>
      <c r="O54" s="1326"/>
      <c r="P54" s="1326"/>
      <c r="Q54" s="1326"/>
      <c r="R54" s="1326"/>
      <c r="S54" s="1326"/>
      <c r="T54" s="1326"/>
      <c r="U54" s="1326"/>
      <c r="V54" s="1326"/>
      <c r="W54" s="1326"/>
      <c r="X54" s="1327"/>
      <c r="Y54" s="1295"/>
      <c r="Z54" s="1292"/>
      <c r="AA54" s="1292"/>
      <c r="AB54" s="1293"/>
      <c r="AC54" s="3287"/>
      <c r="AD54" s="3286"/>
      <c r="AE54" s="3286"/>
      <c r="AF54" s="3285"/>
      <c r="AI54" s="3056" t="str">
        <f>"66:jyakuninti_uke_code:" &amp; IF(I54="■",1,IF(L54="■",2,0))</f>
        <v>66:jyakuninti_uke_code:0</v>
      </c>
    </row>
    <row r="55" spans="1:37" ht="18.75" customHeight="1">
      <c r="A55" s="735"/>
      <c r="B55" s="1407"/>
      <c r="C55" s="1353" t="s">
        <v>1316</v>
      </c>
      <c r="D55" s="3122" t="s">
        <v>121</v>
      </c>
      <c r="E55" s="1275" t="s">
        <v>1319</v>
      </c>
      <c r="F55" s="1289"/>
      <c r="G55" s="1305"/>
      <c r="H55" s="1409" t="s">
        <v>1306</v>
      </c>
      <c r="I55" s="3065" t="s">
        <v>121</v>
      </c>
      <c r="J55" s="1298" t="s">
        <v>1230</v>
      </c>
      <c r="K55" s="1299"/>
      <c r="L55" s="3065" t="s">
        <v>121</v>
      </c>
      <c r="M55" s="1298" t="s">
        <v>1248</v>
      </c>
      <c r="N55" s="1298"/>
      <c r="O55" s="1326"/>
      <c r="P55" s="1326"/>
      <c r="Q55" s="1326"/>
      <c r="R55" s="1326"/>
      <c r="S55" s="1326"/>
      <c r="T55" s="1326"/>
      <c r="U55" s="1326"/>
      <c r="V55" s="1326"/>
      <c r="W55" s="1326"/>
      <c r="X55" s="1327"/>
      <c r="Y55" s="1295"/>
      <c r="Z55" s="1292"/>
      <c r="AA55" s="1292"/>
      <c r="AB55" s="1293"/>
      <c r="AC55" s="3287"/>
      <c r="AD55" s="3286"/>
      <c r="AE55" s="3286"/>
      <c r="AF55" s="3285"/>
      <c r="AI55" s="3056" t="str">
        <f>"66:eiyomana_code:" &amp; IF(I55="■",1,IF(L55="■",2,0))</f>
        <v>66:eiyomana_code:0</v>
      </c>
    </row>
    <row r="56" spans="1:37" ht="18.75" customHeight="1">
      <c r="A56" s="735"/>
      <c r="B56" s="1407"/>
      <c r="C56" s="1353"/>
      <c r="D56" s="1289"/>
      <c r="E56" s="1275"/>
      <c r="F56" s="1289"/>
      <c r="G56" s="1305"/>
      <c r="H56" s="1410" t="s">
        <v>1307</v>
      </c>
      <c r="I56" s="3065" t="s">
        <v>121</v>
      </c>
      <c r="J56" s="1298" t="s">
        <v>1230</v>
      </c>
      <c r="K56" s="1299"/>
      <c r="L56" s="3065" t="s">
        <v>121</v>
      </c>
      <c r="M56" s="1298" t="s">
        <v>1248</v>
      </c>
      <c r="N56" s="1298"/>
      <c r="O56" s="1326"/>
      <c r="P56" s="1326"/>
      <c r="Q56" s="1326"/>
      <c r="R56" s="1326"/>
      <c r="S56" s="1326"/>
      <c r="T56" s="1326"/>
      <c r="U56" s="1326"/>
      <c r="V56" s="1326"/>
      <c r="W56" s="1326"/>
      <c r="X56" s="1327"/>
      <c r="Y56" s="1295"/>
      <c r="Z56" s="1292"/>
      <c r="AA56" s="1292"/>
      <c r="AB56" s="1293"/>
      <c r="AC56" s="3287"/>
      <c r="AD56" s="3286"/>
      <c r="AE56" s="3286"/>
      <c r="AF56" s="3285"/>
      <c r="AI56" s="3056" t="str">
        <f>"66:koukoukino_code:" &amp; IF(I56="■",1,IF(L56="■",2,0))</f>
        <v>66:koukoukino_code:0</v>
      </c>
    </row>
    <row r="57" spans="1:37" ht="18.75" customHeight="1">
      <c r="A57" s="735"/>
      <c r="B57" s="1407"/>
      <c r="C57" s="1353"/>
      <c r="D57" s="1289"/>
      <c r="E57" s="1275"/>
      <c r="F57" s="1289"/>
      <c r="G57" s="1305"/>
      <c r="H57" s="1400" t="s">
        <v>1320</v>
      </c>
      <c r="I57" s="3137" t="s">
        <v>121</v>
      </c>
      <c r="J57" s="1528" t="s">
        <v>1230</v>
      </c>
      <c r="K57" s="1528"/>
      <c r="L57" s="3136" t="s">
        <v>121</v>
      </c>
      <c r="M57" s="1528" t="s">
        <v>1248</v>
      </c>
      <c r="N57" s="1528"/>
      <c r="O57" s="1357"/>
      <c r="P57" s="1357"/>
      <c r="Q57" s="1357"/>
      <c r="R57" s="1357"/>
      <c r="S57" s="1357"/>
      <c r="T57" s="1357"/>
      <c r="U57" s="1357"/>
      <c r="V57" s="1357"/>
      <c r="W57" s="1357"/>
      <c r="X57" s="1358"/>
      <c r="Y57" s="1295"/>
      <c r="Z57" s="1292"/>
      <c r="AA57" s="1292"/>
      <c r="AB57" s="1293"/>
      <c r="AC57" s="3287"/>
      <c r="AD57" s="3286"/>
      <c r="AE57" s="3286"/>
      <c r="AF57" s="3285"/>
      <c r="AI57" s="3056" t="str">
        <f>"66:field174:" &amp; IF(I57="■",1,IF(L57="■",2,0))</f>
        <v>66:field174:0</v>
      </c>
    </row>
    <row r="58" spans="1:37" ht="18.75" customHeight="1">
      <c r="A58" s="735"/>
      <c r="B58" s="1407"/>
      <c r="C58" s="1353"/>
      <c r="D58" s="1289"/>
      <c r="E58" s="1275"/>
      <c r="F58" s="1289"/>
      <c r="G58" s="1305"/>
      <c r="H58" s="1410" t="s">
        <v>764</v>
      </c>
      <c r="I58" s="3137" t="s">
        <v>121</v>
      </c>
      <c r="J58" s="1298" t="s">
        <v>1230</v>
      </c>
      <c r="K58" s="1299"/>
      <c r="L58" s="3065" t="s">
        <v>121</v>
      </c>
      <c r="M58" s="1298" t="s">
        <v>1248</v>
      </c>
      <c r="N58" s="1298"/>
      <c r="O58" s="1326"/>
      <c r="P58" s="1326"/>
      <c r="Q58" s="1326"/>
      <c r="R58" s="1326"/>
      <c r="S58" s="1326"/>
      <c r="T58" s="1326"/>
      <c r="U58" s="1326"/>
      <c r="V58" s="1326"/>
      <c r="W58" s="1326"/>
      <c r="X58" s="1327"/>
      <c r="Y58" s="1295"/>
      <c r="Z58" s="1292"/>
      <c r="AA58" s="1292"/>
      <c r="AB58" s="1293"/>
      <c r="AC58" s="3287"/>
      <c r="AD58" s="3286"/>
      <c r="AE58" s="3286"/>
      <c r="AF58" s="3285"/>
      <c r="AI58" s="3056" t="str">
        <f>"66:field212:" &amp; IF(I58="■",1,IF(L58="■",2,0))</f>
        <v>66:field212:0</v>
      </c>
    </row>
    <row r="59" spans="1:37" ht="18.75" customHeight="1">
      <c r="A59" s="735"/>
      <c r="B59" s="1407"/>
      <c r="C59" s="1353"/>
      <c r="D59" s="1289"/>
      <c r="E59" s="1275"/>
      <c r="F59" s="1289"/>
      <c r="G59" s="1305"/>
      <c r="H59" s="1409" t="s">
        <v>1266</v>
      </c>
      <c r="I59" s="3137" t="s">
        <v>121</v>
      </c>
      <c r="J59" s="1298" t="s">
        <v>1230</v>
      </c>
      <c r="K59" s="1298"/>
      <c r="L59" s="3065" t="s">
        <v>121</v>
      </c>
      <c r="M59" s="1298" t="s">
        <v>1310</v>
      </c>
      <c r="N59" s="1298"/>
      <c r="O59" s="3065" t="s">
        <v>121</v>
      </c>
      <c r="P59" s="1298" t="s">
        <v>1311</v>
      </c>
      <c r="Q59" s="1298"/>
      <c r="R59" s="3065" t="s">
        <v>121</v>
      </c>
      <c r="S59" s="1298" t="s">
        <v>1312</v>
      </c>
      <c r="T59" s="1326"/>
      <c r="U59" s="1326"/>
      <c r="V59" s="1326"/>
      <c r="W59" s="1326"/>
      <c r="X59" s="1327"/>
      <c r="Y59" s="1295"/>
      <c r="Z59" s="1292"/>
      <c r="AA59" s="1292"/>
      <c r="AB59" s="1293"/>
      <c r="AC59" s="3287"/>
      <c r="AD59" s="3286"/>
      <c r="AE59" s="3286"/>
      <c r="AF59" s="3285"/>
      <c r="AI59" s="3056" t="str">
        <f>"66:serteikyo_kyoka_code:" &amp; IF(I59="■",1,IF(L59="■",5,IF(O59="■",4,IF(R59="■",6,0))))</f>
        <v>66:serteikyo_kyoka_code:0</v>
      </c>
    </row>
    <row r="60" spans="1:37" ht="18.75" customHeight="1">
      <c r="A60" s="736"/>
      <c r="B60" s="1407"/>
      <c r="C60" s="1346"/>
      <c r="D60" s="1348"/>
      <c r="E60" s="1317"/>
      <c r="F60" s="1318"/>
      <c r="G60" s="1361"/>
      <c r="H60" s="3134" t="s">
        <v>2288</v>
      </c>
      <c r="I60" s="3060" t="s">
        <v>121</v>
      </c>
      <c r="J60" s="3130" t="s">
        <v>1230</v>
      </c>
      <c r="K60" s="3130"/>
      <c r="L60" s="3059" t="s">
        <v>121</v>
      </c>
      <c r="M60" s="3130" t="s">
        <v>2287</v>
      </c>
      <c r="N60" s="3133"/>
      <c r="O60" s="3059" t="s">
        <v>121</v>
      </c>
      <c r="P60" s="3132" t="s">
        <v>2286</v>
      </c>
      <c r="Q60" s="3131"/>
      <c r="R60" s="3059" t="s">
        <v>121</v>
      </c>
      <c r="S60" s="3130" t="s">
        <v>2285</v>
      </c>
      <c r="T60" s="3131"/>
      <c r="U60" s="3059" t="s">
        <v>121</v>
      </c>
      <c r="V60" s="3130" t="s">
        <v>2284</v>
      </c>
      <c r="W60" s="3129"/>
      <c r="X60" s="3128"/>
      <c r="Y60" s="1323"/>
      <c r="Z60" s="1323"/>
      <c r="AA60" s="1323"/>
      <c r="AB60" s="1324"/>
      <c r="AC60" s="3284"/>
      <c r="AD60" s="3283"/>
      <c r="AE60" s="3283"/>
      <c r="AF60" s="3282"/>
      <c r="AG60" s="3056"/>
      <c r="AH60" s="3056"/>
      <c r="AI60" s="3056" t="str">
        <f>"66:shoguukaizen_code:"&amp;IF(I60="■",1,IF(L60="■",7,IF(O60="■",8,IF(R60="■",9,IF(U60="■","A",0)))))</f>
        <v>66:shoguukaizen_code:0</v>
      </c>
    </row>
    <row r="61" spans="1:37" ht="18.75" hidden="1" customHeight="1">
      <c r="A61" s="1276"/>
      <c r="B61" s="1405"/>
      <c r="C61" s="1333"/>
      <c r="D61" s="1335"/>
      <c r="E61" s="1272"/>
      <c r="F61" s="1279"/>
      <c r="G61" s="1351"/>
      <c r="H61" s="1408" t="s">
        <v>1226</v>
      </c>
      <c r="I61" s="3137" t="s">
        <v>121</v>
      </c>
      <c r="J61" s="1280" t="s">
        <v>1227</v>
      </c>
      <c r="K61" s="1281"/>
      <c r="L61" s="1282"/>
      <c r="M61" s="3073" t="s">
        <v>121</v>
      </c>
      <c r="N61" s="1280" t="s">
        <v>1228</v>
      </c>
      <c r="O61" s="1365"/>
      <c r="P61" s="1365"/>
      <c r="Q61" s="1365"/>
      <c r="R61" s="1365"/>
      <c r="S61" s="1365"/>
      <c r="T61" s="1281"/>
      <c r="U61" s="1281"/>
      <c r="V61" s="1281"/>
      <c r="W61" s="1281"/>
      <c r="X61" s="1285"/>
      <c r="Y61" s="3138" t="s">
        <v>121</v>
      </c>
      <c r="Z61" s="1270" t="s">
        <v>1229</v>
      </c>
      <c r="AA61" s="1270"/>
      <c r="AB61" s="1286"/>
      <c r="AC61" s="3138" t="s">
        <v>121</v>
      </c>
      <c r="AD61" s="1270" t="s">
        <v>1229</v>
      </c>
      <c r="AE61" s="1270"/>
      <c r="AF61" s="1286"/>
      <c r="AG61" s="3056" t="str">
        <f>"ser_code = '" &amp; IF(A73="■",24,"") &amp; "'"</f>
        <v>ser_code = ''</v>
      </c>
      <c r="AH61" s="3056"/>
      <c r="AI61" s="3056" t="str">
        <f>"24:yakan_kinmu_code:" &amp; IF(I61="■",1,IF(M61="■",6,0))</f>
        <v>24:yakan_kinmu_code:0</v>
      </c>
      <c r="AJ61" s="3056" t="str">
        <f>"24:field203:" &amp; IF(Y61="■",1,IF(Y62="■",2,0))</f>
        <v>24:field203:0</v>
      </c>
      <c r="AK61" s="3056" t="str">
        <f>"21:waribiki_code:" &amp; IF(AC61="■",1,IF(AC62="■",2,0))</f>
        <v>21:waribiki_code:0</v>
      </c>
    </row>
    <row r="62" spans="1:37" ht="18.75" hidden="1" customHeight="1">
      <c r="A62" s="735"/>
      <c r="B62" s="1407"/>
      <c r="C62" s="1303"/>
      <c r="D62" s="1304"/>
      <c r="E62" s="1275"/>
      <c r="F62" s="1289"/>
      <c r="G62" s="1305"/>
      <c r="H62" s="1409" t="s">
        <v>90</v>
      </c>
      <c r="I62" s="3137" t="s">
        <v>121</v>
      </c>
      <c r="J62" s="1298" t="s">
        <v>1230</v>
      </c>
      <c r="K62" s="1298"/>
      <c r="L62" s="1300"/>
      <c r="M62" s="3065" t="s">
        <v>121</v>
      </c>
      <c r="N62" s="1298" t="s">
        <v>2262</v>
      </c>
      <c r="O62" s="1298"/>
      <c r="P62" s="1300"/>
      <c r="Q62" s="3065" t="s">
        <v>121</v>
      </c>
      <c r="R62" s="1326" t="s">
        <v>2261</v>
      </c>
      <c r="S62" s="1326"/>
      <c r="T62" s="1299"/>
      <c r="U62" s="1299"/>
      <c r="V62" s="1299"/>
      <c r="W62" s="1299"/>
      <c r="X62" s="1302"/>
      <c r="Y62" s="3122" t="s">
        <v>121</v>
      </c>
      <c r="Z62" s="1273" t="s">
        <v>1234</v>
      </c>
      <c r="AA62" s="1292"/>
      <c r="AB62" s="1293"/>
      <c r="AC62" s="3122" t="s">
        <v>121</v>
      </c>
      <c r="AD62" s="1273" t="s">
        <v>1234</v>
      </c>
      <c r="AE62" s="1292"/>
      <c r="AF62" s="1293"/>
      <c r="AG62" s="3056" t="str">
        <f>"24:sisetukbn_code:" &amp; IF(D72="■",1,IF(D73="■",2,IF(D74="■",3,IF(D75="■",4,0))))</f>
        <v>24:sisetukbn_code:0</v>
      </c>
      <c r="AI62" s="3056" t="str">
        <f>"24:"&amp;IF(AND(I62="□",M62="□",Q62="□"),"ketu_kangos_code:0",IF(I62="■","ketu_kangos_code:1:ketu_kshoku_code:1",IF(M62="■","ketu_kangos_code:2","ketu_kangos_code:1")&amp;IF(Q62="■",":ketu_kshoku_code:2",":ketu_kshoku_code:1")))</f>
        <v>24:ketu_kangos_code:0</v>
      </c>
    </row>
    <row r="63" spans="1:37" ht="18.75" hidden="1" customHeight="1">
      <c r="A63" s="735"/>
      <c r="B63" s="1407"/>
      <c r="C63" s="1303"/>
      <c r="D63" s="1304"/>
      <c r="E63" s="1275"/>
      <c r="F63" s="1289"/>
      <c r="G63" s="1305"/>
      <c r="H63" s="1409" t="s">
        <v>91</v>
      </c>
      <c r="I63" s="3137" t="s">
        <v>121</v>
      </c>
      <c r="J63" s="1298" t="s">
        <v>1239</v>
      </c>
      <c r="K63" s="1299"/>
      <c r="L63" s="1300"/>
      <c r="M63" s="3065" t="s">
        <v>121</v>
      </c>
      <c r="N63" s="1298" t="s">
        <v>1240</v>
      </c>
      <c r="O63" s="1307"/>
      <c r="P63" s="1326"/>
      <c r="Q63" s="1326"/>
      <c r="R63" s="1326"/>
      <c r="S63" s="1326"/>
      <c r="T63" s="1299"/>
      <c r="U63" s="1299"/>
      <c r="V63" s="1299"/>
      <c r="W63" s="1299"/>
      <c r="X63" s="1302"/>
      <c r="Y63" s="1295"/>
      <c r="Z63" s="1292"/>
      <c r="AA63" s="1292"/>
      <c r="AB63" s="1293"/>
      <c r="AC63" s="1295"/>
      <c r="AD63" s="1292"/>
      <c r="AE63" s="1292"/>
      <c r="AF63" s="1293"/>
      <c r="AI63" s="3056" t="str">
        <f>"24:unitcare_code:" &amp; IF(I63="■",1,IF(M63="■",2,0))</f>
        <v>24:unitcare_code:0</v>
      </c>
    </row>
    <row r="64" spans="1:37" s="3056" customFormat="1" ht="18.75" hidden="1" customHeight="1">
      <c r="A64" s="735"/>
      <c r="B64" s="1407"/>
      <c r="C64" s="1287"/>
      <c r="D64" s="1288"/>
      <c r="E64" s="1275"/>
      <c r="F64" s="1289"/>
      <c r="G64" s="1305"/>
      <c r="H64" s="3193" t="s">
        <v>1241</v>
      </c>
      <c r="I64" s="3137" t="s">
        <v>121</v>
      </c>
      <c r="J64" s="3091" t="s">
        <v>1242</v>
      </c>
      <c r="K64" s="3095"/>
      <c r="L64" s="3094"/>
      <c r="M64" s="3093" t="s">
        <v>121</v>
      </c>
      <c r="N64" s="3091" t="s">
        <v>1243</v>
      </c>
      <c r="O64" s="3095"/>
      <c r="P64" s="3192"/>
      <c r="Q64" s="3192"/>
      <c r="R64" s="3192"/>
      <c r="S64" s="3192"/>
      <c r="T64" s="3192"/>
      <c r="U64" s="3192"/>
      <c r="V64" s="3192"/>
      <c r="W64" s="3192"/>
      <c r="X64" s="3191"/>
      <c r="Y64" s="1295"/>
      <c r="Z64" s="1292"/>
      <c r="AA64" s="1292"/>
      <c r="AB64" s="1293"/>
      <c r="AC64" s="1295"/>
      <c r="AD64" s="1292"/>
      <c r="AE64" s="1292"/>
      <c r="AF64" s="1293"/>
      <c r="AI64" s="3056" t="str">
        <f>"24:sintaikousoku_code:" &amp; IF(I64="■",1,IF(M64="■",2,0))</f>
        <v>24:sintaikousoku_code:0</v>
      </c>
    </row>
    <row r="65" spans="1:35" ht="19.5" hidden="1" customHeight="1">
      <c r="A65" s="735"/>
      <c r="B65" s="1407"/>
      <c r="C65" s="1303"/>
      <c r="D65" s="1304"/>
      <c r="E65" s="1275"/>
      <c r="F65" s="1289"/>
      <c r="G65" s="1305"/>
      <c r="H65" s="1306" t="s">
        <v>1244</v>
      </c>
      <c r="I65" s="3137" t="s">
        <v>121</v>
      </c>
      <c r="J65" s="1298" t="s">
        <v>1242</v>
      </c>
      <c r="K65" s="1299"/>
      <c r="L65" s="1300"/>
      <c r="M65" s="3065" t="s">
        <v>121</v>
      </c>
      <c r="N65" s="1298" t="s">
        <v>1245</v>
      </c>
      <c r="O65" s="1298"/>
      <c r="P65" s="1298"/>
      <c r="Q65" s="1307"/>
      <c r="R65" s="1307"/>
      <c r="S65" s="1307"/>
      <c r="T65" s="1307"/>
      <c r="U65" s="1307"/>
      <c r="V65" s="1307"/>
      <c r="W65" s="1307"/>
      <c r="X65" s="1308"/>
      <c r="Y65" s="1292"/>
      <c r="Z65" s="1292"/>
      <c r="AA65" s="1292"/>
      <c r="AB65" s="1293"/>
      <c r="AC65" s="1295"/>
      <c r="AD65" s="1292"/>
      <c r="AE65" s="1292"/>
      <c r="AF65" s="1293"/>
      <c r="AI65" s="3056" t="str">
        <f>"24:field223:" &amp; IF(I65="■",1,IF(M65="■",2,0))</f>
        <v>24:field223:0</v>
      </c>
    </row>
    <row r="66" spans="1:35" ht="19.5" hidden="1" customHeight="1">
      <c r="A66" s="735"/>
      <c r="B66" s="1407"/>
      <c r="C66" s="1303"/>
      <c r="D66" s="1304"/>
      <c r="E66" s="1275"/>
      <c r="F66" s="1289"/>
      <c r="G66" s="1305"/>
      <c r="H66" s="1306" t="s">
        <v>1246</v>
      </c>
      <c r="I66" s="3137" t="s">
        <v>121</v>
      </c>
      <c r="J66" s="1296" t="s">
        <v>1242</v>
      </c>
      <c r="K66" s="1309"/>
      <c r="L66" s="1355"/>
      <c r="M66" s="3062" t="s">
        <v>121</v>
      </c>
      <c r="N66" s="1296" t="s">
        <v>1245</v>
      </c>
      <c r="O66" s="1296"/>
      <c r="P66" s="1296"/>
      <c r="Q66" s="1330"/>
      <c r="R66" s="1330"/>
      <c r="S66" s="1330"/>
      <c r="T66" s="1330"/>
      <c r="U66" s="1330"/>
      <c r="V66" s="1330"/>
      <c r="W66" s="1330"/>
      <c r="X66" s="1356"/>
      <c r="Y66" s="1292"/>
      <c r="Z66" s="1273"/>
      <c r="AA66" s="1292"/>
      <c r="AB66" s="1293"/>
      <c r="AC66" s="1295"/>
      <c r="AD66" s="1292"/>
      <c r="AE66" s="1292"/>
      <c r="AF66" s="1293"/>
      <c r="AI66" s="3056" t="str">
        <f>"24:field232:" &amp; IF(I66="■",1,IF(M66="■",2,0))</f>
        <v>24:field232:0</v>
      </c>
    </row>
    <row r="67" spans="1:35" ht="18.75" hidden="1" customHeight="1">
      <c r="A67" s="735"/>
      <c r="B67" s="1407"/>
      <c r="C67" s="1303"/>
      <c r="D67" s="1304"/>
      <c r="E67" s="1275"/>
      <c r="F67" s="1289"/>
      <c r="G67" s="1305"/>
      <c r="H67" s="1539" t="s">
        <v>2457</v>
      </c>
      <c r="I67" s="3137" t="s">
        <v>121</v>
      </c>
      <c r="J67" s="3161" t="s">
        <v>1230</v>
      </c>
      <c r="K67" s="3161"/>
      <c r="L67" s="3160" t="s">
        <v>121</v>
      </c>
      <c r="M67" s="3161" t="s">
        <v>1248</v>
      </c>
      <c r="N67" s="3161"/>
      <c r="O67" s="1290"/>
      <c r="P67" s="1290"/>
      <c r="Q67" s="1290"/>
      <c r="R67" s="1290"/>
      <c r="S67" s="1290"/>
      <c r="T67" s="1290"/>
      <c r="U67" s="1290"/>
      <c r="V67" s="1290"/>
      <c r="W67" s="1290"/>
      <c r="X67" s="1331"/>
      <c r="Y67" s="1295"/>
      <c r="Z67" s="1292"/>
      <c r="AA67" s="1292"/>
      <c r="AB67" s="1293"/>
      <c r="AC67" s="1295"/>
      <c r="AD67" s="1292"/>
      <c r="AE67" s="1292"/>
      <c r="AF67" s="1293"/>
      <c r="AI67" s="3056" t="str">
        <f>"24:field189:" &amp; IF(I67="■",1,IF(L67="■",2,0))</f>
        <v>24:field189:0</v>
      </c>
    </row>
    <row r="68" spans="1:35" ht="18.75" hidden="1" customHeight="1">
      <c r="A68" s="735"/>
      <c r="B68" s="1407"/>
      <c r="C68" s="1303"/>
      <c r="D68" s="1304"/>
      <c r="E68" s="1275"/>
      <c r="F68" s="1289"/>
      <c r="G68" s="1305"/>
      <c r="H68" s="1540"/>
      <c r="I68" s="3069" t="s">
        <v>121</v>
      </c>
      <c r="J68" s="3161"/>
      <c r="K68" s="3161"/>
      <c r="L68" s="3160"/>
      <c r="M68" s="3161"/>
      <c r="N68" s="3161"/>
      <c r="O68" s="1296"/>
      <c r="P68" s="1296"/>
      <c r="Q68" s="1296"/>
      <c r="R68" s="1296"/>
      <c r="S68" s="1296"/>
      <c r="T68" s="1296"/>
      <c r="U68" s="1296"/>
      <c r="V68" s="1296"/>
      <c r="W68" s="1296"/>
      <c r="X68" s="1332"/>
      <c r="Y68" s="1295"/>
      <c r="Z68" s="1292"/>
      <c r="AA68" s="1292"/>
      <c r="AB68" s="1293"/>
      <c r="AC68" s="1295"/>
      <c r="AD68" s="1292"/>
      <c r="AE68" s="1292"/>
      <c r="AF68" s="1293"/>
      <c r="AI68" s="3056"/>
    </row>
    <row r="69" spans="1:35" ht="18.75" hidden="1" customHeight="1">
      <c r="A69" s="735"/>
      <c r="B69" s="1407"/>
      <c r="C69" s="1303"/>
      <c r="D69" s="1304"/>
      <c r="E69" s="1275"/>
      <c r="F69" s="1289"/>
      <c r="G69" s="1305"/>
      <c r="H69" s="1409" t="s">
        <v>2253</v>
      </c>
      <c r="I69" s="3137" t="s">
        <v>121</v>
      </c>
      <c r="J69" s="1298" t="s">
        <v>1230</v>
      </c>
      <c r="K69" s="1299"/>
      <c r="L69" s="3065" t="s">
        <v>121</v>
      </c>
      <c r="M69" s="1298" t="s">
        <v>1248</v>
      </c>
      <c r="N69" s="1326"/>
      <c r="O69" s="1307"/>
      <c r="P69" s="1307"/>
      <c r="Q69" s="1307"/>
      <c r="R69" s="1307"/>
      <c r="S69" s="1307"/>
      <c r="T69" s="1307"/>
      <c r="U69" s="1307"/>
      <c r="V69" s="1307"/>
      <c r="W69" s="1307"/>
      <c r="X69" s="1308"/>
      <c r="Y69" s="1295"/>
      <c r="Z69" s="1292"/>
      <c r="AA69" s="1292"/>
      <c r="AB69" s="1293"/>
      <c r="AC69" s="1295"/>
      <c r="AD69" s="1292"/>
      <c r="AE69" s="1292"/>
      <c r="AF69" s="1293"/>
      <c r="AI69" s="3056" t="str">
        <f>"24:field151:" &amp; IF(I69="■",1,IF(L69="■",2,0))</f>
        <v>24:field151:0</v>
      </c>
    </row>
    <row r="70" spans="1:35" ht="18.75" hidden="1" customHeight="1">
      <c r="A70" s="735"/>
      <c r="B70" s="1407"/>
      <c r="C70" s="1303"/>
      <c r="D70" s="1304"/>
      <c r="E70" s="1275"/>
      <c r="F70" s="1289"/>
      <c r="G70" s="1305"/>
      <c r="H70" s="1409" t="s">
        <v>2250</v>
      </c>
      <c r="I70" s="3137" t="s">
        <v>121</v>
      </c>
      <c r="J70" s="1298" t="s">
        <v>1230</v>
      </c>
      <c r="K70" s="1298"/>
      <c r="L70" s="3065" t="s">
        <v>121</v>
      </c>
      <c r="M70" s="1298" t="s">
        <v>1263</v>
      </c>
      <c r="N70" s="1298"/>
      <c r="O70" s="3065" t="s">
        <v>121</v>
      </c>
      <c r="P70" s="1298" t="s">
        <v>1287</v>
      </c>
      <c r="Q70" s="1326"/>
      <c r="R70" s="1326"/>
      <c r="S70" s="1326"/>
      <c r="T70" s="1326"/>
      <c r="U70" s="1326"/>
      <c r="V70" s="1326"/>
      <c r="W70" s="1326"/>
      <c r="X70" s="1327"/>
      <c r="Y70" s="1295"/>
      <c r="Z70" s="1292"/>
      <c r="AA70" s="1292"/>
      <c r="AB70" s="1293"/>
      <c r="AC70" s="1295"/>
      <c r="AD70" s="1292"/>
      <c r="AE70" s="1292"/>
      <c r="AF70" s="1293"/>
      <c r="AI70" s="3056" t="str">
        <f>"24:field185:" &amp; IF(I70="■",1,IF(L70="■",3,IF(O70="■",2,0)))</f>
        <v>24:field185:0</v>
      </c>
    </row>
    <row r="71" spans="1:35" ht="18.75" hidden="1" customHeight="1">
      <c r="A71" s="735"/>
      <c r="B71" s="1407"/>
      <c r="C71" s="1303"/>
      <c r="D71" s="1304"/>
      <c r="E71" s="1275"/>
      <c r="F71" s="1289"/>
      <c r="G71" s="1305"/>
      <c r="H71" s="1409" t="s">
        <v>2455</v>
      </c>
      <c r="I71" s="3137" t="s">
        <v>121</v>
      </c>
      <c r="J71" s="1298" t="s">
        <v>1230</v>
      </c>
      <c r="K71" s="1299"/>
      <c r="L71" s="3065" t="s">
        <v>121</v>
      </c>
      <c r="M71" s="1298" t="s">
        <v>1248</v>
      </c>
      <c r="N71" s="1326"/>
      <c r="O71" s="1307"/>
      <c r="P71" s="1307"/>
      <c r="Q71" s="1307"/>
      <c r="R71" s="1307"/>
      <c r="S71" s="1307"/>
      <c r="T71" s="1307"/>
      <c r="U71" s="1307"/>
      <c r="V71" s="1307"/>
      <c r="W71" s="1307"/>
      <c r="X71" s="1308"/>
      <c r="Y71" s="1295"/>
      <c r="Z71" s="1292"/>
      <c r="AA71" s="1292"/>
      <c r="AB71" s="1293"/>
      <c r="AC71" s="1295"/>
      <c r="AD71" s="1292"/>
      <c r="AE71" s="1292"/>
      <c r="AF71" s="1293"/>
      <c r="AI71" s="3056" t="str">
        <f>"24:kunren_code:" &amp; IF(I71="■",1,IF(L71="■",2,0))</f>
        <v>24:kunren_code:0</v>
      </c>
    </row>
    <row r="72" spans="1:35" ht="18.75" hidden="1" customHeight="1">
      <c r="A72" s="735"/>
      <c r="B72" s="1407"/>
      <c r="C72" s="1303"/>
      <c r="D72" s="3122" t="s">
        <v>121</v>
      </c>
      <c r="E72" s="1275" t="s">
        <v>2449</v>
      </c>
      <c r="F72" s="1289"/>
      <c r="G72" s="1305"/>
      <c r="H72" s="1409" t="s">
        <v>2454</v>
      </c>
      <c r="I72" s="3137" t="s">
        <v>121</v>
      </c>
      <c r="J72" s="1298" t="s">
        <v>1230</v>
      </c>
      <c r="K72" s="1299"/>
      <c r="L72" s="3065" t="s">
        <v>121</v>
      </c>
      <c r="M72" s="1298" t="s">
        <v>1248</v>
      </c>
      <c r="N72" s="1326"/>
      <c r="O72" s="1307"/>
      <c r="P72" s="1307"/>
      <c r="Q72" s="1307"/>
      <c r="R72" s="1307"/>
      <c r="S72" s="1307"/>
      <c r="T72" s="1307"/>
      <c r="U72" s="1307"/>
      <c r="V72" s="1307"/>
      <c r="W72" s="1307"/>
      <c r="X72" s="1308"/>
      <c r="Y72" s="1295"/>
      <c r="Z72" s="1292"/>
      <c r="AA72" s="1292"/>
      <c r="AB72" s="1293"/>
      <c r="AC72" s="1295"/>
      <c r="AD72" s="1292"/>
      <c r="AE72" s="1292"/>
      <c r="AF72" s="1293"/>
      <c r="AI72" s="3056" t="str">
        <f>"24:kobetu_kunren_code:" &amp; IF(I72="■",1,IF(L72="■",2,0))</f>
        <v>24:kobetu_kunren_code:0</v>
      </c>
    </row>
    <row r="73" spans="1:35" ht="18.75" hidden="1" customHeight="1">
      <c r="A73" s="3069" t="s">
        <v>121</v>
      </c>
      <c r="B73" s="1407">
        <v>24</v>
      </c>
      <c r="C73" s="1303" t="s">
        <v>74</v>
      </c>
      <c r="D73" s="3122" t="s">
        <v>121</v>
      </c>
      <c r="E73" s="1275" t="s">
        <v>2446</v>
      </c>
      <c r="F73" s="1289"/>
      <c r="G73" s="1305"/>
      <c r="H73" s="1409" t="s">
        <v>1318</v>
      </c>
      <c r="I73" s="3137" t="s">
        <v>121</v>
      </c>
      <c r="J73" s="1298" t="s">
        <v>1230</v>
      </c>
      <c r="K73" s="1299"/>
      <c r="L73" s="3065" t="s">
        <v>121</v>
      </c>
      <c r="M73" s="1298" t="s">
        <v>1248</v>
      </c>
      <c r="N73" s="1326"/>
      <c r="O73" s="1299"/>
      <c r="P73" s="1299"/>
      <c r="Q73" s="1299"/>
      <c r="R73" s="1299"/>
      <c r="S73" s="1299"/>
      <c r="T73" s="1299"/>
      <c r="U73" s="1299"/>
      <c r="V73" s="1299"/>
      <c r="W73" s="1299"/>
      <c r="X73" s="1302"/>
      <c r="Y73" s="1295"/>
      <c r="Z73" s="1292"/>
      <c r="AA73" s="1292"/>
      <c r="AB73" s="1293"/>
      <c r="AC73" s="1295"/>
      <c r="AD73" s="1292"/>
      <c r="AE73" s="1292"/>
      <c r="AF73" s="1293"/>
      <c r="AI73" s="3056" t="str">
        <f>"24:jyakuninti_uke_code:" &amp; IF(I73="■",1,IF(L73="■",2,0))</f>
        <v>24:jyakuninti_uke_code:0</v>
      </c>
    </row>
    <row r="74" spans="1:35" ht="18.75" hidden="1" customHeight="1">
      <c r="A74" s="735"/>
      <c r="B74" s="1407"/>
      <c r="C74" s="1303"/>
      <c r="D74" s="3122" t="s">
        <v>121</v>
      </c>
      <c r="E74" s="1275" t="s">
        <v>2444</v>
      </c>
      <c r="F74" s="1289"/>
      <c r="G74" s="1305"/>
      <c r="H74" s="1409" t="s">
        <v>1324</v>
      </c>
      <c r="I74" s="3137" t="s">
        <v>121</v>
      </c>
      <c r="J74" s="1298" t="s">
        <v>1239</v>
      </c>
      <c r="K74" s="1299"/>
      <c r="L74" s="1300"/>
      <c r="M74" s="3065" t="s">
        <v>121</v>
      </c>
      <c r="N74" s="1298" t="s">
        <v>1240</v>
      </c>
      <c r="O74" s="1307"/>
      <c r="P74" s="1299"/>
      <c r="Q74" s="1299"/>
      <c r="R74" s="1299"/>
      <c r="S74" s="1299"/>
      <c r="T74" s="1299"/>
      <c r="U74" s="1299"/>
      <c r="V74" s="1299"/>
      <c r="W74" s="1299"/>
      <c r="X74" s="1302"/>
      <c r="Y74" s="1295"/>
      <c r="Z74" s="1292"/>
      <c r="AA74" s="1292"/>
      <c r="AB74" s="1293"/>
      <c r="AC74" s="1295"/>
      <c r="AD74" s="1292"/>
      <c r="AE74" s="1292"/>
      <c r="AF74" s="1293"/>
      <c r="AI74" s="3056" t="str">
        <f>"24:sougei_code:" &amp; IF(I74="■",1,IF(M74="■",2,0))</f>
        <v>24:sougei_code:0</v>
      </c>
    </row>
    <row r="75" spans="1:35" ht="19.5" hidden="1" customHeight="1">
      <c r="A75" s="735"/>
      <c r="B75" s="1407"/>
      <c r="C75" s="1303"/>
      <c r="D75" s="3122" t="s">
        <v>121</v>
      </c>
      <c r="E75" s="1275" t="s">
        <v>2442</v>
      </c>
      <c r="F75" s="1289"/>
      <c r="G75" s="1305"/>
      <c r="H75" s="1306" t="s">
        <v>1325</v>
      </c>
      <c r="I75" s="3137" t="s">
        <v>121</v>
      </c>
      <c r="J75" s="1298" t="s">
        <v>1230</v>
      </c>
      <c r="K75" s="1298"/>
      <c r="L75" s="3065" t="s">
        <v>121</v>
      </c>
      <c r="M75" s="1298" t="s">
        <v>1248</v>
      </c>
      <c r="N75" s="1298"/>
      <c r="O75" s="1307"/>
      <c r="P75" s="1298"/>
      <c r="Q75" s="1307"/>
      <c r="R75" s="1307"/>
      <c r="S75" s="1307"/>
      <c r="T75" s="1307"/>
      <c r="U75" s="1307"/>
      <c r="V75" s="1307"/>
      <c r="W75" s="1307"/>
      <c r="X75" s="1308"/>
      <c r="Y75" s="1292"/>
      <c r="Z75" s="1292"/>
      <c r="AA75" s="1292"/>
      <c r="AB75" s="1293"/>
      <c r="AC75" s="1295"/>
      <c r="AD75" s="1292"/>
      <c r="AE75" s="1292"/>
      <c r="AF75" s="1293"/>
      <c r="AI75" s="3056" t="str">
        <f>"24:field224:" &amp; IF(I75="■",1,IF(L75="■",2,0))</f>
        <v>24:field224:0</v>
      </c>
    </row>
    <row r="76" spans="1:35" ht="18.75" hidden="1" customHeight="1">
      <c r="A76" s="735"/>
      <c r="B76" s="1407"/>
      <c r="C76" s="1303"/>
      <c r="D76" s="1304"/>
      <c r="E76" s="1275"/>
      <c r="F76" s="1289"/>
      <c r="G76" s="1305"/>
      <c r="H76" s="1409" t="s">
        <v>145</v>
      </c>
      <c r="I76" s="3137" t="s">
        <v>121</v>
      </c>
      <c r="J76" s="1298" t="s">
        <v>1230</v>
      </c>
      <c r="K76" s="1299"/>
      <c r="L76" s="3065" t="s">
        <v>121</v>
      </c>
      <c r="M76" s="1298" t="s">
        <v>1248</v>
      </c>
      <c r="N76" s="1326"/>
      <c r="O76" s="1299"/>
      <c r="P76" s="1299"/>
      <c r="Q76" s="1299"/>
      <c r="R76" s="1299"/>
      <c r="S76" s="1299"/>
      <c r="T76" s="1299"/>
      <c r="U76" s="1299"/>
      <c r="V76" s="1299"/>
      <c r="W76" s="1299"/>
      <c r="X76" s="1302"/>
      <c r="Y76" s="1295"/>
      <c r="Z76" s="1292"/>
      <c r="AA76" s="1292"/>
      <c r="AB76" s="1293"/>
      <c r="AC76" s="1295"/>
      <c r="AD76" s="1292"/>
      <c r="AE76" s="1292"/>
      <c r="AF76" s="1293"/>
      <c r="AI76" s="3056" t="str">
        <f>"24:ryouyoushoku_code:" &amp; IF(I76="■",1,IF(L76="■",2,0))</f>
        <v>24:ryouyoushoku_code:0</v>
      </c>
    </row>
    <row r="77" spans="1:35" ht="18.75" hidden="1" customHeight="1">
      <c r="A77" s="735"/>
      <c r="B77" s="1407"/>
      <c r="C77" s="1303"/>
      <c r="D77" s="1304"/>
      <c r="E77" s="1275"/>
      <c r="F77" s="1289"/>
      <c r="G77" s="1305"/>
      <c r="H77" s="3112" t="s">
        <v>1260</v>
      </c>
      <c r="I77" s="3137" t="s">
        <v>121</v>
      </c>
      <c r="J77" s="1298" t="s">
        <v>1230</v>
      </c>
      <c r="K77" s="1298"/>
      <c r="L77" s="3065" t="s">
        <v>121</v>
      </c>
      <c r="M77" s="1298" t="s">
        <v>1256</v>
      </c>
      <c r="N77" s="1298"/>
      <c r="O77" s="3065" t="s">
        <v>121</v>
      </c>
      <c r="P77" s="1298" t="s">
        <v>1257</v>
      </c>
      <c r="Q77" s="1307"/>
      <c r="R77" s="1307"/>
      <c r="S77" s="1307"/>
      <c r="T77" s="1307"/>
      <c r="U77" s="1307"/>
      <c r="V77" s="1307"/>
      <c r="W77" s="1307"/>
      <c r="X77" s="1308"/>
      <c r="Y77" s="1295"/>
      <c r="Z77" s="1292"/>
      <c r="AA77" s="1292"/>
      <c r="AB77" s="1293"/>
      <c r="AC77" s="1295"/>
      <c r="AD77" s="1292"/>
      <c r="AE77" s="1292"/>
      <c r="AF77" s="1293"/>
      <c r="AI77" s="3056" t="str">
        <f>"24:ninti_senmoncare_code:" &amp; IF(I77="■",1,IF(O77="■",3,IF(L77="■",2,0)))</f>
        <v>24:ninti_senmoncare_code:0</v>
      </c>
    </row>
    <row r="78" spans="1:35" ht="18.75" hidden="1" customHeight="1">
      <c r="A78" s="735"/>
      <c r="B78" s="1407"/>
      <c r="C78" s="1303"/>
      <c r="D78" s="1304"/>
      <c r="E78" s="1275"/>
      <c r="F78" s="1289"/>
      <c r="G78" s="1305"/>
      <c r="H78" s="1313" t="s">
        <v>1265</v>
      </c>
      <c r="I78" s="3137" t="s">
        <v>121</v>
      </c>
      <c r="J78" s="1298" t="s">
        <v>1230</v>
      </c>
      <c r="K78" s="1298"/>
      <c r="L78" s="3065" t="s">
        <v>121</v>
      </c>
      <c r="M78" s="1298" t="s">
        <v>1256</v>
      </c>
      <c r="N78" s="1298"/>
      <c r="O78" s="3065" t="s">
        <v>121</v>
      </c>
      <c r="P78" s="1298" t="s">
        <v>1257</v>
      </c>
      <c r="Q78" s="1307"/>
      <c r="R78" s="1307"/>
      <c r="S78" s="1307"/>
      <c r="T78" s="1307"/>
      <c r="U78" s="1314"/>
      <c r="V78" s="1314"/>
      <c r="W78" s="1314"/>
      <c r="X78" s="1315"/>
      <c r="Y78" s="1295"/>
      <c r="Z78" s="1292"/>
      <c r="AA78" s="1292"/>
      <c r="AB78" s="1293"/>
      <c r="AC78" s="1295"/>
      <c r="AD78" s="1292"/>
      <c r="AE78" s="1292"/>
      <c r="AF78" s="1293"/>
      <c r="AI78" s="3056" t="str">
        <f>"24:field225:" &amp; IF(I78="■",1,IF(L78="■",2,IF(O78="■",3,0)))</f>
        <v>24:field225:0</v>
      </c>
    </row>
    <row r="79" spans="1:35" ht="18.75" hidden="1" customHeight="1">
      <c r="A79" s="735"/>
      <c r="B79" s="1407"/>
      <c r="C79" s="1303"/>
      <c r="D79" s="1304"/>
      <c r="E79" s="1275"/>
      <c r="F79" s="1289"/>
      <c r="G79" s="1305"/>
      <c r="H79" s="1539" t="s">
        <v>2441</v>
      </c>
      <c r="I79" s="3160" t="s">
        <v>121</v>
      </c>
      <c r="J79" s="3161" t="s">
        <v>1230</v>
      </c>
      <c r="K79" s="3161"/>
      <c r="L79" s="3160" t="s">
        <v>121</v>
      </c>
      <c r="M79" s="3161" t="s">
        <v>2439</v>
      </c>
      <c r="N79" s="3161"/>
      <c r="O79" s="3160" t="s">
        <v>121</v>
      </c>
      <c r="P79" s="3161" t="s">
        <v>2438</v>
      </c>
      <c r="Q79" s="3161"/>
      <c r="R79" s="3160" t="s">
        <v>121</v>
      </c>
      <c r="S79" s="3161" t="s">
        <v>2437</v>
      </c>
      <c r="T79" s="3161"/>
      <c r="U79" s="1290"/>
      <c r="V79" s="1290"/>
      <c r="W79" s="1290"/>
      <c r="X79" s="1331"/>
      <c r="Y79" s="1295"/>
      <c r="Z79" s="1292"/>
      <c r="AA79" s="1292"/>
      <c r="AB79" s="1293"/>
      <c r="AC79" s="1295"/>
      <c r="AD79" s="1292"/>
      <c r="AE79" s="1292"/>
      <c r="AF79" s="1293"/>
      <c r="AI79" s="3056" t="str">
        <f>"24:serteikyo_kyoka_code:" &amp; IF(I79="■",1,IF(L79="■",6,IF(O79="■",5,IF(R79="■",7,0))))</f>
        <v>24:serteikyo_kyoka_code:0</v>
      </c>
    </row>
    <row r="80" spans="1:35" ht="18.75" hidden="1" customHeight="1">
      <c r="A80" s="735"/>
      <c r="B80" s="1407"/>
      <c r="C80" s="1303"/>
      <c r="D80" s="1304"/>
      <c r="E80" s="1275"/>
      <c r="F80" s="1289"/>
      <c r="G80" s="1305"/>
      <c r="H80" s="1540"/>
      <c r="I80" s="3160"/>
      <c r="J80" s="3161"/>
      <c r="K80" s="3161"/>
      <c r="L80" s="3160"/>
      <c r="M80" s="3161"/>
      <c r="N80" s="3161"/>
      <c r="O80" s="3160"/>
      <c r="P80" s="3161"/>
      <c r="Q80" s="3161"/>
      <c r="R80" s="3160"/>
      <c r="S80" s="3161"/>
      <c r="T80" s="3161"/>
      <c r="U80" s="1296"/>
      <c r="V80" s="1296"/>
      <c r="W80" s="1296"/>
      <c r="X80" s="1332"/>
      <c r="Y80" s="1295"/>
      <c r="Z80" s="1292"/>
      <c r="AA80" s="1292"/>
      <c r="AB80" s="1293"/>
      <c r="AC80" s="1295"/>
      <c r="AD80" s="1292"/>
      <c r="AE80" s="1292"/>
      <c r="AF80" s="1293"/>
      <c r="AI80" s="3056"/>
    </row>
    <row r="81" spans="1:36" ht="18.75" hidden="1" customHeight="1">
      <c r="A81" s="735"/>
      <c r="B81" s="1407"/>
      <c r="C81" s="1303"/>
      <c r="D81" s="1304"/>
      <c r="E81" s="1275"/>
      <c r="F81" s="1289"/>
      <c r="G81" s="1305"/>
      <c r="H81" s="1539" t="s">
        <v>2508</v>
      </c>
      <c r="I81" s="3160" t="s">
        <v>121</v>
      </c>
      <c r="J81" s="3161" t="s">
        <v>1230</v>
      </c>
      <c r="K81" s="3161"/>
      <c r="L81" s="3160" t="s">
        <v>121</v>
      </c>
      <c r="M81" s="3161" t="s">
        <v>2439</v>
      </c>
      <c r="N81" s="3161"/>
      <c r="O81" s="3160" t="s">
        <v>121</v>
      </c>
      <c r="P81" s="3161" t="s">
        <v>2438</v>
      </c>
      <c r="Q81" s="3161"/>
      <c r="R81" s="3160" t="s">
        <v>121</v>
      </c>
      <c r="S81" s="3161" t="s">
        <v>2437</v>
      </c>
      <c r="T81" s="3161"/>
      <c r="U81" s="1290"/>
      <c r="V81" s="1290"/>
      <c r="W81" s="1290"/>
      <c r="X81" s="1331"/>
      <c r="Y81" s="1295"/>
      <c r="Z81" s="1292"/>
      <c r="AA81" s="1292"/>
      <c r="AB81" s="1293"/>
      <c r="AC81" s="1295"/>
      <c r="AD81" s="1292"/>
      <c r="AE81" s="1292"/>
      <c r="AF81" s="1293"/>
      <c r="AI81" s="3056" t="str">
        <f>"24:serteikyo_kyoka_kuushou_code:" &amp; IF(I81="■",1,IF(L81="■",6,IF(O81="■",5,IF(R81="■",7,0))))</f>
        <v>24:serteikyo_kyoka_kuushou_code:0</v>
      </c>
    </row>
    <row r="82" spans="1:36" ht="18.75" hidden="1" customHeight="1">
      <c r="A82" s="735"/>
      <c r="B82" s="1407"/>
      <c r="C82" s="1303"/>
      <c r="D82" s="1304"/>
      <c r="E82" s="1275"/>
      <c r="F82" s="1289"/>
      <c r="G82" s="1305"/>
      <c r="H82" s="1540"/>
      <c r="I82" s="3160"/>
      <c r="J82" s="3161"/>
      <c r="K82" s="3161"/>
      <c r="L82" s="3160"/>
      <c r="M82" s="3161"/>
      <c r="N82" s="3161"/>
      <c r="O82" s="3160"/>
      <c r="P82" s="3161"/>
      <c r="Q82" s="3161"/>
      <c r="R82" s="3160"/>
      <c r="S82" s="3161"/>
      <c r="T82" s="3161"/>
      <c r="U82" s="1296"/>
      <c r="V82" s="1296"/>
      <c r="W82" s="1296"/>
      <c r="X82" s="1332"/>
      <c r="Y82" s="1295"/>
      <c r="Z82" s="1292"/>
      <c r="AA82" s="1292"/>
      <c r="AB82" s="1293"/>
      <c r="AC82" s="1295"/>
      <c r="AD82" s="1292"/>
      <c r="AE82" s="1292"/>
      <c r="AF82" s="1293"/>
      <c r="AI82" s="3056"/>
    </row>
    <row r="83" spans="1:36" ht="18.75" hidden="1" customHeight="1">
      <c r="A83" s="735"/>
      <c r="B83" s="1407"/>
      <c r="C83" s="1303"/>
      <c r="D83" s="1304"/>
      <c r="E83" s="1275"/>
      <c r="F83" s="1289"/>
      <c r="G83" s="1305"/>
      <c r="H83" s="1539" t="s">
        <v>2390</v>
      </c>
      <c r="I83" s="3160" t="s">
        <v>121</v>
      </c>
      <c r="J83" s="3161" t="s">
        <v>1230</v>
      </c>
      <c r="K83" s="3161"/>
      <c r="L83" s="3160" t="s">
        <v>121</v>
      </c>
      <c r="M83" s="3161" t="s">
        <v>1248</v>
      </c>
      <c r="N83" s="3161"/>
      <c r="O83" s="1290"/>
      <c r="P83" s="1290"/>
      <c r="Q83" s="1290"/>
      <c r="R83" s="1290"/>
      <c r="S83" s="1290"/>
      <c r="T83" s="1290"/>
      <c r="U83" s="1290"/>
      <c r="V83" s="1290"/>
      <c r="W83" s="1290"/>
      <c r="X83" s="1331"/>
      <c r="Y83" s="1295"/>
      <c r="Z83" s="1292"/>
      <c r="AA83" s="1292"/>
      <c r="AB83" s="1293"/>
      <c r="AC83" s="1295"/>
      <c r="AD83" s="1292"/>
      <c r="AE83" s="1292"/>
      <c r="AF83" s="1293"/>
      <c r="AI83" s="3056" t="str">
        <f>"24:field221:" &amp; IF(I83="■",1,IF(L83="■",2,0))</f>
        <v>24:field221:0</v>
      </c>
    </row>
    <row r="84" spans="1:36" ht="18.75" hidden="1" customHeight="1">
      <c r="A84" s="735"/>
      <c r="B84" s="1407"/>
      <c r="C84" s="1303"/>
      <c r="D84" s="1304"/>
      <c r="E84" s="1275"/>
      <c r="F84" s="1289"/>
      <c r="G84" s="1305"/>
      <c r="H84" s="1540"/>
      <c r="I84" s="3160"/>
      <c r="J84" s="3161"/>
      <c r="K84" s="3161"/>
      <c r="L84" s="3160"/>
      <c r="M84" s="3161"/>
      <c r="N84" s="3161"/>
      <c r="O84" s="1296"/>
      <c r="P84" s="1296"/>
      <c r="Q84" s="1296"/>
      <c r="R84" s="1296"/>
      <c r="S84" s="1296"/>
      <c r="T84" s="1296"/>
      <c r="U84" s="1296"/>
      <c r="V84" s="1296"/>
      <c r="W84" s="1296"/>
      <c r="X84" s="1332"/>
      <c r="Y84" s="1295"/>
      <c r="Z84" s="1292"/>
      <c r="AA84" s="1292"/>
      <c r="AB84" s="1293"/>
      <c r="AC84" s="1295"/>
      <c r="AD84" s="1292"/>
      <c r="AE84" s="1292"/>
      <c r="AF84" s="1293"/>
    </row>
    <row r="85" spans="1:36" ht="18.75" hidden="1" customHeight="1">
      <c r="A85" s="736"/>
      <c r="B85" s="1316"/>
      <c r="C85" s="1346"/>
      <c r="D85" s="1348"/>
      <c r="E85" s="1317"/>
      <c r="F85" s="1318"/>
      <c r="G85" s="1361"/>
      <c r="H85" s="3134" t="s">
        <v>2288</v>
      </c>
      <c r="I85" s="3060" t="s">
        <v>121</v>
      </c>
      <c r="J85" s="3130" t="s">
        <v>1230</v>
      </c>
      <c r="K85" s="3130"/>
      <c r="L85" s="3059" t="s">
        <v>121</v>
      </c>
      <c r="M85" s="3130" t="s">
        <v>2287</v>
      </c>
      <c r="N85" s="3133"/>
      <c r="O85" s="3059" t="s">
        <v>121</v>
      </c>
      <c r="P85" s="3132" t="s">
        <v>2286</v>
      </c>
      <c r="Q85" s="3131"/>
      <c r="R85" s="3059" t="s">
        <v>121</v>
      </c>
      <c r="S85" s="3130" t="s">
        <v>2285</v>
      </c>
      <c r="T85" s="3131"/>
      <c r="U85" s="3059" t="s">
        <v>121</v>
      </c>
      <c r="V85" s="3130" t="s">
        <v>2284</v>
      </c>
      <c r="W85" s="3129"/>
      <c r="X85" s="3128"/>
      <c r="Y85" s="1323"/>
      <c r="Z85" s="1323"/>
      <c r="AA85" s="1323"/>
      <c r="AB85" s="1324"/>
      <c r="AC85" s="1322"/>
      <c r="AD85" s="1323"/>
      <c r="AE85" s="1323"/>
      <c r="AF85" s="1324"/>
      <c r="AG85" s="3056"/>
      <c r="AH85" s="3056"/>
      <c r="AI85" s="3056" t="str">
        <f>"24:shoguukaizen_code:"&amp;IF(I85="■",1,IF(L85="■",7,IF(O85="■",8,IF(R85="■",9,IF(U85="■","A",0)))))</f>
        <v>24:shoguukaizen_code:0</v>
      </c>
    </row>
    <row r="86" spans="1:36" ht="18.75" customHeight="1">
      <c r="A86" s="1276"/>
      <c r="B86" s="1405"/>
      <c r="C86" s="1333"/>
      <c r="D86" s="1335"/>
      <c r="E86" s="1272"/>
      <c r="F86" s="1279"/>
      <c r="G86" s="1272"/>
      <c r="H86" s="1408" t="s">
        <v>1226</v>
      </c>
      <c r="I86" s="3137" t="s">
        <v>121</v>
      </c>
      <c r="J86" s="1280" t="s">
        <v>1227</v>
      </c>
      <c r="K86" s="1281"/>
      <c r="L86" s="1282"/>
      <c r="M86" s="3073" t="s">
        <v>121</v>
      </c>
      <c r="N86" s="1280" t="s">
        <v>1228</v>
      </c>
      <c r="O86" s="1365"/>
      <c r="P86" s="1281"/>
      <c r="Q86" s="1281"/>
      <c r="R86" s="1281"/>
      <c r="S86" s="1281"/>
      <c r="T86" s="1281"/>
      <c r="U86" s="1281"/>
      <c r="V86" s="1281"/>
      <c r="W86" s="1281"/>
      <c r="X86" s="1285"/>
      <c r="Y86" s="3138" t="s">
        <v>121</v>
      </c>
      <c r="Z86" s="1270" t="s">
        <v>1229</v>
      </c>
      <c r="AA86" s="1270"/>
      <c r="AB86" s="1286"/>
      <c r="AC86" s="3276"/>
      <c r="AD86" s="3289"/>
      <c r="AE86" s="3289"/>
      <c r="AF86" s="3288"/>
      <c r="AG86" s="3056" t="str">
        <f>"ser_code = '" &amp; IF(A96="■",25,"") &amp; "'"</f>
        <v>ser_code = ''</v>
      </c>
      <c r="AH86" s="3056" t="str">
        <f>"25:jininkbn_code:" &amp; IF(F96="■",1,IF(F97="■",2,0))</f>
        <v>25:jininkbn_code:0</v>
      </c>
      <c r="AI86" s="3056" t="str">
        <f>"25:yakan_kinmu_code:" &amp; IF(I86="■",1,IF(M86="■",6,0))</f>
        <v>25:yakan_kinmu_code:0</v>
      </c>
      <c r="AJ86" s="3056" t="str">
        <f>"25:field203:" &amp; IF(Y86="■",1,IF(Y87="■",2,0))</f>
        <v>25:field203:0</v>
      </c>
    </row>
    <row r="87" spans="1:36" ht="18.75" customHeight="1">
      <c r="A87" s="735"/>
      <c r="B87" s="1407"/>
      <c r="C87" s="1303"/>
      <c r="D87" s="1304"/>
      <c r="E87" s="1275"/>
      <c r="F87" s="1289"/>
      <c r="G87" s="1275"/>
      <c r="H87" s="1541" t="s">
        <v>90</v>
      </c>
      <c r="I87" s="3137" t="s">
        <v>121</v>
      </c>
      <c r="J87" s="1273" t="s">
        <v>1230</v>
      </c>
      <c r="K87" s="1273"/>
      <c r="L87" s="1344"/>
      <c r="M87" s="3122" t="s">
        <v>121</v>
      </c>
      <c r="N87" s="1273" t="s">
        <v>1231</v>
      </c>
      <c r="O87" s="1273"/>
      <c r="P87" s="1344"/>
      <c r="Q87" s="3122" t="s">
        <v>121</v>
      </c>
      <c r="R87" s="1412" t="s">
        <v>1232</v>
      </c>
      <c r="U87" s="3122" t="s">
        <v>121</v>
      </c>
      <c r="V87" s="1412" t="s">
        <v>1233</v>
      </c>
      <c r="X87" s="1294"/>
      <c r="Y87" s="3122" t="s">
        <v>121</v>
      </c>
      <c r="Z87" s="1273" t="s">
        <v>1234</v>
      </c>
      <c r="AA87" s="1292"/>
      <c r="AB87" s="1293"/>
      <c r="AC87" s="3287"/>
      <c r="AD87" s="3286"/>
      <c r="AE87" s="3286"/>
      <c r="AF87" s="3285"/>
      <c r="AG87" s="3056" t="str">
        <f>"25:sisetukbn_code:" &amp; IF(D96="■",1,IF(D97="■",2,0))</f>
        <v>25:sisetukbn_code:0</v>
      </c>
      <c r="AH87" s="3056"/>
      <c r="AI87" s="3056" t="str">
        <f>"25:"&amp;IF(AND(I87="□",M87="□",Q87="□",U87="□",I88="□",M88="□",Q88="□"),"ketu_doctor_code:0",IF(I87="■","ketu_doctor_code:1:ketu_kangos_code:1:ketu_kshoku_code:1:ketu_rryoho_code:1:ketu_sryoho_code:1:ketu_gengo_code:1",
IF(M87="■","ketu_doctor_code:2","ketu_doctor_code:1")
&amp;IF(Q87="■",":ketu_kangos_code:2",":ketu_kangos_code:1")
&amp;IF(U87="■",":ketu_kshoku_code:2",":ketu_kshoku_code:1")
&amp;IF(I88="■",":ketu_rryoho_code:2",":ketu_rryoho_code:1")
&amp;IF(M88="■",":ketu_sryoho_code:2",":ketu_sryoho_code:1")
&amp;IF(Q88="■",":ketu_gengo_code:2",":ketu_gengo_code:1")))</f>
        <v>25:ketu_doctor_code:0</v>
      </c>
      <c r="AJ87" s="3056"/>
    </row>
    <row r="88" spans="1:36" ht="18.75" customHeight="1">
      <c r="A88" s="735"/>
      <c r="B88" s="1407"/>
      <c r="C88" s="1303"/>
      <c r="D88" s="1304"/>
      <c r="E88" s="1275"/>
      <c r="F88" s="1289"/>
      <c r="G88" s="1275"/>
      <c r="H88" s="1542"/>
      <c r="I88" s="3069" t="s">
        <v>121</v>
      </c>
      <c r="J88" s="1296" t="s">
        <v>1235</v>
      </c>
      <c r="K88" s="1403"/>
      <c r="L88" s="1403"/>
      <c r="M88" s="3062" t="s">
        <v>121</v>
      </c>
      <c r="N88" s="1296" t="s">
        <v>1236</v>
      </c>
      <c r="O88" s="1403"/>
      <c r="P88" s="1403"/>
      <c r="Q88" s="3062" t="s">
        <v>121</v>
      </c>
      <c r="R88" s="1296" t="s">
        <v>1291</v>
      </c>
      <c r="S88" s="1403"/>
      <c r="T88" s="1403"/>
      <c r="U88" s="1403"/>
      <c r="V88" s="1403"/>
      <c r="W88" s="1403"/>
      <c r="X88" s="1297"/>
      <c r="Y88" s="1295"/>
      <c r="Z88" s="1292"/>
      <c r="AA88" s="1292"/>
      <c r="AB88" s="1293"/>
      <c r="AC88" s="3287"/>
      <c r="AD88" s="3286"/>
      <c r="AE88" s="3286"/>
      <c r="AF88" s="3285"/>
      <c r="AG88" s="3056"/>
      <c r="AH88" s="3056"/>
      <c r="AI88" s="3056"/>
      <c r="AJ88" s="3056"/>
    </row>
    <row r="89" spans="1:36" ht="18.75" customHeight="1">
      <c r="A89" s="735"/>
      <c r="B89" s="1407"/>
      <c r="C89" s="1303"/>
      <c r="D89" s="1304"/>
      <c r="E89" s="1275"/>
      <c r="F89" s="1289"/>
      <c r="G89" s="1275"/>
      <c r="H89" s="1409" t="s">
        <v>91</v>
      </c>
      <c r="I89" s="3137" t="s">
        <v>121</v>
      </c>
      <c r="J89" s="1298" t="s">
        <v>1239</v>
      </c>
      <c r="K89" s="1299"/>
      <c r="L89" s="1300"/>
      <c r="M89" s="3065" t="s">
        <v>121</v>
      </c>
      <c r="N89" s="1298" t="s">
        <v>1240</v>
      </c>
      <c r="O89" s="1307"/>
      <c r="P89" s="1299"/>
      <c r="Q89" s="1299"/>
      <c r="R89" s="1299"/>
      <c r="S89" s="1299"/>
      <c r="T89" s="1299"/>
      <c r="U89" s="1299"/>
      <c r="V89" s="1299"/>
      <c r="W89" s="1299"/>
      <c r="X89" s="1302"/>
      <c r="Y89" s="1295"/>
      <c r="Z89" s="1292"/>
      <c r="AA89" s="1292"/>
      <c r="AB89" s="1293"/>
      <c r="AC89" s="3287"/>
      <c r="AD89" s="3286"/>
      <c r="AE89" s="3286"/>
      <c r="AF89" s="3285"/>
      <c r="AI89" s="3056" t="str">
        <f>"25:unitcare_code:" &amp; IF(I89="■",1,IF(M89="■",2,0))</f>
        <v>25:unitcare_code:0</v>
      </c>
    </row>
    <row r="90" spans="1:36" s="3056" customFormat="1" ht="18.75" customHeight="1">
      <c r="A90" s="735"/>
      <c r="B90" s="1407"/>
      <c r="C90" s="1287"/>
      <c r="D90" s="1288"/>
      <c r="E90" s="1275"/>
      <c r="F90" s="1289"/>
      <c r="G90" s="1305"/>
      <c r="H90" s="3193" t="s">
        <v>1241</v>
      </c>
      <c r="I90" s="3096" t="s">
        <v>121</v>
      </c>
      <c r="J90" s="3091" t="s">
        <v>1242</v>
      </c>
      <c r="K90" s="3095"/>
      <c r="L90" s="3094"/>
      <c r="M90" s="3093" t="s">
        <v>121</v>
      </c>
      <c r="N90" s="3091" t="s">
        <v>1243</v>
      </c>
      <c r="O90" s="3095"/>
      <c r="P90" s="3192"/>
      <c r="Q90" s="3192"/>
      <c r="R90" s="3192"/>
      <c r="S90" s="3192"/>
      <c r="T90" s="3192"/>
      <c r="U90" s="3192"/>
      <c r="V90" s="3192"/>
      <c r="W90" s="3192"/>
      <c r="X90" s="3191"/>
      <c r="Y90" s="1295"/>
      <c r="Z90" s="1292"/>
      <c r="AA90" s="1292"/>
      <c r="AB90" s="1293"/>
      <c r="AC90" s="3287"/>
      <c r="AD90" s="3286"/>
      <c r="AE90" s="3286"/>
      <c r="AF90" s="3285"/>
      <c r="AI90" s="3056" t="str">
        <f>"25:sintaikousoku_code:" &amp; IF(I90="■",1,IF(M90="■",2,0))</f>
        <v>25:sintaikousoku_code:0</v>
      </c>
    </row>
    <row r="91" spans="1:36" ht="19.5" customHeight="1">
      <c r="A91" s="735"/>
      <c r="B91" s="1407"/>
      <c r="C91" s="1303"/>
      <c r="D91" s="1304"/>
      <c r="E91" s="1275"/>
      <c r="F91" s="1289"/>
      <c r="G91" s="1305"/>
      <c r="H91" s="1306" t="s">
        <v>1244</v>
      </c>
      <c r="I91" s="3137" t="s">
        <v>121</v>
      </c>
      <c r="J91" s="1298" t="s">
        <v>1242</v>
      </c>
      <c r="K91" s="1299"/>
      <c r="L91" s="1300"/>
      <c r="M91" s="3065" t="s">
        <v>121</v>
      </c>
      <c r="N91" s="1298" t="s">
        <v>1245</v>
      </c>
      <c r="O91" s="1298"/>
      <c r="P91" s="1298"/>
      <c r="Q91" s="1307"/>
      <c r="R91" s="1307"/>
      <c r="S91" s="1307"/>
      <c r="T91" s="1307"/>
      <c r="U91" s="1307"/>
      <c r="V91" s="1307"/>
      <c r="W91" s="1307"/>
      <c r="X91" s="1308"/>
      <c r="Y91" s="1292"/>
      <c r="Z91" s="1292"/>
      <c r="AA91" s="1292"/>
      <c r="AB91" s="1293"/>
      <c r="AC91" s="3287"/>
      <c r="AD91" s="3286"/>
      <c r="AE91" s="3286"/>
      <c r="AF91" s="3285"/>
      <c r="AI91" s="3056" t="str">
        <f>"25:field223:" &amp; IF(I91="■",1,IF(M91="■",2,0))</f>
        <v>25:field223:0</v>
      </c>
    </row>
    <row r="92" spans="1:36" ht="19.5" customHeight="1">
      <c r="A92" s="735"/>
      <c r="B92" s="1407"/>
      <c r="C92" s="1303"/>
      <c r="D92" s="1304"/>
      <c r="E92" s="1275"/>
      <c r="F92" s="1289"/>
      <c r="G92" s="1305"/>
      <c r="H92" s="1306" t="s">
        <v>1246</v>
      </c>
      <c r="I92" s="3137" t="s">
        <v>121</v>
      </c>
      <c r="J92" s="1296" t="s">
        <v>1242</v>
      </c>
      <c r="K92" s="1309"/>
      <c r="L92" s="1355"/>
      <c r="M92" s="3062" t="s">
        <v>121</v>
      </c>
      <c r="N92" s="1296" t="s">
        <v>1245</v>
      </c>
      <c r="O92" s="1296"/>
      <c r="P92" s="1296"/>
      <c r="Q92" s="1330"/>
      <c r="R92" s="1330"/>
      <c r="S92" s="1330"/>
      <c r="T92" s="1330"/>
      <c r="U92" s="1330"/>
      <c r="V92" s="1330"/>
      <c r="W92" s="1330"/>
      <c r="X92" s="1356"/>
      <c r="Y92" s="1292"/>
      <c r="Z92" s="1273"/>
      <c r="AA92" s="1292"/>
      <c r="AB92" s="1293"/>
      <c r="AC92" s="3287"/>
      <c r="AD92" s="3286"/>
      <c r="AE92" s="3286"/>
      <c r="AF92" s="3285"/>
      <c r="AI92" s="3056" t="str">
        <f>"25:field232:" &amp; IF(I92="■",1,IF(M92="■",2,0))</f>
        <v>25:field232:0</v>
      </c>
    </row>
    <row r="93" spans="1:36" s="1418" customFormat="1" ht="19.5" customHeight="1">
      <c r="A93" s="625"/>
      <c r="B93" s="1416"/>
      <c r="C93" s="629"/>
      <c r="D93" s="1417"/>
      <c r="E93" s="1420"/>
      <c r="F93" s="1415"/>
      <c r="G93" s="617"/>
      <c r="H93" s="3148" t="s">
        <v>2328</v>
      </c>
      <c r="I93" s="3279" t="s">
        <v>121</v>
      </c>
      <c r="J93" s="3144" t="s">
        <v>2326</v>
      </c>
      <c r="K93" s="3147"/>
      <c r="L93" s="3146"/>
      <c r="M93" s="3278" t="s">
        <v>121</v>
      </c>
      <c r="N93" s="3144" t="s">
        <v>2325</v>
      </c>
      <c r="O93" s="3145"/>
      <c r="P93" s="3144"/>
      <c r="Q93" s="3143"/>
      <c r="R93" s="3143"/>
      <c r="S93" s="3143"/>
      <c r="T93" s="3143"/>
      <c r="U93" s="3143"/>
      <c r="V93" s="3143"/>
      <c r="W93" s="3143"/>
      <c r="X93" s="3142"/>
      <c r="Y93" s="1421"/>
      <c r="Z93" s="2"/>
      <c r="AA93" s="626"/>
      <c r="AB93" s="627"/>
      <c r="AC93" s="3287"/>
      <c r="AD93" s="3286"/>
      <c r="AE93" s="3286"/>
      <c r="AF93" s="3285"/>
      <c r="AI93" s="3056" t="str">
        <f>"25:field242:" &amp; IF(I93="■",1,IF(M93="■",2,0))</f>
        <v>25:field242:0</v>
      </c>
    </row>
    <row r="94" spans="1:36" ht="18.75" customHeight="1">
      <c r="A94" s="735"/>
      <c r="B94" s="1407"/>
      <c r="C94" s="1303"/>
      <c r="D94" s="1304"/>
      <c r="E94" s="1275"/>
      <c r="F94" s="1289"/>
      <c r="G94" s="1275"/>
      <c r="H94" s="1409" t="s">
        <v>140</v>
      </c>
      <c r="I94" s="3137" t="s">
        <v>121</v>
      </c>
      <c r="J94" s="1298" t="s">
        <v>1230</v>
      </c>
      <c r="K94" s="1299"/>
      <c r="L94" s="3065" t="s">
        <v>121</v>
      </c>
      <c r="M94" s="1298" t="s">
        <v>1248</v>
      </c>
      <c r="N94" s="1326"/>
      <c r="O94" s="1299"/>
      <c r="P94" s="1299"/>
      <c r="Q94" s="1299"/>
      <c r="R94" s="1299"/>
      <c r="S94" s="1299"/>
      <c r="T94" s="1299"/>
      <c r="U94" s="1299"/>
      <c r="V94" s="1299"/>
      <c r="W94" s="1299"/>
      <c r="X94" s="1302"/>
      <c r="Y94" s="1295"/>
      <c r="Z94" s="1292"/>
      <c r="AA94" s="1292"/>
      <c r="AB94" s="1293"/>
      <c r="AC94" s="3287"/>
      <c r="AD94" s="3286"/>
      <c r="AE94" s="3286"/>
      <c r="AF94" s="3285"/>
      <c r="AI94" s="3056" t="str">
        <f>"25:yakinhaiti_code:" &amp; IF(I94="■",1,IF(L94="■",2,0))</f>
        <v>25:yakinhaiti_code:0</v>
      </c>
    </row>
    <row r="95" spans="1:36" ht="18.75" customHeight="1">
      <c r="A95" s="735"/>
      <c r="B95" s="1407"/>
      <c r="C95" s="1303"/>
      <c r="D95" s="1304"/>
      <c r="E95" s="1275"/>
      <c r="F95" s="1289"/>
      <c r="G95" s="1275"/>
      <c r="H95" s="1409" t="s">
        <v>1318</v>
      </c>
      <c r="I95" s="3137" t="s">
        <v>121</v>
      </c>
      <c r="J95" s="1298" t="s">
        <v>1230</v>
      </c>
      <c r="K95" s="1299"/>
      <c r="L95" s="3065" t="s">
        <v>121</v>
      </c>
      <c r="M95" s="1298" t="s">
        <v>1248</v>
      </c>
      <c r="N95" s="1326"/>
      <c r="O95" s="1299"/>
      <c r="P95" s="1299"/>
      <c r="Q95" s="1299"/>
      <c r="R95" s="1299"/>
      <c r="S95" s="1299"/>
      <c r="T95" s="1299"/>
      <c r="U95" s="1299"/>
      <c r="V95" s="1299"/>
      <c r="W95" s="1299"/>
      <c r="X95" s="1302"/>
      <c r="Y95" s="1295"/>
      <c r="Z95" s="1292"/>
      <c r="AA95" s="1292"/>
      <c r="AB95" s="1293"/>
      <c r="AC95" s="3287"/>
      <c r="AD95" s="3286"/>
      <c r="AE95" s="3286"/>
      <c r="AF95" s="3285"/>
      <c r="AI95" s="3056" t="str">
        <f>"25:jyakuninti_uke_code:" &amp; IF(I95="■",1,IF(L95="■",2,0))</f>
        <v>25:jyakuninti_uke_code:0</v>
      </c>
    </row>
    <row r="96" spans="1:36" ht="18.75" customHeight="1">
      <c r="A96" s="3069" t="s">
        <v>121</v>
      </c>
      <c r="B96" s="1407">
        <v>25</v>
      </c>
      <c r="C96" s="1303" t="s">
        <v>542</v>
      </c>
      <c r="D96" s="3069" t="s">
        <v>121</v>
      </c>
      <c r="E96" s="1275" t="s">
        <v>2507</v>
      </c>
      <c r="F96" s="3069" t="s">
        <v>121</v>
      </c>
      <c r="G96" s="1275" t="s">
        <v>1254</v>
      </c>
      <c r="H96" s="1409" t="s">
        <v>1255</v>
      </c>
      <c r="I96" s="3137" t="s">
        <v>121</v>
      </c>
      <c r="J96" s="1298" t="s">
        <v>1230</v>
      </c>
      <c r="K96" s="1298"/>
      <c r="L96" s="3062" t="s">
        <v>121</v>
      </c>
      <c r="M96" s="1298" t="s">
        <v>1256</v>
      </c>
      <c r="N96" s="1298"/>
      <c r="O96" s="3065" t="s">
        <v>121</v>
      </c>
      <c r="P96" s="1298" t="s">
        <v>1257</v>
      </c>
      <c r="Q96" s="1307"/>
      <c r="R96" s="1298"/>
      <c r="S96" s="1298"/>
      <c r="T96" s="1298"/>
      <c r="U96" s="1298"/>
      <c r="V96" s="1298"/>
      <c r="W96" s="1298"/>
      <c r="X96" s="1310"/>
      <c r="Y96" s="1295"/>
      <c r="Z96" s="1292"/>
      <c r="AA96" s="1292"/>
      <c r="AB96" s="1293"/>
      <c r="AC96" s="3287"/>
      <c r="AD96" s="3286"/>
      <c r="AE96" s="3286"/>
      <c r="AF96" s="3285"/>
      <c r="AI96" s="3056" t="str">
        <f>"25:zaitaku_hukki_code:" &amp; IF(I96="■",1,IF(L96="■",2,IF(O96="■",3,0)))</f>
        <v>25:zaitaku_hukki_code:0</v>
      </c>
    </row>
    <row r="97" spans="1:36" ht="18.75" customHeight="1">
      <c r="A97" s="735"/>
      <c r="B97" s="1407"/>
      <c r="C97" s="1303"/>
      <c r="D97" s="1304"/>
      <c r="E97" s="1275"/>
      <c r="F97" s="3069" t="s">
        <v>121</v>
      </c>
      <c r="G97" s="1275" t="s">
        <v>1259</v>
      </c>
      <c r="H97" s="1409" t="s">
        <v>1324</v>
      </c>
      <c r="I97" s="3137" t="s">
        <v>121</v>
      </c>
      <c r="J97" s="1298" t="s">
        <v>1239</v>
      </c>
      <c r="K97" s="1299"/>
      <c r="L97" s="1300"/>
      <c r="M97" s="3065" t="s">
        <v>121</v>
      </c>
      <c r="N97" s="1298" t="s">
        <v>1240</v>
      </c>
      <c r="O97" s="1307"/>
      <c r="P97" s="1299"/>
      <c r="Q97" s="1299"/>
      <c r="R97" s="1299"/>
      <c r="S97" s="1299"/>
      <c r="T97" s="1299"/>
      <c r="U97" s="1299"/>
      <c r="V97" s="1299"/>
      <c r="W97" s="1299"/>
      <c r="X97" s="1302"/>
      <c r="Y97" s="1295"/>
      <c r="Z97" s="1292"/>
      <c r="AA97" s="1292"/>
      <c r="AB97" s="1293"/>
      <c r="AC97" s="3287"/>
      <c r="AD97" s="3286"/>
      <c r="AE97" s="3286"/>
      <c r="AF97" s="3285"/>
      <c r="AI97" s="3056" t="str">
        <f>"25:sougei_code:" &amp; IF(I97="■",1,IF(M97="■",2,0))</f>
        <v>25:sougei_code:0</v>
      </c>
    </row>
    <row r="98" spans="1:36" ht="19.5" customHeight="1">
      <c r="A98" s="735"/>
      <c r="B98" s="1407"/>
      <c r="C98" s="1303"/>
      <c r="D98" s="1304"/>
      <c r="E98" s="1275"/>
      <c r="F98" s="1289"/>
      <c r="G98" s="1275"/>
      <c r="H98" s="1306" t="s">
        <v>1325</v>
      </c>
      <c r="I98" s="3137" t="s">
        <v>121</v>
      </c>
      <c r="J98" s="1298" t="s">
        <v>1230</v>
      </c>
      <c r="K98" s="1298"/>
      <c r="L98" s="3065" t="s">
        <v>121</v>
      </c>
      <c r="M98" s="1298" t="s">
        <v>1248</v>
      </c>
      <c r="N98" s="1298"/>
      <c r="O98" s="1307"/>
      <c r="P98" s="1298"/>
      <c r="Q98" s="1307"/>
      <c r="R98" s="1307"/>
      <c r="S98" s="1307"/>
      <c r="T98" s="1307"/>
      <c r="U98" s="1307"/>
      <c r="V98" s="1307"/>
      <c r="W98" s="1307"/>
      <c r="X98" s="1308"/>
      <c r="Y98" s="1292"/>
      <c r="Z98" s="1292"/>
      <c r="AA98" s="1292"/>
      <c r="AB98" s="1293"/>
      <c r="AC98" s="3287"/>
      <c r="AD98" s="3286"/>
      <c r="AE98" s="3286"/>
      <c r="AF98" s="3285"/>
      <c r="AI98" s="3056" t="str">
        <f>"25:field224:" &amp; IF(I98="■",1,IF(L98="■",2,0))</f>
        <v>25:field224:0</v>
      </c>
    </row>
    <row r="99" spans="1:36" ht="18.75" customHeight="1">
      <c r="A99" s="735"/>
      <c r="B99" s="1407"/>
      <c r="C99" s="1303"/>
      <c r="D99" s="1304"/>
      <c r="E99" s="1275"/>
      <c r="F99" s="1289"/>
      <c r="G99" s="1275"/>
      <c r="H99" s="1409" t="s">
        <v>145</v>
      </c>
      <c r="I99" s="3137" t="s">
        <v>121</v>
      </c>
      <c r="J99" s="1298" t="s">
        <v>1230</v>
      </c>
      <c r="K99" s="1299"/>
      <c r="L99" s="3065" t="s">
        <v>121</v>
      </c>
      <c r="M99" s="1298" t="s">
        <v>1248</v>
      </c>
      <c r="N99" s="1326"/>
      <c r="O99" s="1299"/>
      <c r="P99" s="1299"/>
      <c r="Q99" s="1299"/>
      <c r="R99" s="1299"/>
      <c r="S99" s="1299"/>
      <c r="T99" s="1299"/>
      <c r="U99" s="1299"/>
      <c r="V99" s="1299"/>
      <c r="W99" s="1299"/>
      <c r="X99" s="1302"/>
      <c r="Y99" s="1295"/>
      <c r="Z99" s="1292"/>
      <c r="AA99" s="1292"/>
      <c r="AB99" s="1293"/>
      <c r="AC99" s="3287"/>
      <c r="AD99" s="3286"/>
      <c r="AE99" s="3286"/>
      <c r="AF99" s="3285"/>
      <c r="AI99" s="3056" t="str">
        <f>"25:ryouyoushoku_code:" &amp; IF(I99="■",1,IF(L99="■",2,0))</f>
        <v>25:ryouyoushoku_code:0</v>
      </c>
    </row>
    <row r="100" spans="1:36" ht="18.75" customHeight="1">
      <c r="A100" s="735"/>
      <c r="B100" s="1407"/>
      <c r="C100" s="1303"/>
      <c r="D100" s="1304"/>
      <c r="E100" s="1275"/>
      <c r="F100" s="1289"/>
      <c r="G100" s="1275"/>
      <c r="H100" s="1409" t="s">
        <v>1326</v>
      </c>
      <c r="I100" s="3137" t="s">
        <v>121</v>
      </c>
      <c r="J100" s="1298" t="s">
        <v>1230</v>
      </c>
      <c r="K100" s="1298"/>
      <c r="L100" s="3065" t="s">
        <v>121</v>
      </c>
      <c r="M100" s="1298" t="s">
        <v>1256</v>
      </c>
      <c r="N100" s="1298"/>
      <c r="O100" s="3065" t="s">
        <v>121</v>
      </c>
      <c r="P100" s="1298" t="s">
        <v>1257</v>
      </c>
      <c r="Q100" s="1307"/>
      <c r="R100" s="1299"/>
      <c r="S100" s="1299"/>
      <c r="T100" s="1299"/>
      <c r="U100" s="1299"/>
      <c r="V100" s="1299"/>
      <c r="W100" s="1299"/>
      <c r="X100" s="1302"/>
      <c r="Y100" s="1295"/>
      <c r="Z100" s="1292"/>
      <c r="AA100" s="1292"/>
      <c r="AB100" s="1293"/>
      <c r="AC100" s="3287"/>
      <c r="AD100" s="3286"/>
      <c r="AE100" s="3286"/>
      <c r="AF100" s="3285"/>
      <c r="AI100" s="3056" t="str">
        <f>"25:ninti_senmoncare_code:" &amp; IF(I100="■",1,IF(O100="■",3,IF(L100="■",2,0)))</f>
        <v>25:ninti_senmoncare_code:0</v>
      </c>
    </row>
    <row r="101" spans="1:36" ht="18.75" customHeight="1">
      <c r="A101" s="735"/>
      <c r="B101" s="1407"/>
      <c r="C101" s="1303"/>
      <c r="D101" s="1304"/>
      <c r="E101" s="1275"/>
      <c r="F101" s="1289"/>
      <c r="G101" s="1275"/>
      <c r="H101" s="1313" t="s">
        <v>1265</v>
      </c>
      <c r="I101" s="3137" t="s">
        <v>121</v>
      </c>
      <c r="J101" s="1298" t="s">
        <v>1230</v>
      </c>
      <c r="K101" s="1298"/>
      <c r="L101" s="3065" t="s">
        <v>121</v>
      </c>
      <c r="M101" s="1298" t="s">
        <v>1256</v>
      </c>
      <c r="N101" s="1298"/>
      <c r="O101" s="3065" t="s">
        <v>121</v>
      </c>
      <c r="P101" s="1298" t="s">
        <v>1257</v>
      </c>
      <c r="Q101" s="1307"/>
      <c r="R101" s="1307"/>
      <c r="S101" s="1307"/>
      <c r="T101" s="1307"/>
      <c r="U101" s="1314"/>
      <c r="V101" s="1314"/>
      <c r="W101" s="1314"/>
      <c r="X101" s="1315"/>
      <c r="Y101" s="1295"/>
      <c r="Z101" s="1292"/>
      <c r="AA101" s="1292"/>
      <c r="AB101" s="1293"/>
      <c r="AC101" s="3287"/>
      <c r="AD101" s="3286"/>
      <c r="AE101" s="3286"/>
      <c r="AF101" s="3285"/>
      <c r="AI101" s="3056" t="str">
        <f>"25:field225:" &amp; IF(I101="■",1,IF(L101="■",2,IF(O101="■",3,0)))</f>
        <v>25:field225:0</v>
      </c>
    </row>
    <row r="102" spans="1:36" ht="18.75" customHeight="1">
      <c r="A102" s="735"/>
      <c r="B102" s="1407"/>
      <c r="C102" s="1303"/>
      <c r="D102" s="1304"/>
      <c r="E102" s="1275"/>
      <c r="F102" s="1289"/>
      <c r="G102" s="1275"/>
      <c r="H102" s="1312" t="s">
        <v>1266</v>
      </c>
      <c r="I102" s="3137" t="s">
        <v>121</v>
      </c>
      <c r="J102" s="1298" t="s">
        <v>1230</v>
      </c>
      <c r="K102" s="1298"/>
      <c r="L102" s="3065" t="s">
        <v>121</v>
      </c>
      <c r="M102" s="1298" t="s">
        <v>1267</v>
      </c>
      <c r="N102" s="1298"/>
      <c r="O102" s="3065" t="s">
        <v>121</v>
      </c>
      <c r="P102" s="1298" t="s">
        <v>1268</v>
      </c>
      <c r="Q102" s="1326"/>
      <c r="R102" s="3065" t="s">
        <v>121</v>
      </c>
      <c r="S102" s="1298" t="s">
        <v>1269</v>
      </c>
      <c r="T102" s="1298"/>
      <c r="U102" s="1298"/>
      <c r="V102" s="1298"/>
      <c r="W102" s="1298"/>
      <c r="X102" s="1310"/>
      <c r="Y102" s="1295"/>
      <c r="Z102" s="1292"/>
      <c r="AA102" s="1292"/>
      <c r="AB102" s="1293"/>
      <c r="AC102" s="3287"/>
      <c r="AD102" s="3286"/>
      <c r="AE102" s="3286"/>
      <c r="AF102" s="3285"/>
      <c r="AI102" s="3056" t="str">
        <f>"25:serteikyo_kyoka_code:" &amp; IF(I102="■",1,IF(L102="■",6,IF(O102="■",5,IF(R102="■",7,0))))</f>
        <v>25:serteikyo_kyoka_code:0</v>
      </c>
    </row>
    <row r="103" spans="1:36" ht="18.75" customHeight="1">
      <c r="A103" s="735"/>
      <c r="B103" s="1407"/>
      <c r="C103" s="1303"/>
      <c r="D103" s="1304"/>
      <c r="E103" s="1275"/>
      <c r="F103" s="1289"/>
      <c r="G103" s="1275"/>
      <c r="H103" s="1539" t="s">
        <v>2390</v>
      </c>
      <c r="I103" s="3160" t="s">
        <v>121</v>
      </c>
      <c r="J103" s="3161" t="s">
        <v>1230</v>
      </c>
      <c r="K103" s="3161"/>
      <c r="L103" s="3160" t="s">
        <v>121</v>
      </c>
      <c r="M103" s="3161" t="s">
        <v>1248</v>
      </c>
      <c r="N103" s="3161"/>
      <c r="O103" s="1290"/>
      <c r="P103" s="1290"/>
      <c r="Q103" s="1290"/>
      <c r="R103" s="1290"/>
      <c r="S103" s="1290"/>
      <c r="T103" s="1290"/>
      <c r="U103" s="1290"/>
      <c r="V103" s="1290"/>
      <c r="W103" s="1290"/>
      <c r="X103" s="1331"/>
      <c r="Y103" s="1295"/>
      <c r="Z103" s="1292"/>
      <c r="AA103" s="1292"/>
      <c r="AB103" s="1293"/>
      <c r="AC103" s="3287"/>
      <c r="AD103" s="3286"/>
      <c r="AE103" s="3286"/>
      <c r="AF103" s="3285"/>
      <c r="AI103" s="3056" t="str">
        <f>"25:field221:" &amp; IF(I103="■",1,IF(L103="■",2,0))</f>
        <v>25:field221:0</v>
      </c>
    </row>
    <row r="104" spans="1:36" ht="18.75" customHeight="1">
      <c r="A104" s="735"/>
      <c r="B104" s="1407"/>
      <c r="C104" s="1303"/>
      <c r="D104" s="1304"/>
      <c r="E104" s="1275"/>
      <c r="F104" s="1289"/>
      <c r="G104" s="1275"/>
      <c r="H104" s="1540"/>
      <c r="I104" s="3160"/>
      <c r="J104" s="3161"/>
      <c r="K104" s="3161"/>
      <c r="L104" s="3160"/>
      <c r="M104" s="3161"/>
      <c r="N104" s="3161"/>
      <c r="O104" s="1296"/>
      <c r="P104" s="1296"/>
      <c r="Q104" s="1296"/>
      <c r="R104" s="1296"/>
      <c r="S104" s="1296"/>
      <c r="T104" s="1296"/>
      <c r="U104" s="1296"/>
      <c r="V104" s="1296"/>
      <c r="W104" s="1296"/>
      <c r="X104" s="1332"/>
      <c r="Y104" s="1295"/>
      <c r="Z104" s="1292"/>
      <c r="AA104" s="1292"/>
      <c r="AB104" s="1293"/>
      <c r="AC104" s="3287"/>
      <c r="AD104" s="3286"/>
      <c r="AE104" s="3286"/>
      <c r="AF104" s="3285"/>
    </row>
    <row r="105" spans="1:36" ht="18.75" customHeight="1">
      <c r="A105" s="736"/>
      <c r="B105" s="1407"/>
      <c r="C105" s="1346"/>
      <c r="D105" s="1348"/>
      <c r="E105" s="1317"/>
      <c r="F105" s="1318"/>
      <c r="G105" s="1361"/>
      <c r="H105" s="3134" t="s">
        <v>2288</v>
      </c>
      <c r="I105" s="3060" t="s">
        <v>121</v>
      </c>
      <c r="J105" s="3130" t="s">
        <v>1230</v>
      </c>
      <c r="K105" s="3130"/>
      <c r="L105" s="3059" t="s">
        <v>121</v>
      </c>
      <c r="M105" s="3130" t="s">
        <v>2287</v>
      </c>
      <c r="N105" s="3133"/>
      <c r="O105" s="3059" t="s">
        <v>121</v>
      </c>
      <c r="P105" s="3132" t="s">
        <v>2286</v>
      </c>
      <c r="Q105" s="3131"/>
      <c r="R105" s="3059" t="s">
        <v>121</v>
      </c>
      <c r="S105" s="3130" t="s">
        <v>2285</v>
      </c>
      <c r="T105" s="3131"/>
      <c r="U105" s="3059" t="s">
        <v>121</v>
      </c>
      <c r="V105" s="3130" t="s">
        <v>2284</v>
      </c>
      <c r="W105" s="3129"/>
      <c r="X105" s="3128"/>
      <c r="Y105" s="1323"/>
      <c r="Z105" s="1323"/>
      <c r="AA105" s="1323"/>
      <c r="AB105" s="1324"/>
      <c r="AC105" s="3284"/>
      <c r="AD105" s="3283"/>
      <c r="AE105" s="3283"/>
      <c r="AF105" s="3282"/>
      <c r="AG105" s="3056"/>
      <c r="AH105" s="3056"/>
      <c r="AI105" s="3056" t="str">
        <f>"25:shoguukaizen_code:"&amp;IF(I105="■",1,IF(L105="■",7,IF(O105="■",8,IF(R105="■",9,IF(U105="■","A",0)))))</f>
        <v>25:shoguukaizen_code:0</v>
      </c>
    </row>
    <row r="106" spans="1:36" ht="18.75" customHeight="1">
      <c r="A106" s="1276"/>
      <c r="B106" s="1405"/>
      <c r="C106" s="1333"/>
      <c r="D106" s="1335"/>
      <c r="E106" s="1272"/>
      <c r="F106" s="1279"/>
      <c r="G106" s="1272"/>
      <c r="H106" s="1408" t="s">
        <v>1226</v>
      </c>
      <c r="I106" s="3119" t="s">
        <v>121</v>
      </c>
      <c r="J106" s="1280" t="s">
        <v>1227</v>
      </c>
      <c r="K106" s="1281"/>
      <c r="L106" s="1282"/>
      <c r="M106" s="3073" t="s">
        <v>121</v>
      </c>
      <c r="N106" s="1280" t="s">
        <v>1228</v>
      </c>
      <c r="O106" s="1365"/>
      <c r="P106" s="1281"/>
      <c r="Q106" s="1281"/>
      <c r="R106" s="1281"/>
      <c r="S106" s="1281"/>
      <c r="T106" s="1281"/>
      <c r="U106" s="1281"/>
      <c r="V106" s="1281"/>
      <c r="W106" s="1281"/>
      <c r="X106" s="1285"/>
      <c r="Y106" s="3138" t="s">
        <v>121</v>
      </c>
      <c r="Z106" s="1270" t="s">
        <v>1229</v>
      </c>
      <c r="AA106" s="1270"/>
      <c r="AB106" s="1286"/>
      <c r="AC106" s="3276"/>
      <c r="AD106" s="3289"/>
      <c r="AE106" s="3289"/>
      <c r="AF106" s="3288"/>
      <c r="AG106" s="3056" t="str">
        <f>"ser_code = '" &amp; IF(A115="■",25,"") &amp; "'"</f>
        <v>ser_code = ''</v>
      </c>
      <c r="AH106" s="3056" t="str">
        <f>"25:jininkbn_code:" &amp; IF(F115="■",1,IF(F116="■",2,0))</f>
        <v>25:jininkbn_code:0</v>
      </c>
      <c r="AI106" s="3056" t="str">
        <f>"25:yakan_kinmu_code:" &amp; IF(I106="■",1,IF(M106="■",6,0))</f>
        <v>25:yakan_kinmu_code:0</v>
      </c>
      <c r="AJ106" s="3056" t="str">
        <f>"25:field203:" &amp; IF(Y106="■",1,IF(Y107="■",2,0))</f>
        <v>25:field203:0</v>
      </c>
    </row>
    <row r="107" spans="1:36" ht="18.75" customHeight="1">
      <c r="A107" s="735"/>
      <c r="B107" s="1407"/>
      <c r="C107" s="1303"/>
      <c r="D107" s="1304"/>
      <c r="E107" s="1275"/>
      <c r="F107" s="1289"/>
      <c r="G107" s="1275"/>
      <c r="H107" s="1541" t="s">
        <v>90</v>
      </c>
      <c r="I107" s="3137" t="s">
        <v>121</v>
      </c>
      <c r="J107" s="1273" t="s">
        <v>1230</v>
      </c>
      <c r="K107" s="1273"/>
      <c r="L107" s="1344"/>
      <c r="M107" s="3122" t="s">
        <v>121</v>
      </c>
      <c r="N107" s="1273" t="s">
        <v>1231</v>
      </c>
      <c r="O107" s="1273"/>
      <c r="P107" s="1344"/>
      <c r="Q107" s="3122" t="s">
        <v>121</v>
      </c>
      <c r="R107" s="1412" t="s">
        <v>1232</v>
      </c>
      <c r="U107" s="3122" t="s">
        <v>121</v>
      </c>
      <c r="V107" s="1412" t="s">
        <v>1233</v>
      </c>
      <c r="X107" s="1294"/>
      <c r="Y107" s="3122" t="s">
        <v>121</v>
      </c>
      <c r="Z107" s="1273" t="s">
        <v>1234</v>
      </c>
      <c r="AA107" s="1292"/>
      <c r="AB107" s="1293"/>
      <c r="AC107" s="3287"/>
      <c r="AD107" s="3286"/>
      <c r="AE107" s="3286"/>
      <c r="AF107" s="3285"/>
      <c r="AG107" s="3056" t="str">
        <f>"25:sisetukbn_code:"&amp;IF(D115="■",2,0)</f>
        <v>25:sisetukbn_code:0</v>
      </c>
      <c r="AH107" s="3056"/>
      <c r="AI107" s="3056" t="str">
        <f>"25:"&amp;IF(AND(I107="□",M107="□",Q107="□",U107="□",I108="□",M108="□",Q108="□"),"ketu_doctor_code:0",IF(I107="■","ketu_doctor_code:1:ketu_kangos_code:1:ketu_kshoku_code:1:ketu_rryoho_code:1:ketu_sryoho_code:1:ketu_gengo_code:1",
IF(M107="■","ketu_doctor_code:2","ketu_doctor_code:1")
&amp;IF(Q107="■",":ketu_kangos_code:2",":ketu_kangos_code:1")
&amp;IF(U107="■",":ketu_kshoku_code:2",":ketu_kshoku_code:1")
&amp;IF(I108="■",":ketu_rryoho_code:2",":ketu_rryoho_code:1")
&amp;IF(M108="■",":ketu_sryoho_code:2",":ketu_sryoho_code:1")
&amp;IF(Q108="■",":ketu_gengo_code:2",":ketu_gengo_code:1")))</f>
        <v>25:ketu_doctor_code:0</v>
      </c>
      <c r="AJ107" s="3056"/>
    </row>
    <row r="108" spans="1:36" ht="18.75" customHeight="1">
      <c r="A108" s="735"/>
      <c r="B108" s="1407"/>
      <c r="C108" s="1303"/>
      <c r="D108" s="1304"/>
      <c r="E108" s="1275"/>
      <c r="F108" s="1289"/>
      <c r="G108" s="1275"/>
      <c r="H108" s="1542"/>
      <c r="I108" s="3069" t="s">
        <v>121</v>
      </c>
      <c r="J108" s="1296" t="s">
        <v>1235</v>
      </c>
      <c r="K108" s="1403"/>
      <c r="L108" s="1403"/>
      <c r="M108" s="3062" t="s">
        <v>121</v>
      </c>
      <c r="N108" s="1296" t="s">
        <v>1236</v>
      </c>
      <c r="O108" s="1403"/>
      <c r="P108" s="1403"/>
      <c r="Q108" s="3062" t="s">
        <v>121</v>
      </c>
      <c r="R108" s="1296" t="s">
        <v>1291</v>
      </c>
      <c r="S108" s="1403"/>
      <c r="T108" s="1403"/>
      <c r="U108" s="1403"/>
      <c r="V108" s="1403"/>
      <c r="W108" s="1403"/>
      <c r="X108" s="1297"/>
      <c r="Y108" s="1295"/>
      <c r="Z108" s="1292"/>
      <c r="AA108" s="1292"/>
      <c r="AB108" s="1293"/>
      <c r="AC108" s="3287"/>
      <c r="AD108" s="3286"/>
      <c r="AE108" s="3286"/>
      <c r="AF108" s="3285"/>
      <c r="AG108" s="3056"/>
      <c r="AH108" s="3056"/>
      <c r="AI108" s="3056"/>
      <c r="AJ108" s="3056"/>
    </row>
    <row r="109" spans="1:36" ht="18.75" customHeight="1">
      <c r="A109" s="735"/>
      <c r="B109" s="1407"/>
      <c r="C109" s="1303"/>
      <c r="D109" s="1304"/>
      <c r="E109" s="1275"/>
      <c r="F109" s="1289"/>
      <c r="G109" s="1275"/>
      <c r="H109" s="1409" t="s">
        <v>91</v>
      </c>
      <c r="I109" s="3137" t="s">
        <v>121</v>
      </c>
      <c r="J109" s="1298" t="s">
        <v>1239</v>
      </c>
      <c r="K109" s="1299"/>
      <c r="L109" s="1300"/>
      <c r="M109" s="3065" t="s">
        <v>121</v>
      </c>
      <c r="N109" s="1298" t="s">
        <v>1240</v>
      </c>
      <c r="O109" s="1307"/>
      <c r="P109" s="1299"/>
      <c r="Q109" s="1299"/>
      <c r="R109" s="1299"/>
      <c r="S109" s="1299"/>
      <c r="T109" s="1299"/>
      <c r="U109" s="1299"/>
      <c r="V109" s="1299"/>
      <c r="W109" s="1299"/>
      <c r="X109" s="1302"/>
      <c r="Y109" s="1295"/>
      <c r="Z109" s="1292"/>
      <c r="AA109" s="1292"/>
      <c r="AB109" s="1293"/>
      <c r="AC109" s="3287"/>
      <c r="AD109" s="3286"/>
      <c r="AE109" s="3286"/>
      <c r="AF109" s="3285"/>
      <c r="AI109" s="3056" t="str">
        <f>"25:unitcare_code:" &amp; IF(I109="■",1,IF(M109="■",2,0))</f>
        <v>25:unitcare_code:0</v>
      </c>
    </row>
    <row r="110" spans="1:36" s="3056" customFormat="1" ht="18.75" customHeight="1">
      <c r="A110" s="735"/>
      <c r="B110" s="1407"/>
      <c r="C110" s="1287"/>
      <c r="D110" s="1288"/>
      <c r="E110" s="1275"/>
      <c r="F110" s="1289"/>
      <c r="G110" s="1305"/>
      <c r="H110" s="3193" t="s">
        <v>1241</v>
      </c>
      <c r="I110" s="3096" t="s">
        <v>121</v>
      </c>
      <c r="J110" s="3091" t="s">
        <v>1242</v>
      </c>
      <c r="K110" s="3095"/>
      <c r="L110" s="3094"/>
      <c r="M110" s="3093" t="s">
        <v>121</v>
      </c>
      <c r="N110" s="3091" t="s">
        <v>1243</v>
      </c>
      <c r="O110" s="3095"/>
      <c r="P110" s="3192"/>
      <c r="Q110" s="3192"/>
      <c r="R110" s="3192"/>
      <c r="S110" s="3192"/>
      <c r="T110" s="3192"/>
      <c r="U110" s="3192"/>
      <c r="V110" s="3192"/>
      <c r="W110" s="3192"/>
      <c r="X110" s="3191"/>
      <c r="Y110" s="1295"/>
      <c r="Z110" s="1292"/>
      <c r="AA110" s="1292"/>
      <c r="AB110" s="1293"/>
      <c r="AC110" s="3287"/>
      <c r="AD110" s="3286"/>
      <c r="AE110" s="3286"/>
      <c r="AF110" s="3285"/>
      <c r="AI110" s="3056" t="str">
        <f>"25:sintaikousoku_code:" &amp; IF(I110="■",1,IF(M110="■",2,0))</f>
        <v>25:sintaikousoku_code:0</v>
      </c>
    </row>
    <row r="111" spans="1:36" ht="19.5" customHeight="1">
      <c r="A111" s="735"/>
      <c r="B111" s="1407"/>
      <c r="C111" s="1303"/>
      <c r="D111" s="1304"/>
      <c r="E111" s="1275"/>
      <c r="F111" s="1289"/>
      <c r="G111" s="1305"/>
      <c r="H111" s="1306" t="s">
        <v>1244</v>
      </c>
      <c r="I111" s="3137" t="s">
        <v>121</v>
      </c>
      <c r="J111" s="1298" t="s">
        <v>1242</v>
      </c>
      <c r="K111" s="1299"/>
      <c r="L111" s="1300"/>
      <c r="M111" s="3065" t="s">
        <v>121</v>
      </c>
      <c r="N111" s="1298" t="s">
        <v>1245</v>
      </c>
      <c r="O111" s="1298"/>
      <c r="P111" s="1298"/>
      <c r="Q111" s="1307"/>
      <c r="R111" s="1307"/>
      <c r="S111" s="1307"/>
      <c r="T111" s="1307"/>
      <c r="U111" s="1307"/>
      <c r="V111" s="1307"/>
      <c r="W111" s="1307"/>
      <c r="X111" s="1308"/>
      <c r="Y111" s="1292"/>
      <c r="Z111" s="1292"/>
      <c r="AA111" s="1292"/>
      <c r="AB111" s="1293"/>
      <c r="AC111" s="3287"/>
      <c r="AD111" s="3286"/>
      <c r="AE111" s="3286"/>
      <c r="AF111" s="3285"/>
      <c r="AI111" s="3056" t="str">
        <f>"25:field223:" &amp; IF(I111="■",1,IF(M111="■",2,0))</f>
        <v>25:field223:0</v>
      </c>
    </row>
    <row r="112" spans="1:36" ht="19.5" customHeight="1">
      <c r="A112" s="735"/>
      <c r="B112" s="1407"/>
      <c r="C112" s="1303"/>
      <c r="D112" s="1304"/>
      <c r="E112" s="1275"/>
      <c r="F112" s="1289"/>
      <c r="G112" s="1305"/>
      <c r="H112" s="1306" t="s">
        <v>1246</v>
      </c>
      <c r="I112" s="3137" t="s">
        <v>121</v>
      </c>
      <c r="J112" s="1296" t="s">
        <v>1242</v>
      </c>
      <c r="K112" s="1309"/>
      <c r="L112" s="1355"/>
      <c r="M112" s="3062" t="s">
        <v>121</v>
      </c>
      <c r="N112" s="1296" t="s">
        <v>1245</v>
      </c>
      <c r="O112" s="1296"/>
      <c r="P112" s="1296"/>
      <c r="Q112" s="1330"/>
      <c r="R112" s="1330"/>
      <c r="S112" s="1330"/>
      <c r="T112" s="1330"/>
      <c r="U112" s="1330"/>
      <c r="V112" s="1330"/>
      <c r="W112" s="1330"/>
      <c r="X112" s="1356"/>
      <c r="Y112" s="1292"/>
      <c r="Z112" s="1273"/>
      <c r="AA112" s="1292"/>
      <c r="AB112" s="1293"/>
      <c r="AC112" s="3287"/>
      <c r="AD112" s="3286"/>
      <c r="AE112" s="3286"/>
      <c r="AF112" s="3285"/>
      <c r="AI112" s="3056" t="str">
        <f>"25:field232:" &amp; IF(I112="■",1,IF(M112="■",2,0))</f>
        <v>25:field232:0</v>
      </c>
    </row>
    <row r="113" spans="1:36" ht="18.75" customHeight="1">
      <c r="A113" s="735"/>
      <c r="B113" s="1407"/>
      <c r="C113" s="1303"/>
      <c r="D113" s="1304"/>
      <c r="E113" s="1275"/>
      <c r="F113" s="1289"/>
      <c r="G113" s="1275"/>
      <c r="H113" s="1409" t="s">
        <v>140</v>
      </c>
      <c r="I113" s="3137" t="s">
        <v>121</v>
      </c>
      <c r="J113" s="1298" t="s">
        <v>1230</v>
      </c>
      <c r="K113" s="1299"/>
      <c r="L113" s="3065" t="s">
        <v>121</v>
      </c>
      <c r="M113" s="1298" t="s">
        <v>1248</v>
      </c>
      <c r="N113" s="1326"/>
      <c r="O113" s="1299"/>
      <c r="P113" s="1299"/>
      <c r="Q113" s="1299"/>
      <c r="R113" s="1299"/>
      <c r="S113" s="1299"/>
      <c r="T113" s="1299"/>
      <c r="U113" s="1299"/>
      <c r="V113" s="1299"/>
      <c r="W113" s="1299"/>
      <c r="X113" s="1302"/>
      <c r="Y113" s="1295"/>
      <c r="Z113" s="1292"/>
      <c r="AA113" s="1292"/>
      <c r="AB113" s="1293"/>
      <c r="AC113" s="3287"/>
      <c r="AD113" s="3286"/>
      <c r="AE113" s="3286"/>
      <c r="AF113" s="3285"/>
      <c r="AI113" s="3056" t="str">
        <f>"25:yakinhaiti_code:" &amp; IF(I113="■",1,IF(L113="■",2,0))</f>
        <v>25:yakinhaiti_code:0</v>
      </c>
    </row>
    <row r="114" spans="1:36" ht="18.75" customHeight="1">
      <c r="A114" s="735"/>
      <c r="B114" s="1407"/>
      <c r="C114" s="1303"/>
      <c r="D114" s="1304"/>
      <c r="E114" s="1275"/>
      <c r="F114" s="1289"/>
      <c r="G114" s="1275"/>
      <c r="H114" s="1409" t="s">
        <v>1318</v>
      </c>
      <c r="I114" s="3137" t="s">
        <v>121</v>
      </c>
      <c r="J114" s="1298" t="s">
        <v>1230</v>
      </c>
      <c r="K114" s="1299"/>
      <c r="L114" s="3065" t="s">
        <v>121</v>
      </c>
      <c r="M114" s="1298" t="s">
        <v>1248</v>
      </c>
      <c r="N114" s="1326"/>
      <c r="O114" s="1299"/>
      <c r="P114" s="1299"/>
      <c r="Q114" s="1299"/>
      <c r="R114" s="1299"/>
      <c r="S114" s="1299"/>
      <c r="T114" s="1299"/>
      <c r="U114" s="1299"/>
      <c r="V114" s="1299"/>
      <c r="W114" s="1299"/>
      <c r="X114" s="1302"/>
      <c r="Y114" s="1295"/>
      <c r="Z114" s="1292"/>
      <c r="AA114" s="1292"/>
      <c r="AB114" s="1293"/>
      <c r="AC114" s="3287"/>
      <c r="AD114" s="3286"/>
      <c r="AE114" s="3286"/>
      <c r="AF114" s="3285"/>
      <c r="AI114" s="3056" t="str">
        <f>"25:jyakuninti_uke_code:" &amp; IF(I114="■",1,IF(L114="■",2,0))</f>
        <v>25:jyakuninti_uke_code:0</v>
      </c>
    </row>
    <row r="115" spans="1:36" ht="18.75" customHeight="1">
      <c r="A115" s="3069" t="s">
        <v>121</v>
      </c>
      <c r="B115" s="1407">
        <v>25</v>
      </c>
      <c r="C115" s="1303" t="s">
        <v>542</v>
      </c>
      <c r="D115" s="3069" t="s">
        <v>121</v>
      </c>
      <c r="E115" s="1275" t="s">
        <v>1323</v>
      </c>
      <c r="F115" s="3069" t="s">
        <v>121</v>
      </c>
      <c r="G115" s="1275" t="s">
        <v>1254</v>
      </c>
      <c r="H115" s="1409" t="s">
        <v>1255</v>
      </c>
      <c r="I115" s="3137" t="s">
        <v>121</v>
      </c>
      <c r="J115" s="1298" t="s">
        <v>1230</v>
      </c>
      <c r="K115" s="1298"/>
      <c r="L115" s="3062" t="s">
        <v>121</v>
      </c>
      <c r="M115" s="1298" t="s">
        <v>1256</v>
      </c>
      <c r="N115" s="1298"/>
      <c r="O115" s="3065" t="s">
        <v>121</v>
      </c>
      <c r="P115" s="1298" t="s">
        <v>1257</v>
      </c>
      <c r="Q115" s="1307"/>
      <c r="R115" s="1298"/>
      <c r="S115" s="1298"/>
      <c r="T115" s="1298"/>
      <c r="U115" s="1298"/>
      <c r="V115" s="1298"/>
      <c r="W115" s="1298"/>
      <c r="X115" s="1310"/>
      <c r="Y115" s="1295"/>
      <c r="Z115" s="1292"/>
      <c r="AA115" s="1292"/>
      <c r="AB115" s="1293"/>
      <c r="AC115" s="3287"/>
      <c r="AD115" s="3286"/>
      <c r="AE115" s="3286"/>
      <c r="AF115" s="3285"/>
      <c r="AI115" s="3056" t="str">
        <f>"25:zaitaku_hukki_code:" &amp; IF(I115="■",1,IF(L115="■",2,IF(O115="■",3,0)))</f>
        <v>25:zaitaku_hukki_code:0</v>
      </c>
    </row>
    <row r="116" spans="1:36" ht="18.75" customHeight="1">
      <c r="A116" s="735"/>
      <c r="B116" s="1407"/>
      <c r="C116" s="1303"/>
      <c r="D116" s="1304"/>
      <c r="E116" s="1275"/>
      <c r="F116" s="3069" t="s">
        <v>121</v>
      </c>
      <c r="G116" s="1275" t="s">
        <v>1259</v>
      </c>
      <c r="H116" s="1409" t="s">
        <v>1324</v>
      </c>
      <c r="I116" s="3137" t="s">
        <v>121</v>
      </c>
      <c r="J116" s="1298" t="s">
        <v>1239</v>
      </c>
      <c r="K116" s="1299"/>
      <c r="L116" s="1300"/>
      <c r="M116" s="3065" t="s">
        <v>121</v>
      </c>
      <c r="N116" s="1298" t="s">
        <v>1240</v>
      </c>
      <c r="O116" s="1307"/>
      <c r="P116" s="1299"/>
      <c r="Q116" s="1299"/>
      <c r="R116" s="1299"/>
      <c r="S116" s="1299"/>
      <c r="T116" s="1299"/>
      <c r="U116" s="1299"/>
      <c r="V116" s="1299"/>
      <c r="W116" s="1299"/>
      <c r="X116" s="1302"/>
      <c r="Y116" s="1295"/>
      <c r="Z116" s="1292"/>
      <c r="AA116" s="1292"/>
      <c r="AB116" s="1293"/>
      <c r="AC116" s="3287"/>
      <c r="AD116" s="3286"/>
      <c r="AE116" s="3286"/>
      <c r="AF116" s="3285"/>
      <c r="AI116" s="3056" t="str">
        <f>"25:sougei_code:" &amp; IF(I116="■",1,IF(M116="■",2,0))</f>
        <v>25:sougei_code:0</v>
      </c>
    </row>
    <row r="117" spans="1:36" ht="19.5" customHeight="1">
      <c r="A117" s="735"/>
      <c r="B117" s="1407"/>
      <c r="C117" s="1303"/>
      <c r="D117" s="1304"/>
      <c r="E117" s="1275"/>
      <c r="F117" s="1289"/>
      <c r="G117" s="1275"/>
      <c r="H117" s="1306" t="s">
        <v>1325</v>
      </c>
      <c r="I117" s="3137" t="s">
        <v>121</v>
      </c>
      <c r="J117" s="1298" t="s">
        <v>1230</v>
      </c>
      <c r="K117" s="1298"/>
      <c r="L117" s="3065" t="s">
        <v>121</v>
      </c>
      <c r="M117" s="1298" t="s">
        <v>1248</v>
      </c>
      <c r="N117" s="1298"/>
      <c r="O117" s="1307"/>
      <c r="P117" s="1298"/>
      <c r="Q117" s="1307"/>
      <c r="R117" s="1307"/>
      <c r="S117" s="1307"/>
      <c r="T117" s="1307"/>
      <c r="U117" s="1307"/>
      <c r="V117" s="1307"/>
      <c r="W117" s="1307"/>
      <c r="X117" s="1308"/>
      <c r="Y117" s="1292"/>
      <c r="Z117" s="1292"/>
      <c r="AA117" s="1292"/>
      <c r="AB117" s="1293"/>
      <c r="AC117" s="3287"/>
      <c r="AD117" s="3286"/>
      <c r="AE117" s="3286"/>
      <c r="AF117" s="3285"/>
      <c r="AI117" s="3056" t="str">
        <f>"25:field224:" &amp; IF(I117="■",1,IF(L117="■",2,0))</f>
        <v>25:field224:0</v>
      </c>
    </row>
    <row r="118" spans="1:36" ht="18.75" customHeight="1">
      <c r="A118" s="735"/>
      <c r="B118" s="1407"/>
      <c r="C118" s="1303"/>
      <c r="D118" s="1304"/>
      <c r="E118" s="1275"/>
      <c r="F118" s="1289"/>
      <c r="G118" s="1275"/>
      <c r="H118" s="1409" t="s">
        <v>145</v>
      </c>
      <c r="I118" s="3137" t="s">
        <v>121</v>
      </c>
      <c r="J118" s="1298" t="s">
        <v>1230</v>
      </c>
      <c r="K118" s="1299"/>
      <c r="L118" s="3065" t="s">
        <v>121</v>
      </c>
      <c r="M118" s="1298" t="s">
        <v>1248</v>
      </c>
      <c r="N118" s="1326"/>
      <c r="O118" s="1299"/>
      <c r="P118" s="1299"/>
      <c r="Q118" s="1299"/>
      <c r="R118" s="1299"/>
      <c r="S118" s="1299"/>
      <c r="T118" s="1299"/>
      <c r="U118" s="1299"/>
      <c r="V118" s="1299"/>
      <c r="W118" s="1299"/>
      <c r="X118" s="1302"/>
      <c r="Y118" s="1295"/>
      <c r="Z118" s="1292"/>
      <c r="AA118" s="1292"/>
      <c r="AB118" s="1293"/>
      <c r="AC118" s="3287"/>
      <c r="AD118" s="3286"/>
      <c r="AE118" s="3286"/>
      <c r="AF118" s="3285"/>
      <c r="AI118" s="3056" t="str">
        <f>"25:ryouyoushoku_code:" &amp; IF(I118="■",1,IF(L118="■",2,0))</f>
        <v>25:ryouyoushoku_code:0</v>
      </c>
    </row>
    <row r="119" spans="1:36" ht="18.75" customHeight="1">
      <c r="A119" s="735"/>
      <c r="B119" s="1407"/>
      <c r="C119" s="1303"/>
      <c r="D119" s="1304"/>
      <c r="E119" s="1275"/>
      <c r="F119" s="1289"/>
      <c r="G119" s="1275"/>
      <c r="H119" s="1409" t="s">
        <v>1326</v>
      </c>
      <c r="I119" s="3137" t="s">
        <v>121</v>
      </c>
      <c r="J119" s="1298" t="s">
        <v>1230</v>
      </c>
      <c r="K119" s="1298"/>
      <c r="L119" s="3065" t="s">
        <v>121</v>
      </c>
      <c r="M119" s="1298" t="s">
        <v>1256</v>
      </c>
      <c r="N119" s="1298"/>
      <c r="O119" s="3065" t="s">
        <v>121</v>
      </c>
      <c r="P119" s="1298" t="s">
        <v>1257</v>
      </c>
      <c r="Q119" s="1307"/>
      <c r="R119" s="1299"/>
      <c r="S119" s="1299"/>
      <c r="T119" s="1299"/>
      <c r="U119" s="1299"/>
      <c r="V119" s="1299"/>
      <c r="W119" s="1299"/>
      <c r="X119" s="1302"/>
      <c r="Y119" s="1295"/>
      <c r="Z119" s="1292"/>
      <c r="AA119" s="1292"/>
      <c r="AB119" s="1293"/>
      <c r="AC119" s="3287"/>
      <c r="AD119" s="3286"/>
      <c r="AE119" s="3286"/>
      <c r="AF119" s="3285"/>
      <c r="AI119" s="3056" t="str">
        <f>"25:ninti_senmoncare_code:" &amp; IF(I119="■",1,IF(O119="■",3,IF(L119="■",2,0)))</f>
        <v>25:ninti_senmoncare_code:0</v>
      </c>
    </row>
    <row r="120" spans="1:36" ht="18.75" customHeight="1">
      <c r="A120" s="735"/>
      <c r="B120" s="1407"/>
      <c r="C120" s="1303"/>
      <c r="D120" s="1304"/>
      <c r="E120" s="1275"/>
      <c r="F120" s="1289"/>
      <c r="G120" s="1275"/>
      <c r="H120" s="1313" t="s">
        <v>1265</v>
      </c>
      <c r="I120" s="3137" t="s">
        <v>121</v>
      </c>
      <c r="J120" s="1298" t="s">
        <v>1230</v>
      </c>
      <c r="K120" s="1298"/>
      <c r="L120" s="3065" t="s">
        <v>121</v>
      </c>
      <c r="M120" s="1298" t="s">
        <v>1256</v>
      </c>
      <c r="N120" s="1298"/>
      <c r="O120" s="3065" t="s">
        <v>121</v>
      </c>
      <c r="P120" s="1298" t="s">
        <v>1257</v>
      </c>
      <c r="Q120" s="1307"/>
      <c r="R120" s="1307"/>
      <c r="S120" s="1307"/>
      <c r="T120" s="1307"/>
      <c r="U120" s="1314"/>
      <c r="V120" s="1314"/>
      <c r="W120" s="1314"/>
      <c r="X120" s="1315"/>
      <c r="Y120" s="1295"/>
      <c r="Z120" s="1292"/>
      <c r="AA120" s="1292"/>
      <c r="AB120" s="1293"/>
      <c r="AC120" s="3287"/>
      <c r="AD120" s="3286"/>
      <c r="AE120" s="3286"/>
      <c r="AF120" s="3285"/>
      <c r="AI120" s="3056" t="str">
        <f>"25:field225:" &amp; IF(I120="■",1,IF(L120="■",2,IF(O120="■",3,0)))</f>
        <v>25:field225:0</v>
      </c>
    </row>
    <row r="121" spans="1:36" ht="18.75" customHeight="1">
      <c r="A121" s="735"/>
      <c r="B121" s="1407"/>
      <c r="C121" s="1303"/>
      <c r="D121" s="1304"/>
      <c r="E121" s="1275"/>
      <c r="F121" s="1289"/>
      <c r="G121" s="1275"/>
      <c r="H121" s="1312" t="s">
        <v>1266</v>
      </c>
      <c r="I121" s="3137" t="s">
        <v>121</v>
      </c>
      <c r="J121" s="1298" t="s">
        <v>1230</v>
      </c>
      <c r="K121" s="1298"/>
      <c r="L121" s="3065" t="s">
        <v>121</v>
      </c>
      <c r="M121" s="1298" t="s">
        <v>1267</v>
      </c>
      <c r="N121" s="1298"/>
      <c r="O121" s="3065" t="s">
        <v>121</v>
      </c>
      <c r="P121" s="1298" t="s">
        <v>1268</v>
      </c>
      <c r="Q121" s="1326"/>
      <c r="R121" s="3065" t="s">
        <v>121</v>
      </c>
      <c r="S121" s="1298" t="s">
        <v>1269</v>
      </c>
      <c r="T121" s="1298"/>
      <c r="U121" s="1298"/>
      <c r="V121" s="1298"/>
      <c r="W121" s="1298"/>
      <c r="X121" s="1310"/>
      <c r="Y121" s="1295"/>
      <c r="Z121" s="1292"/>
      <c r="AA121" s="1292"/>
      <c r="AB121" s="1293"/>
      <c r="AC121" s="3287"/>
      <c r="AD121" s="3286"/>
      <c r="AE121" s="3286"/>
      <c r="AF121" s="3285"/>
      <c r="AI121" s="3056" t="str">
        <f>"25:serteikyo_kyoka_code:" &amp; IF(I121="■",1,IF(L121="■",6,IF(O121="■",5,IF(R121="■",7,0))))</f>
        <v>25:serteikyo_kyoka_code:0</v>
      </c>
    </row>
    <row r="122" spans="1:36" ht="18.75" customHeight="1">
      <c r="A122" s="735"/>
      <c r="B122" s="1407"/>
      <c r="C122" s="1303"/>
      <c r="D122" s="1304"/>
      <c r="E122" s="1275"/>
      <c r="F122" s="1289"/>
      <c r="G122" s="1275"/>
      <c r="H122" s="1539" t="s">
        <v>2390</v>
      </c>
      <c r="I122" s="3160" t="s">
        <v>121</v>
      </c>
      <c r="J122" s="3161" t="s">
        <v>1230</v>
      </c>
      <c r="K122" s="3161"/>
      <c r="L122" s="3160" t="s">
        <v>121</v>
      </c>
      <c r="M122" s="3161" t="s">
        <v>1248</v>
      </c>
      <c r="N122" s="3161"/>
      <c r="O122" s="1290"/>
      <c r="P122" s="1290"/>
      <c r="Q122" s="1290"/>
      <c r="R122" s="1290"/>
      <c r="S122" s="1290"/>
      <c r="T122" s="1290"/>
      <c r="U122" s="1290"/>
      <c r="V122" s="1290"/>
      <c r="W122" s="1290"/>
      <c r="X122" s="1331"/>
      <c r="Y122" s="1295"/>
      <c r="Z122" s="1292"/>
      <c r="AA122" s="1292"/>
      <c r="AB122" s="1293"/>
      <c r="AC122" s="3287"/>
      <c r="AD122" s="3286"/>
      <c r="AE122" s="3286"/>
      <c r="AF122" s="3285"/>
      <c r="AI122" s="3056" t="str">
        <f>"25:field221:" &amp; IF(I122="■",1,IF(L122="■",2,0))</f>
        <v>25:field221:0</v>
      </c>
    </row>
    <row r="123" spans="1:36" ht="18.75" customHeight="1">
      <c r="A123" s="735"/>
      <c r="B123" s="1407"/>
      <c r="C123" s="1303"/>
      <c r="D123" s="1304"/>
      <c r="E123" s="1275"/>
      <c r="F123" s="1289"/>
      <c r="G123" s="1275"/>
      <c r="H123" s="1540"/>
      <c r="I123" s="3160"/>
      <c r="J123" s="3161"/>
      <c r="K123" s="3161"/>
      <c r="L123" s="3160"/>
      <c r="M123" s="3161"/>
      <c r="N123" s="3161"/>
      <c r="O123" s="1296"/>
      <c r="P123" s="1296"/>
      <c r="Q123" s="1296"/>
      <c r="R123" s="1296"/>
      <c r="S123" s="1296"/>
      <c r="T123" s="1296"/>
      <c r="U123" s="1296"/>
      <c r="V123" s="1296"/>
      <c r="W123" s="1296"/>
      <c r="X123" s="1332"/>
      <c r="Y123" s="1295"/>
      <c r="Z123" s="1292"/>
      <c r="AA123" s="1292"/>
      <c r="AB123" s="1293"/>
      <c r="AC123" s="3287"/>
      <c r="AD123" s="3286"/>
      <c r="AE123" s="3286"/>
      <c r="AF123" s="3285"/>
    </row>
    <row r="124" spans="1:36" ht="18.75" customHeight="1">
      <c r="A124" s="736"/>
      <c r="B124" s="1316"/>
      <c r="C124" s="1346"/>
      <c r="D124" s="1348"/>
      <c r="E124" s="1317"/>
      <c r="F124" s="1318"/>
      <c r="G124" s="1361"/>
      <c r="H124" s="3134" t="s">
        <v>2288</v>
      </c>
      <c r="I124" s="3060" t="s">
        <v>121</v>
      </c>
      <c r="J124" s="3130" t="s">
        <v>1230</v>
      </c>
      <c r="K124" s="3130"/>
      <c r="L124" s="3059" t="s">
        <v>121</v>
      </c>
      <c r="M124" s="3130" t="s">
        <v>2287</v>
      </c>
      <c r="N124" s="3133"/>
      <c r="O124" s="3059" t="s">
        <v>121</v>
      </c>
      <c r="P124" s="3132" t="s">
        <v>2286</v>
      </c>
      <c r="Q124" s="3131"/>
      <c r="R124" s="3059" t="s">
        <v>121</v>
      </c>
      <c r="S124" s="3130" t="s">
        <v>2285</v>
      </c>
      <c r="T124" s="3131"/>
      <c r="U124" s="3059" t="s">
        <v>121</v>
      </c>
      <c r="V124" s="3130" t="s">
        <v>2284</v>
      </c>
      <c r="W124" s="3129"/>
      <c r="X124" s="3128"/>
      <c r="Y124" s="1323"/>
      <c r="Z124" s="1323"/>
      <c r="AA124" s="1323"/>
      <c r="AB124" s="1324"/>
      <c r="AC124" s="3284"/>
      <c r="AD124" s="3283"/>
      <c r="AE124" s="3283"/>
      <c r="AF124" s="3282"/>
      <c r="AG124" s="3056"/>
      <c r="AH124" s="3056"/>
      <c r="AI124" s="3056" t="str">
        <f>"25:shoguukaizen_code:"&amp;IF(I124="■",1,IF(L124="■",7,IF(O124="■",8,IF(R124="■",9,IF(U124="■","A",0)))))</f>
        <v>25:shoguukaizen_code:0</v>
      </c>
    </row>
    <row r="125" spans="1:36" ht="18.75" customHeight="1">
      <c r="A125" s="1276"/>
      <c r="B125" s="1405"/>
      <c r="C125" s="1333"/>
      <c r="D125" s="1335"/>
      <c r="E125" s="1272"/>
      <c r="F125" s="1279"/>
      <c r="G125" s="1272"/>
      <c r="H125" s="1408" t="s">
        <v>1226</v>
      </c>
      <c r="I125" s="3137" t="s">
        <v>121</v>
      </c>
      <c r="J125" s="1280" t="s">
        <v>1227</v>
      </c>
      <c r="K125" s="1281"/>
      <c r="L125" s="1282"/>
      <c r="M125" s="3073" t="s">
        <v>121</v>
      </c>
      <c r="N125" s="1280" t="s">
        <v>1228</v>
      </c>
      <c r="O125" s="1365"/>
      <c r="P125" s="1281"/>
      <c r="Q125" s="1281"/>
      <c r="R125" s="1281"/>
      <c r="S125" s="1281"/>
      <c r="T125" s="1281"/>
      <c r="U125" s="1281"/>
      <c r="V125" s="1281"/>
      <c r="W125" s="1281"/>
      <c r="X125" s="1285"/>
      <c r="Y125" s="3138" t="s">
        <v>121</v>
      </c>
      <c r="Z125" s="1270" t="s">
        <v>1229</v>
      </c>
      <c r="AA125" s="1270"/>
      <c r="AB125" s="1286"/>
      <c r="AC125" s="3276"/>
      <c r="AD125" s="3289"/>
      <c r="AE125" s="3289"/>
      <c r="AF125" s="3288"/>
      <c r="AG125" s="3056" t="str">
        <f>"ser_code = '" &amp; IF(A135="■",25,"") &amp; "'"</f>
        <v>ser_code = ''</v>
      </c>
      <c r="AH125" s="3056"/>
      <c r="AI125" s="3056" t="str">
        <f>"25:yakan_kinmu_code:" &amp; IF(I125="■",1,IF(M125="■",6,0))</f>
        <v>25:yakan_kinmu_code:0</v>
      </c>
      <c r="AJ125" s="3056" t="str">
        <f>"25:field203:" &amp; IF(Y125="■",1,IF(Y126="■",2,0))</f>
        <v>25:field203:0</v>
      </c>
    </row>
    <row r="126" spans="1:36" ht="18.75" customHeight="1">
      <c r="A126" s="735"/>
      <c r="B126" s="1407"/>
      <c r="C126" s="1303"/>
      <c r="D126" s="1304"/>
      <c r="E126" s="1275"/>
      <c r="F126" s="1289"/>
      <c r="G126" s="1275"/>
      <c r="H126" s="1541" t="s">
        <v>90</v>
      </c>
      <c r="I126" s="3137" t="s">
        <v>121</v>
      </c>
      <c r="J126" s="1273" t="s">
        <v>1230</v>
      </c>
      <c r="K126" s="1273"/>
      <c r="L126" s="1344"/>
      <c r="M126" s="3122" t="s">
        <v>121</v>
      </c>
      <c r="N126" s="1273" t="s">
        <v>1231</v>
      </c>
      <c r="O126" s="1273"/>
      <c r="P126" s="1344"/>
      <c r="Q126" s="3122" t="s">
        <v>121</v>
      </c>
      <c r="R126" s="1412" t="s">
        <v>1232</v>
      </c>
      <c r="U126" s="3122" t="s">
        <v>121</v>
      </c>
      <c r="V126" s="1412" t="s">
        <v>1233</v>
      </c>
      <c r="X126" s="1294"/>
      <c r="Y126" s="3122" t="s">
        <v>121</v>
      </c>
      <c r="Z126" s="1273" t="s">
        <v>1234</v>
      </c>
      <c r="AA126" s="1292"/>
      <c r="AB126" s="1293"/>
      <c r="AC126" s="3287"/>
      <c r="AD126" s="3286"/>
      <c r="AE126" s="3286"/>
      <c r="AF126" s="3285"/>
      <c r="AG126" s="3056" t="str">
        <f>"25:sisetukbn_code:" &amp; IF(D135="■",5,IF(D136="■",7,0))</f>
        <v>25:sisetukbn_code:0</v>
      </c>
      <c r="AH126" s="3056"/>
      <c r="AI126" s="3056" t="str">
        <f>"25:"&amp;IF(AND(I126="□",M126="□",Q126="□",U126="□",I127="□",M127="□",Q127="□"),"ketu_doctor_code:0",IF(I126="■","ketu_doctor_code:1:ketu_kangos_code:1:ketu_kshoku_code:1:ketu_rryoho_code:1:ketu_sryoho_code:1:ketu_gengo_code:1",
IF(M126="■","ketu_doctor_code:2","ketu_doctor_code:1")
&amp;IF(Q126="■",":ketu_kangos_code:2",":ketu_kangos_code:1")
&amp;IF(U126="■",":ketu_kshoku_code:2",":ketu_kshoku_code:1")
&amp;IF(I127="■",":ketu_rryoho_code:2",":ketu_rryoho_code:1")
&amp;IF(M127="■",":ketu_sryoho_code:2",":ketu_sryoho_code:1")
&amp;IF(Q127="■",":ketu_gengo_code:2",":ketu_gengo_code:1")))</f>
        <v>25:ketu_doctor_code:0</v>
      </c>
      <c r="AJ126" s="3056"/>
    </row>
    <row r="127" spans="1:36" ht="18.75" customHeight="1">
      <c r="A127" s="735"/>
      <c r="B127" s="1407"/>
      <c r="C127" s="1303"/>
      <c r="D127" s="1304"/>
      <c r="E127" s="1275"/>
      <c r="F127" s="1289"/>
      <c r="G127" s="1275"/>
      <c r="H127" s="1542"/>
      <c r="I127" s="3069" t="s">
        <v>121</v>
      </c>
      <c r="J127" s="1296" t="s">
        <v>1235</v>
      </c>
      <c r="K127" s="1403"/>
      <c r="L127" s="1403"/>
      <c r="M127" s="3062" t="s">
        <v>121</v>
      </c>
      <c r="N127" s="1296" t="s">
        <v>1236</v>
      </c>
      <c r="O127" s="1403"/>
      <c r="P127" s="1403"/>
      <c r="Q127" s="3062" t="s">
        <v>121</v>
      </c>
      <c r="R127" s="1296" t="s">
        <v>1291</v>
      </c>
      <c r="S127" s="1403"/>
      <c r="T127" s="1403"/>
      <c r="U127" s="1403"/>
      <c r="V127" s="1403"/>
      <c r="W127" s="1403"/>
      <c r="X127" s="1297"/>
      <c r="Y127" s="1295"/>
      <c r="Z127" s="1292"/>
      <c r="AA127" s="1292"/>
      <c r="AB127" s="1293"/>
      <c r="AC127" s="3287"/>
      <c r="AD127" s="3286"/>
      <c r="AE127" s="3286"/>
      <c r="AF127" s="3285"/>
      <c r="AG127" s="3056"/>
      <c r="AH127" s="3056"/>
      <c r="AI127" s="3056"/>
      <c r="AJ127" s="3056"/>
    </row>
    <row r="128" spans="1:36" ht="18.75" customHeight="1">
      <c r="A128" s="735"/>
      <c r="B128" s="1407"/>
      <c r="C128" s="1303"/>
      <c r="D128" s="1304"/>
      <c r="E128" s="1275"/>
      <c r="F128" s="1289"/>
      <c r="G128" s="1275"/>
      <c r="H128" s="1409" t="s">
        <v>91</v>
      </c>
      <c r="I128" s="3137" t="s">
        <v>121</v>
      </c>
      <c r="J128" s="1298" t="s">
        <v>1239</v>
      </c>
      <c r="K128" s="1299"/>
      <c r="L128" s="1300"/>
      <c r="M128" s="3065" t="s">
        <v>121</v>
      </c>
      <c r="N128" s="1298" t="s">
        <v>1240</v>
      </c>
      <c r="O128" s="1307"/>
      <c r="P128" s="1299"/>
      <c r="Q128" s="1299"/>
      <c r="R128" s="1299"/>
      <c r="S128" s="1299"/>
      <c r="T128" s="1299"/>
      <c r="U128" s="1299"/>
      <c r="V128" s="1299"/>
      <c r="W128" s="1299"/>
      <c r="X128" s="1302"/>
      <c r="Y128" s="1295"/>
      <c r="Z128" s="1292"/>
      <c r="AA128" s="1292"/>
      <c r="AB128" s="1293"/>
      <c r="AC128" s="3287"/>
      <c r="AD128" s="3286"/>
      <c r="AE128" s="3286"/>
      <c r="AF128" s="3285"/>
      <c r="AG128" s="3056"/>
      <c r="AH128" s="3056"/>
      <c r="AI128" s="3056" t="str">
        <f>"25:unitcare_code:" &amp; IF(I128="■",1,IF(M128="■",2,0))</f>
        <v>25:unitcare_code:0</v>
      </c>
      <c r="AJ128" s="3056"/>
    </row>
    <row r="129" spans="1:35" s="3056" customFormat="1" ht="18.75" customHeight="1">
      <c r="A129" s="735"/>
      <c r="B129" s="1407"/>
      <c r="C129" s="1287"/>
      <c r="D129" s="1288"/>
      <c r="E129" s="1275"/>
      <c r="F129" s="1289"/>
      <c r="G129" s="1305"/>
      <c r="H129" s="3193" t="s">
        <v>1241</v>
      </c>
      <c r="I129" s="3096" t="s">
        <v>121</v>
      </c>
      <c r="J129" s="3091" t="s">
        <v>1242</v>
      </c>
      <c r="K129" s="3095"/>
      <c r="L129" s="3094"/>
      <c r="M129" s="3093" t="s">
        <v>121</v>
      </c>
      <c r="N129" s="3091" t="s">
        <v>1243</v>
      </c>
      <c r="O129" s="3095"/>
      <c r="P129" s="3192"/>
      <c r="Q129" s="3192"/>
      <c r="R129" s="3192"/>
      <c r="S129" s="3192"/>
      <c r="T129" s="3192"/>
      <c r="U129" s="3192"/>
      <c r="V129" s="3192"/>
      <c r="W129" s="3192"/>
      <c r="X129" s="3191"/>
      <c r="Y129" s="1295"/>
      <c r="Z129" s="1292"/>
      <c r="AA129" s="1292"/>
      <c r="AB129" s="1293"/>
      <c r="AC129" s="3287"/>
      <c r="AD129" s="3286"/>
      <c r="AE129" s="3286"/>
      <c r="AF129" s="3285"/>
      <c r="AI129" s="3056" t="str">
        <f>"25:sintaikousoku_code:" &amp; IF(I129="■",1,IF(M129="■",2,0))</f>
        <v>25:sintaikousoku_code:0</v>
      </c>
    </row>
    <row r="130" spans="1:35" ht="19.5" customHeight="1">
      <c r="A130" s="735"/>
      <c r="B130" s="1407"/>
      <c r="C130" s="1303"/>
      <c r="D130" s="1304"/>
      <c r="E130" s="1275"/>
      <c r="F130" s="1289"/>
      <c r="G130" s="1305"/>
      <c r="H130" s="1306" t="s">
        <v>1244</v>
      </c>
      <c r="I130" s="3137" t="s">
        <v>121</v>
      </c>
      <c r="J130" s="1298" t="s">
        <v>1242</v>
      </c>
      <c r="K130" s="1299"/>
      <c r="L130" s="1300"/>
      <c r="M130" s="3065" t="s">
        <v>121</v>
      </c>
      <c r="N130" s="1298" t="s">
        <v>1245</v>
      </c>
      <c r="O130" s="1298"/>
      <c r="P130" s="1298"/>
      <c r="Q130" s="1307"/>
      <c r="R130" s="1307"/>
      <c r="S130" s="1307"/>
      <c r="T130" s="1307"/>
      <c r="U130" s="1307"/>
      <c r="V130" s="1307"/>
      <c r="W130" s="1307"/>
      <c r="X130" s="1308"/>
      <c r="Y130" s="1292"/>
      <c r="Z130" s="1292"/>
      <c r="AA130" s="1292"/>
      <c r="AB130" s="1293"/>
      <c r="AC130" s="3287"/>
      <c r="AD130" s="3286"/>
      <c r="AE130" s="3286"/>
      <c r="AF130" s="3285"/>
      <c r="AI130" s="3056" t="str">
        <f>"25:field223:" &amp; IF(I130="■",1,IF(M130="■",2,0))</f>
        <v>25:field223:0</v>
      </c>
    </row>
    <row r="131" spans="1:35" ht="19.5" customHeight="1">
      <c r="A131" s="735"/>
      <c r="B131" s="1407"/>
      <c r="C131" s="1303"/>
      <c r="D131" s="1304"/>
      <c r="E131" s="1275"/>
      <c r="F131" s="1289"/>
      <c r="G131" s="1305"/>
      <c r="H131" s="1306" t="s">
        <v>1246</v>
      </c>
      <c r="I131" s="3137" t="s">
        <v>121</v>
      </c>
      <c r="J131" s="1296" t="s">
        <v>1242</v>
      </c>
      <c r="K131" s="1309"/>
      <c r="L131" s="1355"/>
      <c r="M131" s="3062" t="s">
        <v>121</v>
      </c>
      <c r="N131" s="1296" t="s">
        <v>1245</v>
      </c>
      <c r="O131" s="1296"/>
      <c r="P131" s="1296"/>
      <c r="Q131" s="1330"/>
      <c r="R131" s="1330"/>
      <c r="S131" s="1330"/>
      <c r="T131" s="1330"/>
      <c r="U131" s="1330"/>
      <c r="V131" s="1330"/>
      <c r="W131" s="1330"/>
      <c r="X131" s="1356"/>
      <c r="Y131" s="1292"/>
      <c r="Z131" s="1273"/>
      <c r="AA131" s="1292"/>
      <c r="AB131" s="1293"/>
      <c r="AC131" s="3287"/>
      <c r="AD131" s="3286"/>
      <c r="AE131" s="3286"/>
      <c r="AF131" s="3285"/>
      <c r="AI131" s="3056" t="str">
        <f>"25:field232:" &amp; IF(I131="■",1,IF(M131="■",2,0))</f>
        <v>25:field232:0</v>
      </c>
    </row>
    <row r="132" spans="1:35" s="1418" customFormat="1" ht="19.5" customHeight="1">
      <c r="A132" s="625"/>
      <c r="B132" s="1416"/>
      <c r="C132" s="629"/>
      <c r="D132" s="1417"/>
      <c r="E132" s="1420"/>
      <c r="F132" s="1415"/>
      <c r="G132" s="617"/>
      <c r="H132" s="3148" t="s">
        <v>2328</v>
      </c>
      <c r="I132" s="3279" t="s">
        <v>121</v>
      </c>
      <c r="J132" s="3144" t="s">
        <v>2326</v>
      </c>
      <c r="K132" s="3147"/>
      <c r="L132" s="3146"/>
      <c r="M132" s="3278" t="s">
        <v>121</v>
      </c>
      <c r="N132" s="3144" t="s">
        <v>2325</v>
      </c>
      <c r="O132" s="3145"/>
      <c r="P132" s="3144"/>
      <c r="Q132" s="3143"/>
      <c r="R132" s="3143"/>
      <c r="S132" s="3143"/>
      <c r="T132" s="3143"/>
      <c r="U132" s="3143"/>
      <c r="V132" s="3143"/>
      <c r="W132" s="3143"/>
      <c r="X132" s="3142"/>
      <c r="Y132" s="1421"/>
      <c r="Z132" s="2"/>
      <c r="AA132" s="626"/>
      <c r="AB132" s="627"/>
      <c r="AC132" s="3287"/>
      <c r="AD132" s="3286"/>
      <c r="AE132" s="3286"/>
      <c r="AF132" s="3285"/>
      <c r="AI132" s="3056" t="str">
        <f>"25:field242:" &amp; IF(I132="■",1,IF(M132="■",2,0))</f>
        <v>25:field242:0</v>
      </c>
    </row>
    <row r="133" spans="1:35" ht="18.75" customHeight="1">
      <c r="A133" s="735"/>
      <c r="B133" s="1407"/>
      <c r="C133" s="1303"/>
      <c r="D133" s="1304"/>
      <c r="E133" s="1275"/>
      <c r="F133" s="1289"/>
      <c r="G133" s="1275"/>
      <c r="H133" s="1409" t="s">
        <v>140</v>
      </c>
      <c r="I133" s="3137" t="s">
        <v>121</v>
      </c>
      <c r="J133" s="1298" t="s">
        <v>1230</v>
      </c>
      <c r="K133" s="1299"/>
      <c r="L133" s="3065" t="s">
        <v>121</v>
      </c>
      <c r="M133" s="1298" t="s">
        <v>1248</v>
      </c>
      <c r="N133" s="1326"/>
      <c r="O133" s="1307"/>
      <c r="P133" s="1307"/>
      <c r="Q133" s="1307"/>
      <c r="R133" s="1307"/>
      <c r="S133" s="1307"/>
      <c r="T133" s="1307"/>
      <c r="U133" s="1307"/>
      <c r="V133" s="1307"/>
      <c r="W133" s="1307"/>
      <c r="X133" s="1308"/>
      <c r="Y133" s="1295"/>
      <c r="Z133" s="1292"/>
      <c r="AA133" s="1292"/>
      <c r="AB133" s="1293"/>
      <c r="AC133" s="3287"/>
      <c r="AD133" s="3286"/>
      <c r="AE133" s="3286"/>
      <c r="AF133" s="3285"/>
      <c r="AI133" s="3056" t="str">
        <f>"25:yakinhaiti_code:" &amp; IF(I133="■",1,IF(L133="■",2,0))</f>
        <v>25:yakinhaiti_code:0</v>
      </c>
    </row>
    <row r="134" spans="1:35" ht="18.75" customHeight="1">
      <c r="A134" s="735"/>
      <c r="B134" s="1407"/>
      <c r="C134" s="1303"/>
      <c r="D134" s="1304"/>
      <c r="E134" s="1275"/>
      <c r="F134" s="1289"/>
      <c r="G134" s="1275"/>
      <c r="H134" s="1409" t="s">
        <v>1318</v>
      </c>
      <c r="I134" s="3137" t="s">
        <v>121</v>
      </c>
      <c r="J134" s="1298" t="s">
        <v>1230</v>
      </c>
      <c r="K134" s="1299"/>
      <c r="L134" s="3065" t="s">
        <v>121</v>
      </c>
      <c r="M134" s="1298" t="s">
        <v>1248</v>
      </c>
      <c r="N134" s="1326"/>
      <c r="O134" s="1307"/>
      <c r="P134" s="1307"/>
      <c r="Q134" s="1307"/>
      <c r="R134" s="1307"/>
      <c r="S134" s="1307"/>
      <c r="T134" s="1307"/>
      <c r="U134" s="1307"/>
      <c r="V134" s="1307"/>
      <c r="W134" s="1307"/>
      <c r="X134" s="1308"/>
      <c r="Y134" s="1295"/>
      <c r="Z134" s="1292"/>
      <c r="AA134" s="1292"/>
      <c r="AB134" s="1293"/>
      <c r="AC134" s="3287"/>
      <c r="AD134" s="3286"/>
      <c r="AE134" s="3286"/>
      <c r="AF134" s="3285"/>
      <c r="AI134" s="3056" t="str">
        <f>"25:jyakuninti_uke_code:" &amp; IF(I134="■",1,IF(L134="■",2,0))</f>
        <v>25:jyakuninti_uke_code:0</v>
      </c>
    </row>
    <row r="135" spans="1:35" ht="18.75" customHeight="1">
      <c r="A135" s="3069" t="s">
        <v>121</v>
      </c>
      <c r="B135" s="1407">
        <v>25</v>
      </c>
      <c r="C135" s="1303" t="s">
        <v>542</v>
      </c>
      <c r="D135" s="3069" t="s">
        <v>121</v>
      </c>
      <c r="E135" s="1275" t="s">
        <v>1331</v>
      </c>
      <c r="F135" s="1289"/>
      <c r="G135" s="1275"/>
      <c r="H135" s="1409" t="s">
        <v>1324</v>
      </c>
      <c r="I135" s="3137" t="s">
        <v>121</v>
      </c>
      <c r="J135" s="1298" t="s">
        <v>1239</v>
      </c>
      <c r="K135" s="1299"/>
      <c r="L135" s="1300"/>
      <c r="M135" s="3065" t="s">
        <v>121</v>
      </c>
      <c r="N135" s="1298" t="s">
        <v>1240</v>
      </c>
      <c r="O135" s="1307"/>
      <c r="P135" s="1307"/>
      <c r="Q135" s="1307"/>
      <c r="R135" s="1307"/>
      <c r="S135" s="1307"/>
      <c r="T135" s="1307"/>
      <c r="U135" s="1307"/>
      <c r="V135" s="1307"/>
      <c r="W135" s="1307"/>
      <c r="X135" s="1308"/>
      <c r="Y135" s="1295"/>
      <c r="Z135" s="1292"/>
      <c r="AA135" s="1292"/>
      <c r="AB135" s="1293"/>
      <c r="AC135" s="3287"/>
      <c r="AD135" s="3286"/>
      <c r="AE135" s="3286"/>
      <c r="AF135" s="3285"/>
      <c r="AI135" s="3056" t="str">
        <f>"25:sougei_code:" &amp; IF(I135="■",1,IF(M135="■",2,0))</f>
        <v>25:sougei_code:0</v>
      </c>
    </row>
    <row r="136" spans="1:35" ht="18.75" customHeight="1">
      <c r="A136" s="735"/>
      <c r="B136" s="1407"/>
      <c r="C136" s="1303"/>
      <c r="D136" s="3069" t="s">
        <v>121</v>
      </c>
      <c r="E136" s="1275" t="s">
        <v>1333</v>
      </c>
      <c r="F136" s="1289"/>
      <c r="G136" s="1275"/>
      <c r="H136" s="1409" t="s">
        <v>1335</v>
      </c>
      <c r="I136" s="3137" t="s">
        <v>121</v>
      </c>
      <c r="J136" s="1298" t="s">
        <v>1273</v>
      </c>
      <c r="K136" s="1307"/>
      <c r="L136" s="1307"/>
      <c r="M136" s="1307"/>
      <c r="N136" s="1307"/>
      <c r="O136" s="1307"/>
      <c r="P136" s="3065" t="s">
        <v>121</v>
      </c>
      <c r="Q136" s="1298" t="s">
        <v>1274</v>
      </c>
      <c r="R136" s="1307"/>
      <c r="S136" s="1307"/>
      <c r="T136" s="1307"/>
      <c r="U136" s="1307"/>
      <c r="V136" s="1307"/>
      <c r="W136" s="1307"/>
      <c r="X136" s="1308"/>
      <c r="Y136" s="1295"/>
      <c r="Z136" s="1292"/>
      <c r="AA136" s="1292"/>
      <c r="AB136" s="1293"/>
      <c r="AC136" s="3287"/>
      <c r="AD136" s="3286"/>
      <c r="AE136" s="3286"/>
      <c r="AF136" s="3285"/>
      <c r="AI136" s="3056" t="str">
        <f>"25:" &amp; IF(AND(I136="□",P136="□"),"tokusin_jyusho_code:0:tokusin_yakuzai_code:0",IF(I136="■","tokusin_jyusho_code:2","tokusin_jyusho_code:1")
&amp;IF(P136="■",":tokusin_yakuzai_code:2",":tokusin_yakuzai_code:1"))</f>
        <v>25:tokusin_jyusho_code:0:tokusin_yakuzai_code:0</v>
      </c>
    </row>
    <row r="137" spans="1:35" ht="18.75" customHeight="1">
      <c r="A137" s="735"/>
      <c r="B137" s="1407"/>
      <c r="C137" s="1303"/>
      <c r="D137" s="1304"/>
      <c r="E137" s="1275"/>
      <c r="F137" s="1289"/>
      <c r="G137" s="1275"/>
      <c r="H137" s="1409" t="s">
        <v>1337</v>
      </c>
      <c r="I137" s="3137" t="s">
        <v>121</v>
      </c>
      <c r="J137" s="1298" t="s">
        <v>1230</v>
      </c>
      <c r="K137" s="1299"/>
      <c r="L137" s="3065" t="s">
        <v>121</v>
      </c>
      <c r="M137" s="1298" t="s">
        <v>1248</v>
      </c>
      <c r="N137" s="1326"/>
      <c r="O137" s="1326"/>
      <c r="P137" s="1326"/>
      <c r="Q137" s="1326"/>
      <c r="R137" s="1326"/>
      <c r="S137" s="1326"/>
      <c r="T137" s="1326"/>
      <c r="U137" s="1326"/>
      <c r="V137" s="1326"/>
      <c r="W137" s="1326"/>
      <c r="X137" s="1327"/>
      <c r="Y137" s="1295"/>
      <c r="Z137" s="1292"/>
      <c r="AA137" s="1292"/>
      <c r="AB137" s="1293"/>
      <c r="AC137" s="3287"/>
      <c r="AD137" s="3286"/>
      <c r="AE137" s="3286"/>
      <c r="AF137" s="3285"/>
      <c r="AI137" s="3056" t="str">
        <f>"25:field198:" &amp; IF(I137="■",1,IF(L137="■",2,0))</f>
        <v>25:field198:0</v>
      </c>
    </row>
    <row r="138" spans="1:35" ht="18.75" customHeight="1">
      <c r="A138" s="735"/>
      <c r="B138" s="1407"/>
      <c r="C138" s="1303"/>
      <c r="D138" s="1304"/>
      <c r="E138" s="1275"/>
      <c r="F138" s="1289"/>
      <c r="G138" s="1275"/>
      <c r="H138" s="1409" t="s">
        <v>1279</v>
      </c>
      <c r="I138" s="3137" t="s">
        <v>121</v>
      </c>
      <c r="J138" s="1298" t="s">
        <v>1230</v>
      </c>
      <c r="K138" s="1299"/>
      <c r="L138" s="3065" t="s">
        <v>121</v>
      </c>
      <c r="M138" s="1298" t="s">
        <v>1248</v>
      </c>
      <c r="N138" s="1326"/>
      <c r="O138" s="1326"/>
      <c r="P138" s="1326"/>
      <c r="Q138" s="1326"/>
      <c r="R138" s="1326"/>
      <c r="S138" s="1326"/>
      <c r="T138" s="1326"/>
      <c r="U138" s="1326"/>
      <c r="V138" s="1326"/>
      <c r="W138" s="1326"/>
      <c r="X138" s="1327"/>
      <c r="Y138" s="1295"/>
      <c r="Z138" s="1292"/>
      <c r="AA138" s="1292"/>
      <c r="AB138" s="1293"/>
      <c r="AC138" s="3287"/>
      <c r="AD138" s="3286"/>
      <c r="AE138" s="3286"/>
      <c r="AF138" s="3285"/>
      <c r="AI138" s="3056" t="str">
        <f>"25:field199:" &amp; IF(I138="■",1,IF(L138="■",2,0))</f>
        <v>25:field199:0</v>
      </c>
    </row>
    <row r="139" spans="1:35" ht="19.5" customHeight="1">
      <c r="A139" s="735"/>
      <c r="B139" s="1407"/>
      <c r="C139" s="1303"/>
      <c r="D139" s="1304"/>
      <c r="E139" s="1275"/>
      <c r="F139" s="1289"/>
      <c r="G139" s="1305"/>
      <c r="H139" s="1306" t="s">
        <v>1325</v>
      </c>
      <c r="I139" s="3137" t="s">
        <v>121</v>
      </c>
      <c r="J139" s="1298" t="s">
        <v>1230</v>
      </c>
      <c r="K139" s="1298"/>
      <c r="L139" s="3065" t="s">
        <v>121</v>
      </c>
      <c r="M139" s="1298" t="s">
        <v>1248</v>
      </c>
      <c r="N139" s="1298"/>
      <c r="O139" s="1307"/>
      <c r="P139" s="1298"/>
      <c r="Q139" s="1307"/>
      <c r="R139" s="1307"/>
      <c r="S139" s="1307"/>
      <c r="T139" s="1307"/>
      <c r="U139" s="1307"/>
      <c r="V139" s="1307"/>
      <c r="W139" s="1307"/>
      <c r="X139" s="1308"/>
      <c r="Y139" s="1292"/>
      <c r="Z139" s="1292"/>
      <c r="AA139" s="1292"/>
      <c r="AB139" s="1293"/>
      <c r="AC139" s="3287"/>
      <c r="AD139" s="3286"/>
      <c r="AE139" s="3286"/>
      <c r="AF139" s="3285"/>
      <c r="AI139" s="3056" t="str">
        <f>"25:field224:" &amp; IF(I139="■",1,IF(L139="■",2,0))</f>
        <v>25:field224:0</v>
      </c>
    </row>
    <row r="140" spans="1:35" ht="18.75" customHeight="1">
      <c r="A140" s="735"/>
      <c r="B140" s="1407"/>
      <c r="C140" s="1303"/>
      <c r="D140" s="1304"/>
      <c r="E140" s="1275"/>
      <c r="F140" s="1289"/>
      <c r="G140" s="1275"/>
      <c r="H140" s="1409" t="s">
        <v>145</v>
      </c>
      <c r="I140" s="3137" t="s">
        <v>121</v>
      </c>
      <c r="J140" s="1298" t="s">
        <v>1230</v>
      </c>
      <c r="K140" s="1299"/>
      <c r="L140" s="3065" t="s">
        <v>121</v>
      </c>
      <c r="M140" s="1298" t="s">
        <v>1248</v>
      </c>
      <c r="N140" s="1326"/>
      <c r="O140" s="1307"/>
      <c r="P140" s="1307"/>
      <c r="Q140" s="1307"/>
      <c r="R140" s="1307"/>
      <c r="S140" s="1307"/>
      <c r="T140" s="1307"/>
      <c r="U140" s="1307"/>
      <c r="V140" s="1307"/>
      <c r="W140" s="1307"/>
      <c r="X140" s="1308"/>
      <c r="Y140" s="1295"/>
      <c r="Z140" s="1292"/>
      <c r="AA140" s="1292"/>
      <c r="AB140" s="1293"/>
      <c r="AC140" s="3287"/>
      <c r="AD140" s="3286"/>
      <c r="AE140" s="3286"/>
      <c r="AF140" s="3285"/>
      <c r="AI140" s="3056" t="str">
        <f>"25:ryouyoushoku_code:" &amp; IF(I140="■",1,IF(L140="■",2,0))</f>
        <v>25:ryouyoushoku_code:0</v>
      </c>
    </row>
    <row r="141" spans="1:35" ht="18.75" customHeight="1">
      <c r="A141" s="735"/>
      <c r="B141" s="1407"/>
      <c r="C141" s="1303"/>
      <c r="D141" s="1304"/>
      <c r="E141" s="1275"/>
      <c r="F141" s="1289"/>
      <c r="G141" s="1275"/>
      <c r="H141" s="1409" t="s">
        <v>1326</v>
      </c>
      <c r="I141" s="3137" t="s">
        <v>121</v>
      </c>
      <c r="J141" s="1298" t="s">
        <v>1230</v>
      </c>
      <c r="K141" s="1298"/>
      <c r="L141" s="3065" t="s">
        <v>121</v>
      </c>
      <c r="M141" s="1298" t="s">
        <v>1256</v>
      </c>
      <c r="N141" s="1298"/>
      <c r="O141" s="3065" t="s">
        <v>121</v>
      </c>
      <c r="P141" s="1298" t="s">
        <v>1257</v>
      </c>
      <c r="Q141" s="1307"/>
      <c r="R141" s="1307"/>
      <c r="S141" s="1307"/>
      <c r="T141" s="1307"/>
      <c r="U141" s="1307"/>
      <c r="V141" s="1307"/>
      <c r="W141" s="1307"/>
      <c r="X141" s="1308"/>
      <c r="Y141" s="1295"/>
      <c r="Z141" s="1292"/>
      <c r="AA141" s="1292"/>
      <c r="AB141" s="1293"/>
      <c r="AC141" s="3287"/>
      <c r="AD141" s="3286"/>
      <c r="AE141" s="3286"/>
      <c r="AF141" s="3285"/>
      <c r="AI141" s="3056" t="str">
        <f>"25:ninti_senmoncare_code:" &amp; IF(I141="■",1,IF(O141="■",3,IF(L141="■",2,0)))</f>
        <v>25:ninti_senmoncare_code:0</v>
      </c>
    </row>
    <row r="142" spans="1:35" ht="18.75" customHeight="1">
      <c r="A142" s="735"/>
      <c r="B142" s="1407"/>
      <c r="C142" s="1303"/>
      <c r="D142" s="1304"/>
      <c r="E142" s="1275"/>
      <c r="F142" s="1289"/>
      <c r="G142" s="1275"/>
      <c r="H142" s="1409" t="s">
        <v>1327</v>
      </c>
      <c r="I142" s="3137" t="s">
        <v>121</v>
      </c>
      <c r="J142" s="1298" t="s">
        <v>1328</v>
      </c>
      <c r="K142" s="1298"/>
      <c r="L142" s="1300"/>
      <c r="M142" s="1300"/>
      <c r="N142" s="3065" t="s">
        <v>121</v>
      </c>
      <c r="O142" s="1298" t="s">
        <v>1329</v>
      </c>
      <c r="P142" s="1307"/>
      <c r="Q142" s="1307"/>
      <c r="R142" s="1307"/>
      <c r="S142" s="3065" t="s">
        <v>121</v>
      </c>
      <c r="T142" s="1298" t="s">
        <v>1330</v>
      </c>
      <c r="U142" s="1307"/>
      <c r="V142" s="1307"/>
      <c r="W142" s="1307"/>
      <c r="X142" s="1308"/>
      <c r="Y142" s="1295"/>
      <c r="Z142" s="1292"/>
      <c r="AA142" s="1292"/>
      <c r="AB142" s="1293"/>
      <c r="AC142" s="3287"/>
      <c r="AD142" s="3286"/>
      <c r="AE142" s="3286"/>
      <c r="AF142" s="3285"/>
      <c r="AI142" s="3056" t="str">
        <f>"25:"&amp;IF(AND(I142="□",N142="□",S142="□"),"koriha_gengo_code:0:riha_seisin_code:0:koriha_other_code:0",IF(I142="■","koriha_gengo_code:2","koriha_gengo_code:1")
&amp;IF(N142="■",":riha_seisin_code:2",":riha_seisin_code:1")
&amp;IF(S142="■",":koriha_other_code:2",":koriha_other_code:1"))</f>
        <v>25:koriha_gengo_code:0:riha_seisin_code:0:koriha_other_code:0</v>
      </c>
    </row>
    <row r="143" spans="1:35" ht="18.75" customHeight="1">
      <c r="A143" s="735"/>
      <c r="B143" s="1407"/>
      <c r="C143" s="1303"/>
      <c r="D143" s="1304"/>
      <c r="E143" s="1275"/>
      <c r="F143" s="1289"/>
      <c r="G143" s="1275"/>
      <c r="H143" s="1313" t="s">
        <v>1265</v>
      </c>
      <c r="I143" s="3137" t="s">
        <v>121</v>
      </c>
      <c r="J143" s="1298" t="s">
        <v>1230</v>
      </c>
      <c r="K143" s="1298"/>
      <c r="L143" s="3065" t="s">
        <v>121</v>
      </c>
      <c r="M143" s="1298" t="s">
        <v>1256</v>
      </c>
      <c r="N143" s="1298"/>
      <c r="O143" s="3065" t="s">
        <v>121</v>
      </c>
      <c r="P143" s="1298" t="s">
        <v>1257</v>
      </c>
      <c r="Q143" s="1307"/>
      <c r="R143" s="1307"/>
      <c r="S143" s="1307"/>
      <c r="T143" s="1307"/>
      <c r="U143" s="1314"/>
      <c r="V143" s="1314"/>
      <c r="W143" s="1314"/>
      <c r="X143" s="1315"/>
      <c r="Y143" s="1295"/>
      <c r="Z143" s="1292"/>
      <c r="AA143" s="1292"/>
      <c r="AB143" s="1293"/>
      <c r="AC143" s="3287"/>
      <c r="AD143" s="3286"/>
      <c r="AE143" s="3286"/>
      <c r="AF143" s="3285"/>
      <c r="AI143" s="3056" t="str">
        <f>"25:field225:" &amp; IF(I143="■",1,IF(L143="■",2,IF(O143="■",3,0)))</f>
        <v>25:field225:0</v>
      </c>
    </row>
    <row r="144" spans="1:35" ht="18.75" customHeight="1">
      <c r="A144" s="735"/>
      <c r="B144" s="1407"/>
      <c r="C144" s="1303"/>
      <c r="D144" s="1304"/>
      <c r="E144" s="1275"/>
      <c r="F144" s="1289"/>
      <c r="G144" s="1275"/>
      <c r="H144" s="1409" t="s">
        <v>1266</v>
      </c>
      <c r="I144" s="3137" t="s">
        <v>121</v>
      </c>
      <c r="J144" s="1298" t="s">
        <v>1230</v>
      </c>
      <c r="K144" s="1298"/>
      <c r="L144" s="3065" t="s">
        <v>121</v>
      </c>
      <c r="M144" s="1298" t="s">
        <v>1267</v>
      </c>
      <c r="N144" s="1298"/>
      <c r="O144" s="3065" t="s">
        <v>121</v>
      </c>
      <c r="P144" s="1298" t="s">
        <v>1268</v>
      </c>
      <c r="Q144" s="1326"/>
      <c r="R144" s="3065" t="s">
        <v>121</v>
      </c>
      <c r="S144" s="1298" t="s">
        <v>1269</v>
      </c>
      <c r="T144" s="1298"/>
      <c r="U144" s="1298"/>
      <c r="V144" s="1298"/>
      <c r="W144" s="1298"/>
      <c r="X144" s="1310"/>
      <c r="Y144" s="1295"/>
      <c r="Z144" s="1292"/>
      <c r="AA144" s="1292"/>
      <c r="AB144" s="1293"/>
      <c r="AC144" s="3287"/>
      <c r="AD144" s="3286"/>
      <c r="AE144" s="3286"/>
      <c r="AF144" s="3285"/>
      <c r="AI144" s="3056" t="str">
        <f>"25:serteikyo_kyoka_code:" &amp; IF(I144="■",1,IF(L144="■",6,IF(O144="■",5,IF(R144="■",7,0))))</f>
        <v>25:serteikyo_kyoka_code:0</v>
      </c>
    </row>
    <row r="145" spans="1:36" ht="18.75" customHeight="1">
      <c r="A145" s="735"/>
      <c r="B145" s="1407"/>
      <c r="C145" s="1303"/>
      <c r="D145" s="1304"/>
      <c r="E145" s="1275"/>
      <c r="F145" s="1289"/>
      <c r="G145" s="1275"/>
      <c r="H145" s="1539" t="s">
        <v>2390</v>
      </c>
      <c r="I145" s="3160" t="s">
        <v>121</v>
      </c>
      <c r="J145" s="3161" t="s">
        <v>1230</v>
      </c>
      <c r="K145" s="3161"/>
      <c r="L145" s="3160" t="s">
        <v>121</v>
      </c>
      <c r="M145" s="3161" t="s">
        <v>1248</v>
      </c>
      <c r="N145" s="3161"/>
      <c r="O145" s="1290"/>
      <c r="P145" s="1290"/>
      <c r="Q145" s="1290"/>
      <c r="R145" s="1290"/>
      <c r="S145" s="1290"/>
      <c r="T145" s="1290"/>
      <c r="U145" s="1290"/>
      <c r="V145" s="1290"/>
      <c r="W145" s="1290"/>
      <c r="X145" s="1331"/>
      <c r="Y145" s="1295"/>
      <c r="Z145" s="1292"/>
      <c r="AA145" s="1292"/>
      <c r="AB145" s="1293"/>
      <c r="AC145" s="3287"/>
      <c r="AD145" s="3286"/>
      <c r="AE145" s="3286"/>
      <c r="AF145" s="3285"/>
      <c r="AI145" s="3056" t="str">
        <f>"25:field221:" &amp; IF(I145="■",1,IF(L145="■",2,0))</f>
        <v>25:field221:0</v>
      </c>
    </row>
    <row r="146" spans="1:36" ht="18.75" customHeight="1">
      <c r="A146" s="735"/>
      <c r="B146" s="1407"/>
      <c r="C146" s="1303"/>
      <c r="D146" s="1304"/>
      <c r="E146" s="1275"/>
      <c r="F146" s="1289"/>
      <c r="G146" s="1275"/>
      <c r="H146" s="1540"/>
      <c r="I146" s="3160"/>
      <c r="J146" s="3161"/>
      <c r="K146" s="3161"/>
      <c r="L146" s="3160"/>
      <c r="M146" s="3161"/>
      <c r="N146" s="3161"/>
      <c r="O146" s="1296"/>
      <c r="P146" s="1296"/>
      <c r="Q146" s="1296"/>
      <c r="R146" s="1296"/>
      <c r="S146" s="1296"/>
      <c r="T146" s="1296"/>
      <c r="U146" s="1296"/>
      <c r="V146" s="1296"/>
      <c r="W146" s="1296"/>
      <c r="X146" s="1332"/>
      <c r="Y146" s="1295"/>
      <c r="Z146" s="1292"/>
      <c r="AA146" s="1292"/>
      <c r="AB146" s="1293"/>
      <c r="AC146" s="3287"/>
      <c r="AD146" s="3286"/>
      <c r="AE146" s="3286"/>
      <c r="AF146" s="3285"/>
    </row>
    <row r="147" spans="1:36" ht="18.75" customHeight="1">
      <c r="A147" s="736"/>
      <c r="B147" s="1407"/>
      <c r="C147" s="1346"/>
      <c r="D147" s="1348"/>
      <c r="E147" s="1317"/>
      <c r="F147" s="1318"/>
      <c r="G147" s="1361"/>
      <c r="H147" s="3134" t="s">
        <v>2288</v>
      </c>
      <c r="I147" s="3060" t="s">
        <v>121</v>
      </c>
      <c r="J147" s="3130" t="s">
        <v>1230</v>
      </c>
      <c r="K147" s="3130"/>
      <c r="L147" s="3059" t="s">
        <v>121</v>
      </c>
      <c r="M147" s="3130" t="s">
        <v>2287</v>
      </c>
      <c r="N147" s="3133"/>
      <c r="O147" s="3059" t="s">
        <v>121</v>
      </c>
      <c r="P147" s="3132" t="s">
        <v>2286</v>
      </c>
      <c r="Q147" s="3131"/>
      <c r="R147" s="3059" t="s">
        <v>121</v>
      </c>
      <c r="S147" s="3130" t="s">
        <v>2285</v>
      </c>
      <c r="T147" s="3131"/>
      <c r="U147" s="3059" t="s">
        <v>121</v>
      </c>
      <c r="V147" s="3130" t="s">
        <v>2284</v>
      </c>
      <c r="W147" s="3129"/>
      <c r="X147" s="3128"/>
      <c r="Y147" s="1323"/>
      <c r="Z147" s="1323"/>
      <c r="AA147" s="1323"/>
      <c r="AB147" s="1324"/>
      <c r="AC147" s="3284"/>
      <c r="AD147" s="3283"/>
      <c r="AE147" s="3283"/>
      <c r="AF147" s="3282"/>
      <c r="AG147" s="3056"/>
      <c r="AH147" s="3056"/>
      <c r="AI147" s="3056" t="str">
        <f>"25:shoguukaizen_code:"&amp;IF(I147="■",1,IF(L147="■",7,IF(O147="■",8,IF(R147="■",9,IF(U147="■","A",0)))))</f>
        <v>25:shoguukaizen_code:0</v>
      </c>
    </row>
    <row r="148" spans="1:36" ht="18.75" customHeight="1">
      <c r="A148" s="1276"/>
      <c r="B148" s="1405"/>
      <c r="C148" s="1333"/>
      <c r="D148" s="1335"/>
      <c r="E148" s="1272"/>
      <c r="F148" s="1279"/>
      <c r="G148" s="1272"/>
      <c r="H148" s="1408" t="s">
        <v>1226</v>
      </c>
      <c r="I148" s="3119" t="s">
        <v>121</v>
      </c>
      <c r="J148" s="1280" t="s">
        <v>1227</v>
      </c>
      <c r="K148" s="1281"/>
      <c r="L148" s="1282"/>
      <c r="M148" s="3073" t="s">
        <v>121</v>
      </c>
      <c r="N148" s="1280" t="s">
        <v>1228</v>
      </c>
      <c r="O148" s="1365"/>
      <c r="P148" s="1281"/>
      <c r="Q148" s="1281"/>
      <c r="R148" s="1281"/>
      <c r="S148" s="1281"/>
      <c r="T148" s="1281"/>
      <c r="U148" s="1281"/>
      <c r="V148" s="1281"/>
      <c r="W148" s="1281"/>
      <c r="X148" s="1285"/>
      <c r="Y148" s="3138" t="s">
        <v>121</v>
      </c>
      <c r="Z148" s="1270" t="s">
        <v>1229</v>
      </c>
      <c r="AA148" s="1270"/>
      <c r="AB148" s="1286"/>
      <c r="AC148" s="3276"/>
      <c r="AD148" s="3289"/>
      <c r="AE148" s="3289"/>
      <c r="AF148" s="3288"/>
      <c r="AG148" s="3056" t="str">
        <f>"ser_code = '" &amp; IF(A157="■",25,"") &amp; "'"</f>
        <v>ser_code = ''</v>
      </c>
      <c r="AH148" s="3056"/>
      <c r="AI148" s="3056" t="str">
        <f>"25:yakan_kinmu_code:" &amp; IF(I148="■",1,IF(M148="■",6,0))</f>
        <v>25:yakan_kinmu_code:0</v>
      </c>
      <c r="AJ148" s="3056" t="str">
        <f>"25:field203:" &amp; IF(Y148="■",1,IF(Y149="■",2,0))</f>
        <v>25:field203:0</v>
      </c>
    </row>
    <row r="149" spans="1:36" ht="18.75" customHeight="1">
      <c r="A149" s="735"/>
      <c r="B149" s="1407"/>
      <c r="C149" s="1303"/>
      <c r="D149" s="1304"/>
      <c r="E149" s="1275"/>
      <c r="F149" s="1289"/>
      <c r="G149" s="1275"/>
      <c r="H149" s="1541" t="s">
        <v>90</v>
      </c>
      <c r="I149" s="3137" t="s">
        <v>121</v>
      </c>
      <c r="J149" s="1273" t="s">
        <v>1230</v>
      </c>
      <c r="K149" s="1273"/>
      <c r="L149" s="1344"/>
      <c r="M149" s="3122" t="s">
        <v>121</v>
      </c>
      <c r="N149" s="1273" t="s">
        <v>1231</v>
      </c>
      <c r="O149" s="1273"/>
      <c r="P149" s="1344"/>
      <c r="Q149" s="3122" t="s">
        <v>121</v>
      </c>
      <c r="R149" s="1412" t="s">
        <v>1232</v>
      </c>
      <c r="U149" s="3122" t="s">
        <v>121</v>
      </c>
      <c r="V149" s="1412" t="s">
        <v>1233</v>
      </c>
      <c r="X149" s="1294"/>
      <c r="Y149" s="3122" t="s">
        <v>121</v>
      </c>
      <c r="Z149" s="1273" t="s">
        <v>1234</v>
      </c>
      <c r="AA149" s="1292"/>
      <c r="AB149" s="1293"/>
      <c r="AC149" s="3287"/>
      <c r="AD149" s="3286"/>
      <c r="AE149" s="3286"/>
      <c r="AF149" s="3285"/>
      <c r="AG149" s="3056" t="str">
        <f>"25:sisetukbn_code:" &amp; IF(D157="■",6,IF(D158="■",8,0))</f>
        <v>25:sisetukbn_code:0</v>
      </c>
      <c r="AH149" s="3056"/>
      <c r="AI149" s="3056" t="str">
        <f>"25:"&amp;IF(AND(I149="□",M149="□",Q149="□",U149="□",I150="□",M150="□",Q150="□"),"ketu_doctor_code:0",IF(I149="■","ketu_doctor_code:1:ketu_kangos_code:1:ketu_kshoku_code:1:ketu_rryoho_code:1:ketu_sryoho_code:1:ketu_gengo_code:1",
IF(M149="■","ketu_doctor_code:2","ketu_doctor_code:1")
&amp;IF(Q149="■",":ketu_kangos_code:2",":ketu_kangos_code:1")
&amp;IF(U149="■",":ketu_kshoku_code:2",":ketu_kshoku_code:1")
&amp;IF(I150="■",":ketu_rryoho_code:2",":ketu_rryoho_code:1")
&amp;IF(M150="■",":ketu_sryoho_code:2",":ketu_sryoho_code:1")
&amp;IF(Q150="■",":ketu_gengo_code:2",":ketu_gengo_code:1")))</f>
        <v>25:ketu_doctor_code:0</v>
      </c>
      <c r="AJ149" s="3056"/>
    </row>
    <row r="150" spans="1:36" ht="18.75" customHeight="1">
      <c r="A150" s="735"/>
      <c r="B150" s="1407"/>
      <c r="C150" s="1303"/>
      <c r="D150" s="1304"/>
      <c r="E150" s="1275"/>
      <c r="F150" s="1289"/>
      <c r="G150" s="1275"/>
      <c r="H150" s="1542"/>
      <c r="I150" s="3069" t="s">
        <v>121</v>
      </c>
      <c r="J150" s="1296" t="s">
        <v>1235</v>
      </c>
      <c r="K150" s="1403"/>
      <c r="L150" s="1403"/>
      <c r="M150" s="3062" t="s">
        <v>121</v>
      </c>
      <c r="N150" s="1296" t="s">
        <v>1236</v>
      </c>
      <c r="O150" s="1403"/>
      <c r="P150" s="1403"/>
      <c r="Q150" s="3062" t="s">
        <v>121</v>
      </c>
      <c r="R150" s="1296" t="s">
        <v>1291</v>
      </c>
      <c r="S150" s="1403"/>
      <c r="T150" s="1403"/>
      <c r="U150" s="1403"/>
      <c r="V150" s="1403"/>
      <c r="W150" s="1403"/>
      <c r="X150" s="1297"/>
      <c r="Y150" s="1295"/>
      <c r="Z150" s="1292"/>
      <c r="AA150" s="1292"/>
      <c r="AB150" s="1293"/>
      <c r="AC150" s="3287"/>
      <c r="AD150" s="3286"/>
      <c r="AE150" s="3286"/>
      <c r="AF150" s="3285"/>
      <c r="AG150" s="3056"/>
      <c r="AH150" s="3056"/>
      <c r="AI150" s="3056"/>
      <c r="AJ150" s="3056"/>
    </row>
    <row r="151" spans="1:36" ht="18.75" customHeight="1">
      <c r="A151" s="735"/>
      <c r="B151" s="1407"/>
      <c r="C151" s="1303"/>
      <c r="D151" s="1304"/>
      <c r="E151" s="1275"/>
      <c r="F151" s="1289"/>
      <c r="G151" s="1275"/>
      <c r="H151" s="1409" t="s">
        <v>91</v>
      </c>
      <c r="I151" s="3137" t="s">
        <v>121</v>
      </c>
      <c r="J151" s="1298" t="s">
        <v>1239</v>
      </c>
      <c r="K151" s="1299"/>
      <c r="L151" s="1300"/>
      <c r="M151" s="3065" t="s">
        <v>121</v>
      </c>
      <c r="N151" s="1298" t="s">
        <v>1240</v>
      </c>
      <c r="O151" s="1307"/>
      <c r="P151" s="1299"/>
      <c r="Q151" s="1299"/>
      <c r="R151" s="1299"/>
      <c r="S151" s="1299"/>
      <c r="T151" s="1299"/>
      <c r="U151" s="1299"/>
      <c r="V151" s="1299"/>
      <c r="W151" s="1299"/>
      <c r="X151" s="1302"/>
      <c r="Y151" s="1295"/>
      <c r="Z151" s="1292"/>
      <c r="AA151" s="1292"/>
      <c r="AB151" s="1293"/>
      <c r="AC151" s="3287"/>
      <c r="AD151" s="3286"/>
      <c r="AE151" s="3286"/>
      <c r="AF151" s="3285"/>
      <c r="AG151" s="3056"/>
      <c r="AH151" s="3056"/>
      <c r="AI151" s="3056" t="str">
        <f>"25:unitcare_code:" &amp; IF(I151="■",1,IF(M151="■",2,0))</f>
        <v>25:unitcare_code:0</v>
      </c>
      <c r="AJ151" s="3056"/>
    </row>
    <row r="152" spans="1:36" s="3056" customFormat="1" ht="18.75" customHeight="1">
      <c r="A152" s="735"/>
      <c r="B152" s="1407"/>
      <c r="C152" s="1287"/>
      <c r="D152" s="1288"/>
      <c r="E152" s="1275"/>
      <c r="F152" s="1289"/>
      <c r="G152" s="1305"/>
      <c r="H152" s="3193" t="s">
        <v>1241</v>
      </c>
      <c r="I152" s="3096" t="s">
        <v>121</v>
      </c>
      <c r="J152" s="3091" t="s">
        <v>1242</v>
      </c>
      <c r="K152" s="3095"/>
      <c r="L152" s="3094"/>
      <c r="M152" s="3093" t="s">
        <v>121</v>
      </c>
      <c r="N152" s="3091" t="s">
        <v>1243</v>
      </c>
      <c r="O152" s="3095"/>
      <c r="P152" s="3192"/>
      <c r="Q152" s="3192"/>
      <c r="R152" s="3192"/>
      <c r="S152" s="3192"/>
      <c r="T152" s="3192"/>
      <c r="U152" s="3192"/>
      <c r="V152" s="3192"/>
      <c r="W152" s="3192"/>
      <c r="X152" s="3191"/>
      <c r="Y152" s="1295"/>
      <c r="Z152" s="1292"/>
      <c r="AA152" s="1292"/>
      <c r="AB152" s="1293"/>
      <c r="AC152" s="3287"/>
      <c r="AD152" s="3286"/>
      <c r="AE152" s="3286"/>
      <c r="AF152" s="3285"/>
      <c r="AI152" s="3056" t="str">
        <f>"25:sintaikousoku_code:" &amp; IF(I152="■",1,IF(M152="■",2,0))</f>
        <v>25:sintaikousoku_code:0</v>
      </c>
    </row>
    <row r="153" spans="1:36" ht="19.5" customHeight="1">
      <c r="A153" s="735"/>
      <c r="B153" s="1407"/>
      <c r="C153" s="1303"/>
      <c r="D153" s="1304"/>
      <c r="E153" s="1275"/>
      <c r="F153" s="1289"/>
      <c r="G153" s="1305"/>
      <c r="H153" s="1306" t="s">
        <v>1244</v>
      </c>
      <c r="I153" s="3137" t="s">
        <v>121</v>
      </c>
      <c r="J153" s="1298" t="s">
        <v>1242</v>
      </c>
      <c r="K153" s="1299"/>
      <c r="L153" s="1300"/>
      <c r="M153" s="3065" t="s">
        <v>121</v>
      </c>
      <c r="N153" s="1298" t="s">
        <v>1245</v>
      </c>
      <c r="O153" s="1298"/>
      <c r="P153" s="1298"/>
      <c r="Q153" s="1307"/>
      <c r="R153" s="1307"/>
      <c r="S153" s="1307"/>
      <c r="T153" s="1307"/>
      <c r="U153" s="1307"/>
      <c r="V153" s="1307"/>
      <c r="W153" s="1307"/>
      <c r="X153" s="1308"/>
      <c r="Y153" s="1292"/>
      <c r="Z153" s="1292"/>
      <c r="AA153" s="1292"/>
      <c r="AB153" s="1293"/>
      <c r="AC153" s="3287"/>
      <c r="AD153" s="3286"/>
      <c r="AE153" s="3286"/>
      <c r="AF153" s="3285"/>
      <c r="AI153" s="3056" t="str">
        <f>"25:field223:" &amp; IF(I153="■",1,IF(M153="■",2,0))</f>
        <v>25:field223:0</v>
      </c>
    </row>
    <row r="154" spans="1:36" ht="19.5" customHeight="1">
      <c r="A154" s="735"/>
      <c r="B154" s="1407"/>
      <c r="C154" s="1303"/>
      <c r="D154" s="1304"/>
      <c r="E154" s="1275"/>
      <c r="F154" s="1289"/>
      <c r="G154" s="1305"/>
      <c r="H154" s="1306" t="s">
        <v>1246</v>
      </c>
      <c r="I154" s="3137" t="s">
        <v>121</v>
      </c>
      <c r="J154" s="1296" t="s">
        <v>1242</v>
      </c>
      <c r="K154" s="1309"/>
      <c r="L154" s="1355"/>
      <c r="M154" s="3062" t="s">
        <v>121</v>
      </c>
      <c r="N154" s="1296" t="s">
        <v>1245</v>
      </c>
      <c r="O154" s="1296"/>
      <c r="P154" s="1296"/>
      <c r="Q154" s="1330"/>
      <c r="R154" s="1330"/>
      <c r="S154" s="1330"/>
      <c r="T154" s="1330"/>
      <c r="U154" s="1330"/>
      <c r="V154" s="1330"/>
      <c r="W154" s="1330"/>
      <c r="X154" s="1356"/>
      <c r="Y154" s="1292"/>
      <c r="Z154" s="1273"/>
      <c r="AA154" s="1292"/>
      <c r="AB154" s="1293"/>
      <c r="AC154" s="3287"/>
      <c r="AD154" s="3286"/>
      <c r="AE154" s="3286"/>
      <c r="AF154" s="3285"/>
      <c r="AI154" s="3056" t="str">
        <f>"25:field232:" &amp; IF(I154="■",1,IF(M154="■",2,0))</f>
        <v>25:field232:0</v>
      </c>
    </row>
    <row r="155" spans="1:36" ht="18.75" customHeight="1">
      <c r="A155" s="735"/>
      <c r="B155" s="1407"/>
      <c r="C155" s="1303"/>
      <c r="D155" s="1304"/>
      <c r="E155" s="1275"/>
      <c r="F155" s="1289"/>
      <c r="G155" s="1275"/>
      <c r="H155" s="1409" t="s">
        <v>140</v>
      </c>
      <c r="I155" s="3137" t="s">
        <v>121</v>
      </c>
      <c r="J155" s="1298" t="s">
        <v>1230</v>
      </c>
      <c r="K155" s="1299"/>
      <c r="L155" s="3065" t="s">
        <v>121</v>
      </c>
      <c r="M155" s="1298" t="s">
        <v>1248</v>
      </c>
      <c r="N155" s="1326"/>
      <c r="O155" s="1307"/>
      <c r="P155" s="1307"/>
      <c r="Q155" s="1307"/>
      <c r="R155" s="1307"/>
      <c r="S155" s="1307"/>
      <c r="T155" s="1307"/>
      <c r="U155" s="1307"/>
      <c r="V155" s="1307"/>
      <c r="W155" s="1307"/>
      <c r="X155" s="1308"/>
      <c r="Y155" s="1295"/>
      <c r="Z155" s="1292"/>
      <c r="AA155" s="1292"/>
      <c r="AB155" s="1293"/>
      <c r="AC155" s="3287"/>
      <c r="AD155" s="3286"/>
      <c r="AE155" s="3286"/>
      <c r="AF155" s="3285"/>
      <c r="AI155" s="3056" t="str">
        <f>"25:yakinhaiti_code:" &amp; IF(I155="■",1,IF(L155="■",2,0))</f>
        <v>25:yakinhaiti_code:0</v>
      </c>
    </row>
    <row r="156" spans="1:36" ht="18.75" customHeight="1">
      <c r="A156" s="735"/>
      <c r="B156" s="1407"/>
      <c r="C156" s="1303"/>
      <c r="D156" s="1304"/>
      <c r="E156" s="1275"/>
      <c r="F156" s="1289"/>
      <c r="G156" s="1275"/>
      <c r="H156" s="1409" t="s">
        <v>1318</v>
      </c>
      <c r="I156" s="3137" t="s">
        <v>121</v>
      </c>
      <c r="J156" s="1298" t="s">
        <v>1230</v>
      </c>
      <c r="K156" s="1299"/>
      <c r="L156" s="3065" t="s">
        <v>121</v>
      </c>
      <c r="M156" s="1298" t="s">
        <v>1248</v>
      </c>
      <c r="N156" s="1326"/>
      <c r="O156" s="1307"/>
      <c r="P156" s="1307"/>
      <c r="Q156" s="1307"/>
      <c r="R156" s="1307"/>
      <c r="S156" s="1307"/>
      <c r="T156" s="1307"/>
      <c r="U156" s="1307"/>
      <c r="V156" s="1307"/>
      <c r="W156" s="1307"/>
      <c r="X156" s="1308"/>
      <c r="Y156" s="1295"/>
      <c r="Z156" s="1292"/>
      <c r="AA156" s="1292"/>
      <c r="AB156" s="1293"/>
      <c r="AC156" s="3287"/>
      <c r="AD156" s="3286"/>
      <c r="AE156" s="3286"/>
      <c r="AF156" s="3285"/>
      <c r="AI156" s="3056" t="str">
        <f>"25:jyakuninti_uke_code:" &amp; IF(I156="■",1,IF(L156="■",2,0))</f>
        <v>25:jyakuninti_uke_code:0</v>
      </c>
    </row>
    <row r="157" spans="1:36" ht="18.75" customHeight="1">
      <c r="A157" s="3069" t="s">
        <v>121</v>
      </c>
      <c r="B157" s="1407">
        <v>25</v>
      </c>
      <c r="C157" s="1303" t="s">
        <v>542</v>
      </c>
      <c r="D157" s="3069" t="s">
        <v>121</v>
      </c>
      <c r="E157" s="1275" t="s">
        <v>1332</v>
      </c>
      <c r="F157" s="1289"/>
      <c r="G157" s="1275"/>
      <c r="H157" s="1409" t="s">
        <v>1324</v>
      </c>
      <c r="I157" s="3137" t="s">
        <v>121</v>
      </c>
      <c r="J157" s="1298" t="s">
        <v>1239</v>
      </c>
      <c r="K157" s="1299"/>
      <c r="L157" s="1300"/>
      <c r="M157" s="3065" t="s">
        <v>121</v>
      </c>
      <c r="N157" s="1298" t="s">
        <v>1240</v>
      </c>
      <c r="O157" s="1307"/>
      <c r="P157" s="1307"/>
      <c r="Q157" s="1307"/>
      <c r="R157" s="1307"/>
      <c r="S157" s="1307"/>
      <c r="T157" s="1307"/>
      <c r="U157" s="1307"/>
      <c r="V157" s="1307"/>
      <c r="W157" s="1307"/>
      <c r="X157" s="1308"/>
      <c r="Y157" s="1295"/>
      <c r="Z157" s="1292"/>
      <c r="AA157" s="1292"/>
      <c r="AB157" s="1293"/>
      <c r="AC157" s="3287"/>
      <c r="AD157" s="3286"/>
      <c r="AE157" s="3286"/>
      <c r="AF157" s="3285"/>
      <c r="AI157" s="3056" t="str">
        <f>"25:sougei_code:" &amp; IF(I157="■",1,IF(M157="■",2,0))</f>
        <v>25:sougei_code:0</v>
      </c>
    </row>
    <row r="158" spans="1:36" ht="18.75" customHeight="1">
      <c r="A158" s="735"/>
      <c r="B158" s="1407"/>
      <c r="C158" s="1303"/>
      <c r="D158" s="3069" t="s">
        <v>121</v>
      </c>
      <c r="E158" s="1275" t="s">
        <v>1334</v>
      </c>
      <c r="F158" s="1289"/>
      <c r="G158" s="1275"/>
      <c r="H158" s="1409" t="s">
        <v>1335</v>
      </c>
      <c r="I158" s="3137" t="s">
        <v>121</v>
      </c>
      <c r="J158" s="1298" t="s">
        <v>1273</v>
      </c>
      <c r="K158" s="1307"/>
      <c r="L158" s="1307"/>
      <c r="M158" s="1307"/>
      <c r="N158" s="1307"/>
      <c r="O158" s="1307"/>
      <c r="P158" s="3065" t="s">
        <v>121</v>
      </c>
      <c r="Q158" s="1298" t="s">
        <v>1274</v>
      </c>
      <c r="R158" s="1307"/>
      <c r="S158" s="1307"/>
      <c r="T158" s="1307"/>
      <c r="U158" s="1307"/>
      <c r="V158" s="1307"/>
      <c r="W158" s="1307"/>
      <c r="X158" s="1308"/>
      <c r="Y158" s="1295"/>
      <c r="Z158" s="1292"/>
      <c r="AA158" s="1292"/>
      <c r="AB158" s="1293"/>
      <c r="AC158" s="3287"/>
      <c r="AD158" s="3286"/>
      <c r="AE158" s="3286"/>
      <c r="AF158" s="3285"/>
      <c r="AI158" s="3056" t="str">
        <f>"25:" &amp; IF(AND(I158="□",P158="□"),"tokusin_jyusho_code:0:tokusin_yakuzai_code:0",IF(I158="■","tokusin_jyusho_code:2","tokusin_jyusho_code:1")
&amp;IF(P158="■",":tokusin_yakuzai_code:2",":tokusin_yakuzai_code:1"))</f>
        <v>25:tokusin_jyusho_code:0:tokusin_yakuzai_code:0</v>
      </c>
    </row>
    <row r="159" spans="1:36" ht="18.75" customHeight="1">
      <c r="A159" s="735"/>
      <c r="B159" s="1407"/>
      <c r="C159" s="1303"/>
      <c r="D159" s="1304"/>
      <c r="E159" s="1275"/>
      <c r="F159" s="1289"/>
      <c r="G159" s="1275"/>
      <c r="H159" s="1409" t="s">
        <v>1337</v>
      </c>
      <c r="I159" s="3137" t="s">
        <v>121</v>
      </c>
      <c r="J159" s="1298" t="s">
        <v>1230</v>
      </c>
      <c r="K159" s="1299"/>
      <c r="L159" s="3065" t="s">
        <v>121</v>
      </c>
      <c r="M159" s="1298" t="s">
        <v>1248</v>
      </c>
      <c r="N159" s="1326"/>
      <c r="O159" s="1326"/>
      <c r="P159" s="1326"/>
      <c r="Q159" s="1326"/>
      <c r="R159" s="1326"/>
      <c r="S159" s="1326"/>
      <c r="T159" s="1326"/>
      <c r="U159" s="1326"/>
      <c r="V159" s="1326"/>
      <c r="W159" s="1326"/>
      <c r="X159" s="1327"/>
      <c r="Y159" s="1295"/>
      <c r="Z159" s="1292"/>
      <c r="AA159" s="1292"/>
      <c r="AB159" s="1293"/>
      <c r="AC159" s="3287"/>
      <c r="AD159" s="3286"/>
      <c r="AE159" s="3286"/>
      <c r="AF159" s="3285"/>
      <c r="AI159" s="3056" t="str">
        <f>"25:field198:" &amp; IF(I159="■",1,IF(L159="■",2,0))</f>
        <v>25:field198:0</v>
      </c>
    </row>
    <row r="160" spans="1:36" ht="18.75" customHeight="1">
      <c r="A160" s="735"/>
      <c r="B160" s="1407"/>
      <c r="C160" s="1303"/>
      <c r="D160" s="1304"/>
      <c r="E160" s="1275"/>
      <c r="F160" s="1289"/>
      <c r="G160" s="1275"/>
      <c r="H160" s="1409" t="s">
        <v>1279</v>
      </c>
      <c r="I160" s="3137" t="s">
        <v>121</v>
      </c>
      <c r="J160" s="1298" t="s">
        <v>1230</v>
      </c>
      <c r="K160" s="1299"/>
      <c r="L160" s="3065" t="s">
        <v>121</v>
      </c>
      <c r="M160" s="1298" t="s">
        <v>1248</v>
      </c>
      <c r="N160" s="1326"/>
      <c r="O160" s="1326"/>
      <c r="P160" s="1326"/>
      <c r="Q160" s="1326"/>
      <c r="R160" s="1326"/>
      <c r="S160" s="1326"/>
      <c r="T160" s="1326"/>
      <c r="U160" s="1326"/>
      <c r="V160" s="1326"/>
      <c r="W160" s="1326"/>
      <c r="X160" s="1327"/>
      <c r="Y160" s="1295"/>
      <c r="Z160" s="1292"/>
      <c r="AA160" s="1292"/>
      <c r="AB160" s="1293"/>
      <c r="AC160" s="3287"/>
      <c r="AD160" s="3286"/>
      <c r="AE160" s="3286"/>
      <c r="AF160" s="3285"/>
      <c r="AI160" s="3056" t="str">
        <f>"25:field199:" &amp; IF(I160="■",1,IF(L160="■",2,0))</f>
        <v>25:field199:0</v>
      </c>
    </row>
    <row r="161" spans="1:36" ht="19.5" customHeight="1">
      <c r="A161" s="735"/>
      <c r="B161" s="1407"/>
      <c r="C161" s="1303"/>
      <c r="D161" s="1304"/>
      <c r="E161" s="1275"/>
      <c r="F161" s="1289"/>
      <c r="G161" s="1305"/>
      <c r="H161" s="1306" t="s">
        <v>1325</v>
      </c>
      <c r="I161" s="3137" t="s">
        <v>121</v>
      </c>
      <c r="J161" s="1298" t="s">
        <v>1230</v>
      </c>
      <c r="K161" s="1298"/>
      <c r="L161" s="3065" t="s">
        <v>121</v>
      </c>
      <c r="M161" s="1298" t="s">
        <v>1248</v>
      </c>
      <c r="N161" s="1298"/>
      <c r="O161" s="1307"/>
      <c r="P161" s="1298"/>
      <c r="Q161" s="1307"/>
      <c r="R161" s="1307"/>
      <c r="S161" s="1307"/>
      <c r="T161" s="1307"/>
      <c r="U161" s="1307"/>
      <c r="V161" s="1307"/>
      <c r="W161" s="1307"/>
      <c r="X161" s="1308"/>
      <c r="Y161" s="1292"/>
      <c r="Z161" s="1292"/>
      <c r="AA161" s="1292"/>
      <c r="AB161" s="1293"/>
      <c r="AC161" s="3287"/>
      <c r="AD161" s="3286"/>
      <c r="AE161" s="3286"/>
      <c r="AF161" s="3285"/>
      <c r="AI161" s="3056" t="str">
        <f>"25:field224:" &amp; IF(I161="■",1,IF(L161="■",2,0))</f>
        <v>25:field224:0</v>
      </c>
    </row>
    <row r="162" spans="1:36" ht="18.75" customHeight="1">
      <c r="A162" s="735"/>
      <c r="B162" s="1407"/>
      <c r="C162" s="1303"/>
      <c r="D162" s="1304"/>
      <c r="E162" s="1275"/>
      <c r="F162" s="1289"/>
      <c r="G162" s="1275"/>
      <c r="H162" s="1409" t="s">
        <v>145</v>
      </c>
      <c r="I162" s="3137" t="s">
        <v>121</v>
      </c>
      <c r="J162" s="1298" t="s">
        <v>1230</v>
      </c>
      <c r="K162" s="1299"/>
      <c r="L162" s="3065" t="s">
        <v>121</v>
      </c>
      <c r="M162" s="1298" t="s">
        <v>1248</v>
      </c>
      <c r="N162" s="1326"/>
      <c r="O162" s="1307"/>
      <c r="P162" s="1307"/>
      <c r="Q162" s="1307"/>
      <c r="R162" s="1307"/>
      <c r="S162" s="1307"/>
      <c r="T162" s="1307"/>
      <c r="U162" s="1307"/>
      <c r="V162" s="1307"/>
      <c r="W162" s="1307"/>
      <c r="X162" s="1308"/>
      <c r="Y162" s="1295"/>
      <c r="Z162" s="1292"/>
      <c r="AA162" s="1292"/>
      <c r="AB162" s="1293"/>
      <c r="AC162" s="3287"/>
      <c r="AD162" s="3286"/>
      <c r="AE162" s="3286"/>
      <c r="AF162" s="3285"/>
      <c r="AI162" s="3056" t="str">
        <f>"25:ryouyoushoku_code:" &amp; IF(I162="■",1,IF(L162="■",2,0))</f>
        <v>25:ryouyoushoku_code:0</v>
      </c>
    </row>
    <row r="163" spans="1:36" ht="18.75" customHeight="1">
      <c r="A163" s="735"/>
      <c r="B163" s="1407"/>
      <c r="C163" s="1303"/>
      <c r="D163" s="1304"/>
      <c r="E163" s="1275"/>
      <c r="F163" s="1289"/>
      <c r="G163" s="1275"/>
      <c r="H163" s="1409" t="s">
        <v>1326</v>
      </c>
      <c r="I163" s="3137" t="s">
        <v>121</v>
      </c>
      <c r="J163" s="1298" t="s">
        <v>1230</v>
      </c>
      <c r="K163" s="1298"/>
      <c r="L163" s="3065" t="s">
        <v>121</v>
      </c>
      <c r="M163" s="1298" t="s">
        <v>1256</v>
      </c>
      <c r="N163" s="1298"/>
      <c r="O163" s="3065" t="s">
        <v>121</v>
      </c>
      <c r="P163" s="1298" t="s">
        <v>1257</v>
      </c>
      <c r="Q163" s="1307"/>
      <c r="R163" s="1307"/>
      <c r="S163" s="1307"/>
      <c r="T163" s="1307"/>
      <c r="U163" s="1307"/>
      <c r="V163" s="1307"/>
      <c r="W163" s="1307"/>
      <c r="X163" s="1308"/>
      <c r="Y163" s="1295"/>
      <c r="Z163" s="1292"/>
      <c r="AA163" s="1292"/>
      <c r="AB163" s="1293"/>
      <c r="AC163" s="3287"/>
      <c r="AD163" s="3286"/>
      <c r="AE163" s="3286"/>
      <c r="AF163" s="3285"/>
      <c r="AI163" s="3056" t="str">
        <f>"25:ninti_senmoncare_code:" &amp; IF(I163="■",1,IF(O163="■",3,IF(L163="■",2,0)))</f>
        <v>25:ninti_senmoncare_code:0</v>
      </c>
    </row>
    <row r="164" spans="1:36" ht="18.75" customHeight="1">
      <c r="A164" s="735"/>
      <c r="B164" s="1407"/>
      <c r="C164" s="1303"/>
      <c r="D164" s="1304"/>
      <c r="E164" s="1275"/>
      <c r="F164" s="1289"/>
      <c r="G164" s="1275"/>
      <c r="H164" s="1409" t="s">
        <v>1327</v>
      </c>
      <c r="I164" s="3137" t="s">
        <v>121</v>
      </c>
      <c r="J164" s="1298" t="s">
        <v>1328</v>
      </c>
      <c r="K164" s="1298"/>
      <c r="L164" s="1300"/>
      <c r="M164" s="1300"/>
      <c r="N164" s="3065" t="s">
        <v>121</v>
      </c>
      <c r="O164" s="1298" t="s">
        <v>1329</v>
      </c>
      <c r="P164" s="1307"/>
      <c r="Q164" s="1307"/>
      <c r="R164" s="1307"/>
      <c r="S164" s="3065" t="s">
        <v>121</v>
      </c>
      <c r="T164" s="1298" t="s">
        <v>1330</v>
      </c>
      <c r="U164" s="1307"/>
      <c r="V164" s="1307"/>
      <c r="W164" s="1307"/>
      <c r="X164" s="1308"/>
      <c r="Y164" s="1295"/>
      <c r="Z164" s="1292"/>
      <c r="AA164" s="1292"/>
      <c r="AB164" s="1293"/>
      <c r="AC164" s="3287"/>
      <c r="AD164" s="3286"/>
      <c r="AE164" s="3286"/>
      <c r="AF164" s="3285"/>
      <c r="AI164" s="3056" t="str">
        <f>"25:"&amp;IF(AND(I164="□",N164="□",S164="□"),"koriha_gengo_code:0:riha_seisin_code:0:koriha_other_code:0",IF(I164="■","koriha_gengo_code:2","koriha_gengo_code:1")
&amp;IF(N164="■",":riha_seisin_code:2",":riha_seisin_code:1")
&amp;IF(S164="■",":koriha_other_code:2",":koriha_other_code:1"))</f>
        <v>25:koriha_gengo_code:0:riha_seisin_code:0:koriha_other_code:0</v>
      </c>
    </row>
    <row r="165" spans="1:36" ht="18.75" customHeight="1">
      <c r="A165" s="735"/>
      <c r="B165" s="1407"/>
      <c r="C165" s="1303"/>
      <c r="D165" s="1304"/>
      <c r="E165" s="1275"/>
      <c r="F165" s="1289"/>
      <c r="G165" s="1275"/>
      <c r="H165" s="1313" t="s">
        <v>1265</v>
      </c>
      <c r="I165" s="3137" t="s">
        <v>121</v>
      </c>
      <c r="J165" s="1298" t="s">
        <v>1230</v>
      </c>
      <c r="K165" s="1298"/>
      <c r="L165" s="3065" t="s">
        <v>121</v>
      </c>
      <c r="M165" s="1298" t="s">
        <v>1256</v>
      </c>
      <c r="N165" s="1298"/>
      <c r="O165" s="3065" t="s">
        <v>121</v>
      </c>
      <c r="P165" s="1298" t="s">
        <v>1257</v>
      </c>
      <c r="Q165" s="1307"/>
      <c r="R165" s="1307"/>
      <c r="S165" s="1307"/>
      <c r="T165" s="1307"/>
      <c r="U165" s="1314"/>
      <c r="V165" s="1314"/>
      <c r="W165" s="1314"/>
      <c r="X165" s="1315"/>
      <c r="Y165" s="1295"/>
      <c r="Z165" s="1292"/>
      <c r="AA165" s="1292"/>
      <c r="AB165" s="1293"/>
      <c r="AC165" s="3287"/>
      <c r="AD165" s="3286"/>
      <c r="AE165" s="3286"/>
      <c r="AF165" s="3285"/>
      <c r="AI165" s="3056" t="str">
        <f>"25:field225:" &amp; IF(I165="■",1,IF(L165="■",2,IF(O165="■",3,0)))</f>
        <v>25:field225:0</v>
      </c>
    </row>
    <row r="166" spans="1:36" ht="18.75" customHeight="1">
      <c r="A166" s="735"/>
      <c r="B166" s="1407"/>
      <c r="C166" s="1303"/>
      <c r="D166" s="1304"/>
      <c r="E166" s="1275"/>
      <c r="F166" s="1289"/>
      <c r="G166" s="1275"/>
      <c r="H166" s="1409" t="s">
        <v>1266</v>
      </c>
      <c r="I166" s="3137" t="s">
        <v>121</v>
      </c>
      <c r="J166" s="1298" t="s">
        <v>1230</v>
      </c>
      <c r="K166" s="1298"/>
      <c r="L166" s="3065" t="s">
        <v>121</v>
      </c>
      <c r="M166" s="1298" t="s">
        <v>1267</v>
      </c>
      <c r="N166" s="1298"/>
      <c r="O166" s="3065" t="s">
        <v>121</v>
      </c>
      <c r="P166" s="1298" t="s">
        <v>1268</v>
      </c>
      <c r="Q166" s="1326"/>
      <c r="R166" s="3065" t="s">
        <v>121</v>
      </c>
      <c r="S166" s="1298" t="s">
        <v>1269</v>
      </c>
      <c r="T166" s="1298"/>
      <c r="U166" s="1298"/>
      <c r="V166" s="1298"/>
      <c r="W166" s="1298"/>
      <c r="X166" s="1310"/>
      <c r="Y166" s="1295"/>
      <c r="Z166" s="1292"/>
      <c r="AA166" s="1292"/>
      <c r="AB166" s="1293"/>
      <c r="AC166" s="3287"/>
      <c r="AD166" s="3286"/>
      <c r="AE166" s="3286"/>
      <c r="AF166" s="3285"/>
      <c r="AI166" s="3056" t="str">
        <f>"25:serteikyo_kyoka_code:" &amp; IF(I166="■",1,IF(L166="■",6,IF(O166="■",5,IF(R166="■",7,0))))</f>
        <v>25:serteikyo_kyoka_code:0</v>
      </c>
    </row>
    <row r="167" spans="1:36" ht="18.75" customHeight="1">
      <c r="A167" s="735"/>
      <c r="B167" s="1407"/>
      <c r="C167" s="1303"/>
      <c r="D167" s="1304"/>
      <c r="E167" s="1275"/>
      <c r="F167" s="1289"/>
      <c r="G167" s="1275"/>
      <c r="H167" s="1539" t="s">
        <v>2390</v>
      </c>
      <c r="I167" s="3160" t="s">
        <v>121</v>
      </c>
      <c r="J167" s="3161" t="s">
        <v>1230</v>
      </c>
      <c r="K167" s="3161"/>
      <c r="L167" s="3160" t="s">
        <v>121</v>
      </c>
      <c r="M167" s="3161" t="s">
        <v>1248</v>
      </c>
      <c r="N167" s="3161"/>
      <c r="O167" s="1290"/>
      <c r="P167" s="1290"/>
      <c r="Q167" s="1290"/>
      <c r="R167" s="1290"/>
      <c r="S167" s="1290"/>
      <c r="T167" s="1290"/>
      <c r="U167" s="1290"/>
      <c r="V167" s="1290"/>
      <c r="W167" s="1290"/>
      <c r="X167" s="1331"/>
      <c r="Y167" s="1295"/>
      <c r="Z167" s="1292"/>
      <c r="AA167" s="1292"/>
      <c r="AB167" s="1293"/>
      <c r="AC167" s="3287"/>
      <c r="AD167" s="3286"/>
      <c r="AE167" s="3286"/>
      <c r="AF167" s="3285"/>
      <c r="AI167" s="3056" t="str">
        <f>"25:field221:" &amp; IF(I167="■",1,IF(L167="■",2,0))</f>
        <v>25:field221:0</v>
      </c>
    </row>
    <row r="168" spans="1:36" ht="18.75" customHeight="1">
      <c r="A168" s="735"/>
      <c r="B168" s="1407"/>
      <c r="C168" s="1303"/>
      <c r="D168" s="1304"/>
      <c r="E168" s="1275"/>
      <c r="F168" s="1289"/>
      <c r="G168" s="1275"/>
      <c r="H168" s="1540"/>
      <c r="I168" s="3160"/>
      <c r="J168" s="3161"/>
      <c r="K168" s="3161"/>
      <c r="L168" s="3160"/>
      <c r="M168" s="3161"/>
      <c r="N168" s="3161"/>
      <c r="O168" s="1296"/>
      <c r="P168" s="1296"/>
      <c r="Q168" s="1296"/>
      <c r="R168" s="1296"/>
      <c r="S168" s="1296"/>
      <c r="T168" s="1296"/>
      <c r="U168" s="1296"/>
      <c r="V168" s="1296"/>
      <c r="W168" s="1296"/>
      <c r="X168" s="1332"/>
      <c r="Y168" s="1295"/>
      <c r="Z168" s="1292"/>
      <c r="AA168" s="1292"/>
      <c r="AB168" s="1293"/>
      <c r="AC168" s="3287"/>
      <c r="AD168" s="3286"/>
      <c r="AE168" s="3286"/>
      <c r="AF168" s="3285"/>
    </row>
    <row r="169" spans="1:36" ht="18.75" customHeight="1">
      <c r="A169" s="736"/>
      <c r="B169" s="1316"/>
      <c r="C169" s="1346"/>
      <c r="D169" s="1348"/>
      <c r="E169" s="1317"/>
      <c r="F169" s="1318"/>
      <c r="G169" s="1361"/>
      <c r="H169" s="3134" t="s">
        <v>2288</v>
      </c>
      <c r="I169" s="3060" t="s">
        <v>121</v>
      </c>
      <c r="J169" s="3130" t="s">
        <v>1230</v>
      </c>
      <c r="K169" s="3130"/>
      <c r="L169" s="3059" t="s">
        <v>121</v>
      </c>
      <c r="M169" s="3130" t="s">
        <v>2287</v>
      </c>
      <c r="N169" s="3133"/>
      <c r="O169" s="3059" t="s">
        <v>121</v>
      </c>
      <c r="P169" s="3132" t="s">
        <v>2286</v>
      </c>
      <c r="Q169" s="3131"/>
      <c r="R169" s="3059" t="s">
        <v>121</v>
      </c>
      <c r="S169" s="3130" t="s">
        <v>2285</v>
      </c>
      <c r="T169" s="3131"/>
      <c r="U169" s="3059" t="s">
        <v>121</v>
      </c>
      <c r="V169" s="3130" t="s">
        <v>2284</v>
      </c>
      <c r="W169" s="3129"/>
      <c r="X169" s="3128"/>
      <c r="Y169" s="1323"/>
      <c r="Z169" s="1323"/>
      <c r="AA169" s="1323"/>
      <c r="AB169" s="1324"/>
      <c r="AC169" s="3284"/>
      <c r="AD169" s="3283"/>
      <c r="AE169" s="3283"/>
      <c r="AF169" s="3282"/>
      <c r="AG169" s="3056"/>
      <c r="AH169" s="3056"/>
      <c r="AI169" s="3056" t="str">
        <f>"25:shoguukaizen_code:"&amp;IF(I169="■",1,IF(L169="■",7,IF(O169="■",8,IF(R169="■",9,IF(U169="■","A",0)))))</f>
        <v>25:shoguukaizen_code:0</v>
      </c>
    </row>
    <row r="170" spans="1:36" ht="18.75" customHeight="1">
      <c r="A170" s="1276"/>
      <c r="B170" s="1405"/>
      <c r="C170" s="1333"/>
      <c r="D170" s="1335"/>
      <c r="E170" s="1272"/>
      <c r="F170" s="1279"/>
      <c r="G170" s="1272"/>
      <c r="H170" s="1408" t="s">
        <v>1226</v>
      </c>
      <c r="I170" s="3137" t="s">
        <v>121</v>
      </c>
      <c r="J170" s="1280" t="s">
        <v>1227</v>
      </c>
      <c r="K170" s="1281"/>
      <c r="L170" s="1282"/>
      <c r="M170" s="3073" t="s">
        <v>121</v>
      </c>
      <c r="N170" s="1280" t="s">
        <v>1228</v>
      </c>
      <c r="O170" s="1365"/>
      <c r="P170" s="1281"/>
      <c r="Q170" s="1281"/>
      <c r="R170" s="1281"/>
      <c r="S170" s="1281"/>
      <c r="T170" s="1281"/>
      <c r="U170" s="1281"/>
      <c r="V170" s="1281"/>
      <c r="W170" s="1281"/>
      <c r="X170" s="1285"/>
      <c r="Y170" s="3138" t="s">
        <v>121</v>
      </c>
      <c r="Z170" s="1270" t="s">
        <v>1229</v>
      </c>
      <c r="AA170" s="1270"/>
      <c r="AB170" s="1286"/>
      <c r="AC170" s="3276"/>
      <c r="AD170" s="3289"/>
      <c r="AE170" s="3289"/>
      <c r="AF170" s="3288"/>
      <c r="AG170" s="3056" t="str">
        <f>"ser_code = '" &amp; IF(A179="■",25,"") &amp; "'"</f>
        <v>ser_code = ''</v>
      </c>
      <c r="AH170" s="3056"/>
      <c r="AI170" s="3056" t="str">
        <f>"25:yakan_kinmu_code:" &amp; IF(I170="■",1,IF(M170="■",6,0))</f>
        <v>25:yakan_kinmu_code:0</v>
      </c>
      <c r="AJ170" s="3056" t="str">
        <f>"25:field203:" &amp; IF(Y170="■",1,IF(Y171="■",2,0))</f>
        <v>25:field203:0</v>
      </c>
    </row>
    <row r="171" spans="1:36" ht="18.75" customHeight="1">
      <c r="A171" s="735"/>
      <c r="B171" s="1407"/>
      <c r="C171" s="1303"/>
      <c r="D171" s="1304"/>
      <c r="E171" s="1275"/>
      <c r="F171" s="1289"/>
      <c r="G171" s="1275"/>
      <c r="H171" s="1541" t="s">
        <v>90</v>
      </c>
      <c r="I171" s="3137" t="s">
        <v>121</v>
      </c>
      <c r="J171" s="1273" t="s">
        <v>1230</v>
      </c>
      <c r="K171" s="1273"/>
      <c r="L171" s="1344"/>
      <c r="M171" s="3122" t="s">
        <v>121</v>
      </c>
      <c r="N171" s="1273" t="s">
        <v>1231</v>
      </c>
      <c r="O171" s="1273"/>
      <c r="P171" s="1344"/>
      <c r="Q171" s="3122" t="s">
        <v>121</v>
      </c>
      <c r="R171" s="1412" t="s">
        <v>1232</v>
      </c>
      <c r="U171" s="3122" t="s">
        <v>121</v>
      </c>
      <c r="V171" s="1412" t="s">
        <v>1233</v>
      </c>
      <c r="X171" s="1294"/>
      <c r="Y171" s="3122" t="s">
        <v>121</v>
      </c>
      <c r="Z171" s="1273" t="s">
        <v>1234</v>
      </c>
      <c r="AA171" s="1292"/>
      <c r="AB171" s="1293"/>
      <c r="AC171" s="3287"/>
      <c r="AD171" s="3286"/>
      <c r="AE171" s="3286"/>
      <c r="AF171" s="3285"/>
      <c r="AG171" s="3056" t="str">
        <f>"25:sisetukbn_code:" &amp; IF(D179="■",9,0)</f>
        <v>25:sisetukbn_code:0</v>
      </c>
      <c r="AH171" s="3056"/>
      <c r="AI171" s="3056" t="str">
        <f>"25:"&amp;IF(AND(I171="□",M171="□",Q171="□",U171="□",I172="□",M172="□",Q172="□"),"ketu_doctor_code:0",IF(I171="■","ketu_doctor_code:1:ketu_kangos_code:1:ketu_kshoku_code:1:ketu_rryoho_code:1:ketu_sryoho_code:1:ketu_gengo_code:1",
IF(M171="■","ketu_doctor_code:2","ketu_doctor_code:1")
&amp;IF(Q171="■",":ketu_kangos_code:2",":ketu_kangos_code:1")
&amp;IF(U171="■",":ketu_kshoku_code:2",":ketu_kshoku_code:1")
&amp;IF(I172="■",":ketu_rryoho_code:2",":ketu_rryoho_code:1")
&amp;IF(M172="■",":ketu_sryoho_code:2",":ketu_sryoho_code:1")
&amp;IF(Q172="■",":ketu_gengo_code:2",":ketu_gengo_code:1")))</f>
        <v>25:ketu_doctor_code:0</v>
      </c>
      <c r="AJ171" s="3056"/>
    </row>
    <row r="172" spans="1:36" ht="18.75" customHeight="1">
      <c r="A172" s="735"/>
      <c r="B172" s="1407"/>
      <c r="C172" s="1303"/>
      <c r="D172" s="1304"/>
      <c r="E172" s="1275"/>
      <c r="F172" s="1289"/>
      <c r="G172" s="1275"/>
      <c r="H172" s="1542"/>
      <c r="I172" s="3069" t="s">
        <v>121</v>
      </c>
      <c r="J172" s="1296" t="s">
        <v>1235</v>
      </c>
      <c r="K172" s="1403"/>
      <c r="L172" s="1403"/>
      <c r="M172" s="3062" t="s">
        <v>121</v>
      </c>
      <c r="N172" s="1296" t="s">
        <v>1236</v>
      </c>
      <c r="O172" s="1403"/>
      <c r="P172" s="1403"/>
      <c r="Q172" s="3062" t="s">
        <v>121</v>
      </c>
      <c r="R172" s="1296" t="s">
        <v>1291</v>
      </c>
      <c r="S172" s="1403"/>
      <c r="T172" s="1403"/>
      <c r="U172" s="1403"/>
      <c r="V172" s="1403"/>
      <c r="W172" s="1403"/>
      <c r="X172" s="1297"/>
      <c r="Y172" s="1295"/>
      <c r="Z172" s="1292"/>
      <c r="AA172" s="1292"/>
      <c r="AB172" s="1293"/>
      <c r="AC172" s="3287"/>
      <c r="AD172" s="3286"/>
      <c r="AE172" s="3286"/>
      <c r="AF172" s="3285"/>
    </row>
    <row r="173" spans="1:36" ht="18.75" customHeight="1">
      <c r="A173" s="735"/>
      <c r="B173" s="1407"/>
      <c r="C173" s="1303"/>
      <c r="D173" s="1304"/>
      <c r="E173" s="1275"/>
      <c r="F173" s="1289"/>
      <c r="G173" s="1275"/>
      <c r="H173" s="1409" t="s">
        <v>91</v>
      </c>
      <c r="I173" s="3137" t="s">
        <v>121</v>
      </c>
      <c r="J173" s="1298" t="s">
        <v>1239</v>
      </c>
      <c r="K173" s="1299"/>
      <c r="L173" s="1300"/>
      <c r="M173" s="3065" t="s">
        <v>121</v>
      </c>
      <c r="N173" s="1298" t="s">
        <v>1240</v>
      </c>
      <c r="O173" s="1307"/>
      <c r="P173" s="1299"/>
      <c r="Q173" s="1307"/>
      <c r="R173" s="1307"/>
      <c r="S173" s="1307"/>
      <c r="T173" s="1307"/>
      <c r="U173" s="1307"/>
      <c r="V173" s="1307"/>
      <c r="W173" s="1307"/>
      <c r="X173" s="1308"/>
      <c r="Y173" s="1295"/>
      <c r="Z173" s="1292"/>
      <c r="AA173" s="1292"/>
      <c r="AB173" s="1293"/>
      <c r="AC173" s="3287"/>
      <c r="AD173" s="3286"/>
      <c r="AE173" s="3286"/>
      <c r="AF173" s="3285"/>
      <c r="AI173" s="3056" t="str">
        <f>"25:unitcare_code:" &amp; IF(I173="■",1,IF(M173="■",2,0))</f>
        <v>25:unitcare_code:0</v>
      </c>
    </row>
    <row r="174" spans="1:36" s="3056" customFormat="1" ht="18.75" customHeight="1">
      <c r="A174" s="735"/>
      <c r="B174" s="1407"/>
      <c r="C174" s="1287"/>
      <c r="D174" s="1288"/>
      <c r="E174" s="1275"/>
      <c r="F174" s="1289"/>
      <c r="G174" s="1305"/>
      <c r="H174" s="3193" t="s">
        <v>1241</v>
      </c>
      <c r="I174" s="3096" t="s">
        <v>121</v>
      </c>
      <c r="J174" s="3091" t="s">
        <v>1242</v>
      </c>
      <c r="K174" s="3095"/>
      <c r="L174" s="3094"/>
      <c r="M174" s="3093" t="s">
        <v>121</v>
      </c>
      <c r="N174" s="3091" t="s">
        <v>1243</v>
      </c>
      <c r="O174" s="3095"/>
      <c r="P174" s="3192"/>
      <c r="Q174" s="3192"/>
      <c r="R174" s="3192"/>
      <c r="S174" s="3192"/>
      <c r="T174" s="3192"/>
      <c r="U174" s="3192"/>
      <c r="V174" s="3192"/>
      <c r="W174" s="3192"/>
      <c r="X174" s="3191"/>
      <c r="Y174" s="1295"/>
      <c r="Z174" s="1292"/>
      <c r="AA174" s="1292"/>
      <c r="AB174" s="1293"/>
      <c r="AC174" s="3287"/>
      <c r="AD174" s="3286"/>
      <c r="AE174" s="3286"/>
      <c r="AF174" s="3285"/>
      <c r="AI174" s="3056" t="str">
        <f>"25:sintaikousoku_code:" &amp; IF(I174="■",1,IF(M174="■",2,0))</f>
        <v>25:sintaikousoku_code:0</v>
      </c>
    </row>
    <row r="175" spans="1:36" ht="19.5" customHeight="1">
      <c r="A175" s="735"/>
      <c r="B175" s="1407"/>
      <c r="C175" s="1303"/>
      <c r="D175" s="1304"/>
      <c r="E175" s="1275"/>
      <c r="F175" s="1289"/>
      <c r="G175" s="1305"/>
      <c r="H175" s="1306" t="s">
        <v>1244</v>
      </c>
      <c r="I175" s="3137" t="s">
        <v>121</v>
      </c>
      <c r="J175" s="1298" t="s">
        <v>1242</v>
      </c>
      <c r="K175" s="1299"/>
      <c r="L175" s="1300"/>
      <c r="M175" s="3065" t="s">
        <v>121</v>
      </c>
      <c r="N175" s="1298" t="s">
        <v>1245</v>
      </c>
      <c r="O175" s="1298"/>
      <c r="P175" s="1298"/>
      <c r="Q175" s="1307"/>
      <c r="R175" s="1307"/>
      <c r="S175" s="1307"/>
      <c r="T175" s="1307"/>
      <c r="U175" s="1307"/>
      <c r="V175" s="1307"/>
      <c r="W175" s="1307"/>
      <c r="X175" s="1308"/>
      <c r="Y175" s="1292"/>
      <c r="Z175" s="1292"/>
      <c r="AA175" s="1292"/>
      <c r="AB175" s="1293"/>
      <c r="AC175" s="3287"/>
      <c r="AD175" s="3286"/>
      <c r="AE175" s="3286"/>
      <c r="AF175" s="3285"/>
      <c r="AI175" s="3056" t="str">
        <f>"25:field223:" &amp; IF(I175="■",1,IF(M175="■",2,0))</f>
        <v>25:field223:0</v>
      </c>
    </row>
    <row r="176" spans="1:36" ht="19.5" customHeight="1">
      <c r="A176" s="735"/>
      <c r="B176" s="1407"/>
      <c r="C176" s="1303"/>
      <c r="D176" s="1304"/>
      <c r="E176" s="1275"/>
      <c r="F176" s="1289"/>
      <c r="G176" s="1305"/>
      <c r="H176" s="1306" t="s">
        <v>1246</v>
      </c>
      <c r="I176" s="3137" t="s">
        <v>121</v>
      </c>
      <c r="J176" s="1296" t="s">
        <v>1242</v>
      </c>
      <c r="K176" s="1309"/>
      <c r="L176" s="1355"/>
      <c r="M176" s="3062" t="s">
        <v>121</v>
      </c>
      <c r="N176" s="1296" t="s">
        <v>1245</v>
      </c>
      <c r="O176" s="1296"/>
      <c r="P176" s="1296"/>
      <c r="Q176" s="1330"/>
      <c r="R176" s="1330"/>
      <c r="S176" s="1330"/>
      <c r="T176" s="1330"/>
      <c r="U176" s="1330"/>
      <c r="V176" s="1330"/>
      <c r="W176" s="1330"/>
      <c r="X176" s="1356"/>
      <c r="Y176" s="1292"/>
      <c r="Z176" s="1273"/>
      <c r="AA176" s="1292"/>
      <c r="AB176" s="1293"/>
      <c r="AC176" s="3287"/>
      <c r="AD176" s="3286"/>
      <c r="AE176" s="3286"/>
      <c r="AF176" s="3285"/>
      <c r="AI176" s="3056" t="str">
        <f>"25:field232:" &amp; IF(I176="■",1,IF(M176="■",2,0))</f>
        <v>25:field232:0</v>
      </c>
    </row>
    <row r="177" spans="1:36" s="1418" customFormat="1" ht="19.5" customHeight="1">
      <c r="A177" s="625"/>
      <c r="B177" s="1416"/>
      <c r="C177" s="629"/>
      <c r="D177" s="1417"/>
      <c r="E177" s="1420"/>
      <c r="F177" s="1415"/>
      <c r="G177" s="617"/>
      <c r="H177" s="3148" t="s">
        <v>2328</v>
      </c>
      <c r="I177" s="3279" t="s">
        <v>121</v>
      </c>
      <c r="J177" s="3144" t="s">
        <v>2326</v>
      </c>
      <c r="K177" s="3147"/>
      <c r="L177" s="3146"/>
      <c r="M177" s="3278" t="s">
        <v>121</v>
      </c>
      <c r="N177" s="3144" t="s">
        <v>2325</v>
      </c>
      <c r="O177" s="3145"/>
      <c r="P177" s="3144"/>
      <c r="Q177" s="3143"/>
      <c r="R177" s="3143"/>
      <c r="S177" s="3143"/>
      <c r="T177" s="3143"/>
      <c r="U177" s="3143"/>
      <c r="V177" s="3143"/>
      <c r="W177" s="3143"/>
      <c r="X177" s="3142"/>
      <c r="Y177" s="1421"/>
      <c r="Z177" s="2"/>
      <c r="AA177" s="626"/>
      <c r="AB177" s="627"/>
      <c r="AC177" s="3287"/>
      <c r="AD177" s="3286"/>
      <c r="AE177" s="3286"/>
      <c r="AF177" s="3285"/>
      <c r="AI177" s="3056" t="str">
        <f>"25:field242:" &amp; IF(I177="■",1,IF(M177="■",2,0))</f>
        <v>25:field242:0</v>
      </c>
    </row>
    <row r="178" spans="1:36" ht="18.75" customHeight="1">
      <c r="A178" s="735"/>
      <c r="B178" s="1407"/>
      <c r="C178" s="1303"/>
      <c r="D178" s="1304"/>
      <c r="E178" s="1275"/>
      <c r="F178" s="1289"/>
      <c r="G178" s="1275"/>
      <c r="H178" s="1409" t="s">
        <v>140</v>
      </c>
      <c r="I178" s="3137" t="s">
        <v>121</v>
      </c>
      <c r="J178" s="1298" t="s">
        <v>1230</v>
      </c>
      <c r="K178" s="1299"/>
      <c r="L178" s="3065" t="s">
        <v>121</v>
      </c>
      <c r="M178" s="1298" t="s">
        <v>1248</v>
      </c>
      <c r="N178" s="1326"/>
      <c r="O178" s="1307"/>
      <c r="P178" s="1307"/>
      <c r="Q178" s="1307"/>
      <c r="R178" s="1307"/>
      <c r="S178" s="1307"/>
      <c r="T178" s="1307"/>
      <c r="U178" s="1307"/>
      <c r="V178" s="1307"/>
      <c r="W178" s="1307"/>
      <c r="X178" s="1308"/>
      <c r="Y178" s="1295"/>
      <c r="Z178" s="1292"/>
      <c r="AA178" s="1292"/>
      <c r="AB178" s="1293"/>
      <c r="AC178" s="3287"/>
      <c r="AD178" s="3286"/>
      <c r="AE178" s="3286"/>
      <c r="AF178" s="3285"/>
      <c r="AI178" s="3056" t="str">
        <f>"25:yakinhaiti_code:" &amp; IF(I178="■",1,IF(L178="■",2,0))</f>
        <v>25:yakinhaiti_code:0</v>
      </c>
    </row>
    <row r="179" spans="1:36" ht="18.75" customHeight="1">
      <c r="A179" s="3069" t="s">
        <v>121</v>
      </c>
      <c r="B179" s="1407">
        <v>25</v>
      </c>
      <c r="C179" s="1303" t="s">
        <v>1340</v>
      </c>
      <c r="D179" s="3069" t="s">
        <v>121</v>
      </c>
      <c r="E179" s="1275" t="s">
        <v>1338</v>
      </c>
      <c r="F179" s="1289"/>
      <c r="G179" s="1275"/>
      <c r="H179" s="1409" t="s">
        <v>1318</v>
      </c>
      <c r="I179" s="3137" t="s">
        <v>121</v>
      </c>
      <c r="J179" s="1298" t="s">
        <v>1230</v>
      </c>
      <c r="K179" s="1299"/>
      <c r="L179" s="3065" t="s">
        <v>121</v>
      </c>
      <c r="M179" s="1298" t="s">
        <v>1248</v>
      </c>
      <c r="N179" s="1326"/>
      <c r="O179" s="1307"/>
      <c r="P179" s="1307"/>
      <c r="Q179" s="1307"/>
      <c r="R179" s="1307"/>
      <c r="S179" s="1307"/>
      <c r="T179" s="1307"/>
      <c r="U179" s="1307"/>
      <c r="V179" s="1307"/>
      <c r="W179" s="1307"/>
      <c r="X179" s="1308"/>
      <c r="Y179" s="1295"/>
      <c r="Z179" s="1292"/>
      <c r="AA179" s="1292"/>
      <c r="AB179" s="1293"/>
      <c r="AC179" s="3287"/>
      <c r="AD179" s="3286"/>
      <c r="AE179" s="3286"/>
      <c r="AF179" s="3285"/>
      <c r="AI179" s="3056" t="str">
        <f>"25:jyakuninti_uke_code:" &amp; IF(I179="■",1,IF(L179="■",2,0))</f>
        <v>25:jyakuninti_uke_code:0</v>
      </c>
    </row>
    <row r="180" spans="1:36" ht="18.75" customHeight="1">
      <c r="A180" s="735"/>
      <c r="B180" s="1407"/>
      <c r="C180" s="1303"/>
      <c r="D180" s="1304"/>
      <c r="E180" s="1275"/>
      <c r="F180" s="1289"/>
      <c r="G180" s="1275"/>
      <c r="H180" s="1409" t="s">
        <v>1324</v>
      </c>
      <c r="I180" s="3137" t="s">
        <v>121</v>
      </c>
      <c r="J180" s="1298" t="s">
        <v>1239</v>
      </c>
      <c r="K180" s="1299"/>
      <c r="L180" s="1300"/>
      <c r="M180" s="3065" t="s">
        <v>121</v>
      </c>
      <c r="N180" s="1298" t="s">
        <v>1240</v>
      </c>
      <c r="O180" s="1307"/>
      <c r="P180" s="1307"/>
      <c r="Q180" s="1307"/>
      <c r="R180" s="1307"/>
      <c r="S180" s="1307"/>
      <c r="T180" s="1307"/>
      <c r="U180" s="1307"/>
      <c r="V180" s="1307"/>
      <c r="W180" s="1307"/>
      <c r="X180" s="1308"/>
      <c r="Y180" s="1295"/>
      <c r="Z180" s="1292"/>
      <c r="AA180" s="1292"/>
      <c r="AB180" s="1293"/>
      <c r="AC180" s="3287"/>
      <c r="AD180" s="3286"/>
      <c r="AE180" s="3286"/>
      <c r="AF180" s="3285"/>
      <c r="AI180" s="3056" t="str">
        <f>"25:sougei_code:" &amp; IF(I180="■",1,IF(M180="■",2,0))</f>
        <v>25:sougei_code:0</v>
      </c>
    </row>
    <row r="181" spans="1:36" ht="19.5" customHeight="1">
      <c r="A181" s="735"/>
      <c r="B181" s="1407"/>
      <c r="C181" s="1303"/>
      <c r="D181" s="1304"/>
      <c r="E181" s="1275"/>
      <c r="F181" s="1289"/>
      <c r="G181" s="1305"/>
      <c r="H181" s="1306" t="s">
        <v>1325</v>
      </c>
      <c r="I181" s="3137" t="s">
        <v>121</v>
      </c>
      <c r="J181" s="1298" t="s">
        <v>1230</v>
      </c>
      <c r="K181" s="1298"/>
      <c r="L181" s="3065" t="s">
        <v>121</v>
      </c>
      <c r="M181" s="1298" t="s">
        <v>1248</v>
      </c>
      <c r="N181" s="1298"/>
      <c r="O181" s="1307"/>
      <c r="P181" s="1298"/>
      <c r="Q181" s="1307"/>
      <c r="R181" s="1307"/>
      <c r="S181" s="1307"/>
      <c r="T181" s="1307"/>
      <c r="U181" s="1307"/>
      <c r="V181" s="1307"/>
      <c r="W181" s="1307"/>
      <c r="X181" s="1308"/>
      <c r="Y181" s="1292"/>
      <c r="Z181" s="1292"/>
      <c r="AA181" s="1292"/>
      <c r="AB181" s="1293"/>
      <c r="AC181" s="3287"/>
      <c r="AD181" s="3286"/>
      <c r="AE181" s="3286"/>
      <c r="AF181" s="3285"/>
      <c r="AI181" s="3056" t="str">
        <f>"25:field224:" &amp; IF(I181="■",1,IF(L181="■",2,0))</f>
        <v>25:field224:0</v>
      </c>
    </row>
    <row r="182" spans="1:36" ht="18.75" customHeight="1">
      <c r="A182" s="735"/>
      <c r="B182" s="1407"/>
      <c r="C182" s="1303"/>
      <c r="D182" s="1304"/>
      <c r="E182" s="1275"/>
      <c r="F182" s="1289"/>
      <c r="G182" s="1275"/>
      <c r="H182" s="1409" t="s">
        <v>145</v>
      </c>
      <c r="I182" s="3137" t="s">
        <v>121</v>
      </c>
      <c r="J182" s="1298" t="s">
        <v>1230</v>
      </c>
      <c r="K182" s="1299"/>
      <c r="L182" s="3065" t="s">
        <v>121</v>
      </c>
      <c r="M182" s="1298" t="s">
        <v>1248</v>
      </c>
      <c r="N182" s="1326"/>
      <c r="O182" s="1307"/>
      <c r="P182" s="1307"/>
      <c r="Q182" s="1307"/>
      <c r="R182" s="1307"/>
      <c r="S182" s="1307"/>
      <c r="T182" s="1307"/>
      <c r="U182" s="1307"/>
      <c r="V182" s="1307"/>
      <c r="W182" s="1307"/>
      <c r="X182" s="1308"/>
      <c r="Y182" s="1295"/>
      <c r="Z182" s="1292"/>
      <c r="AA182" s="1292"/>
      <c r="AB182" s="1293"/>
      <c r="AC182" s="3287"/>
      <c r="AD182" s="3286"/>
      <c r="AE182" s="3286"/>
      <c r="AF182" s="3285"/>
      <c r="AI182" s="3056" t="str">
        <f>"25:ryouyoushoku_code:" &amp; IF(I182="■",1,IF(L182="■",2,0))</f>
        <v>25:ryouyoushoku_code:0</v>
      </c>
    </row>
    <row r="183" spans="1:36" ht="18.75" customHeight="1">
      <c r="A183" s="735"/>
      <c r="B183" s="1407"/>
      <c r="C183" s="1303"/>
      <c r="D183" s="1304"/>
      <c r="E183" s="1275"/>
      <c r="F183" s="1289"/>
      <c r="G183" s="1275"/>
      <c r="H183" s="1409" t="s">
        <v>1326</v>
      </c>
      <c r="I183" s="3137" t="s">
        <v>121</v>
      </c>
      <c r="J183" s="1298" t="s">
        <v>1230</v>
      </c>
      <c r="K183" s="1298"/>
      <c r="L183" s="3065" t="s">
        <v>121</v>
      </c>
      <c r="M183" s="1298" t="s">
        <v>1256</v>
      </c>
      <c r="N183" s="1298"/>
      <c r="O183" s="3065" t="s">
        <v>121</v>
      </c>
      <c r="P183" s="1298" t="s">
        <v>1257</v>
      </c>
      <c r="Q183" s="1307"/>
      <c r="R183" s="1307"/>
      <c r="S183" s="1307"/>
      <c r="T183" s="1307"/>
      <c r="U183" s="1307"/>
      <c r="V183" s="1307"/>
      <c r="W183" s="1307"/>
      <c r="X183" s="1308"/>
      <c r="Y183" s="1295"/>
      <c r="Z183" s="1292"/>
      <c r="AA183" s="1292"/>
      <c r="AB183" s="1293"/>
      <c r="AC183" s="3287"/>
      <c r="AD183" s="3286"/>
      <c r="AE183" s="3286"/>
      <c r="AF183" s="3285"/>
      <c r="AI183" s="3056" t="str">
        <f>"25:ninti_senmoncare_code:" &amp; IF(I183="■",1,IF(O183="■",3,IF(L183="■",2,0)))</f>
        <v>25:ninti_senmoncare_code:0</v>
      </c>
    </row>
    <row r="184" spans="1:36" ht="18.75" customHeight="1">
      <c r="A184" s="735"/>
      <c r="B184" s="1407"/>
      <c r="C184" s="1303"/>
      <c r="D184" s="1304"/>
      <c r="E184" s="1275"/>
      <c r="F184" s="1289"/>
      <c r="G184" s="1275"/>
      <c r="H184" s="1313" t="s">
        <v>1265</v>
      </c>
      <c r="I184" s="3137" t="s">
        <v>121</v>
      </c>
      <c r="J184" s="1298" t="s">
        <v>1230</v>
      </c>
      <c r="K184" s="1298"/>
      <c r="L184" s="3065" t="s">
        <v>121</v>
      </c>
      <c r="M184" s="1298" t="s">
        <v>1256</v>
      </c>
      <c r="N184" s="1298"/>
      <c r="O184" s="3065" t="s">
        <v>121</v>
      </c>
      <c r="P184" s="1298" t="s">
        <v>1257</v>
      </c>
      <c r="Q184" s="1307"/>
      <c r="R184" s="1307"/>
      <c r="S184" s="1307"/>
      <c r="T184" s="1307"/>
      <c r="U184" s="1314"/>
      <c r="V184" s="1314"/>
      <c r="W184" s="1314"/>
      <c r="X184" s="1315"/>
      <c r="Y184" s="1295"/>
      <c r="Z184" s="1292"/>
      <c r="AA184" s="1292"/>
      <c r="AB184" s="1293"/>
      <c r="AC184" s="3287"/>
      <c r="AD184" s="3286"/>
      <c r="AE184" s="3286"/>
      <c r="AF184" s="3285"/>
      <c r="AI184" s="3056" t="str">
        <f>"25:field225:" &amp; IF(I184="■",1,IF(L184="■",2,IF(O184="■",3,0)))</f>
        <v>25:field225:0</v>
      </c>
    </row>
    <row r="185" spans="1:36" ht="18.75" customHeight="1">
      <c r="A185" s="735"/>
      <c r="B185" s="1407"/>
      <c r="C185" s="1303"/>
      <c r="D185" s="1304"/>
      <c r="E185" s="1275"/>
      <c r="F185" s="1289"/>
      <c r="G185" s="1275"/>
      <c r="H185" s="1409" t="s">
        <v>1266</v>
      </c>
      <c r="I185" s="3137" t="s">
        <v>121</v>
      </c>
      <c r="J185" s="1298" t="s">
        <v>1230</v>
      </c>
      <c r="K185" s="1298"/>
      <c r="L185" s="3065" t="s">
        <v>121</v>
      </c>
      <c r="M185" s="1298" t="s">
        <v>1267</v>
      </c>
      <c r="N185" s="1298"/>
      <c r="O185" s="3065" t="s">
        <v>121</v>
      </c>
      <c r="P185" s="1298" t="s">
        <v>1268</v>
      </c>
      <c r="Q185" s="1326"/>
      <c r="R185" s="3065" t="s">
        <v>121</v>
      </c>
      <c r="S185" s="1298" t="s">
        <v>1269</v>
      </c>
      <c r="T185" s="1298"/>
      <c r="U185" s="1326"/>
      <c r="V185" s="1326"/>
      <c r="W185" s="1326"/>
      <c r="X185" s="1327"/>
      <c r="Y185" s="1295"/>
      <c r="Z185" s="1292"/>
      <c r="AA185" s="1292"/>
      <c r="AB185" s="1293"/>
      <c r="AC185" s="3287"/>
      <c r="AD185" s="3286"/>
      <c r="AE185" s="3286"/>
      <c r="AF185" s="3285"/>
      <c r="AI185" s="3056" t="str">
        <f>"25:serteikyo_kyoka_code:" &amp; IF(I185="■",1,IF(L185="■",6,IF(O185="■",5,IF(R185="■",7,0))))</f>
        <v>25:serteikyo_kyoka_code:0</v>
      </c>
    </row>
    <row r="186" spans="1:36" ht="18.75" customHeight="1">
      <c r="A186" s="735"/>
      <c r="B186" s="1407"/>
      <c r="C186" s="1303"/>
      <c r="D186" s="1304"/>
      <c r="E186" s="1275"/>
      <c r="F186" s="1289"/>
      <c r="G186" s="1275"/>
      <c r="H186" s="1539" t="s">
        <v>2390</v>
      </c>
      <c r="I186" s="3160" t="s">
        <v>121</v>
      </c>
      <c r="J186" s="3161" t="s">
        <v>1230</v>
      </c>
      <c r="K186" s="3161"/>
      <c r="L186" s="3160" t="s">
        <v>121</v>
      </c>
      <c r="M186" s="3161" t="s">
        <v>1248</v>
      </c>
      <c r="N186" s="3161"/>
      <c r="O186" s="1290"/>
      <c r="P186" s="1290"/>
      <c r="Q186" s="1290"/>
      <c r="R186" s="1290"/>
      <c r="S186" s="1290"/>
      <c r="T186" s="1290"/>
      <c r="U186" s="1290"/>
      <c r="V186" s="1290"/>
      <c r="W186" s="1290"/>
      <c r="X186" s="1331"/>
      <c r="Y186" s="1295"/>
      <c r="Z186" s="1292"/>
      <c r="AA186" s="1292"/>
      <c r="AB186" s="1293"/>
      <c r="AC186" s="3287"/>
      <c r="AD186" s="3286"/>
      <c r="AE186" s="3286"/>
      <c r="AF186" s="3285"/>
      <c r="AI186" s="3056" t="str">
        <f>"25:field221:" &amp; IF(I186="■",1,IF(L186="■",2,0))</f>
        <v>25:field221:0</v>
      </c>
    </row>
    <row r="187" spans="1:36" ht="18.75" customHeight="1">
      <c r="A187" s="735"/>
      <c r="B187" s="1407"/>
      <c r="C187" s="1303"/>
      <c r="D187" s="1304"/>
      <c r="E187" s="1275"/>
      <c r="F187" s="1289"/>
      <c r="G187" s="1275"/>
      <c r="H187" s="1540"/>
      <c r="I187" s="3160"/>
      <c r="J187" s="3161"/>
      <c r="K187" s="3161"/>
      <c r="L187" s="3160"/>
      <c r="M187" s="3161"/>
      <c r="N187" s="3161"/>
      <c r="O187" s="1296"/>
      <c r="P187" s="1296"/>
      <c r="Q187" s="1296"/>
      <c r="R187" s="1296"/>
      <c r="S187" s="1296"/>
      <c r="T187" s="1296"/>
      <c r="U187" s="1296"/>
      <c r="V187" s="1296"/>
      <c r="W187" s="1296"/>
      <c r="X187" s="1332"/>
      <c r="Y187" s="1295"/>
      <c r="Z187" s="1292"/>
      <c r="AA187" s="1292"/>
      <c r="AB187" s="1293"/>
      <c r="AC187" s="3287"/>
      <c r="AD187" s="3286"/>
      <c r="AE187" s="3286"/>
      <c r="AF187" s="3285"/>
    </row>
    <row r="188" spans="1:36" ht="18.75" customHeight="1">
      <c r="A188" s="736"/>
      <c r="B188" s="1407"/>
      <c r="C188" s="1346"/>
      <c r="D188" s="1348"/>
      <c r="E188" s="1317"/>
      <c r="F188" s="1318"/>
      <c r="G188" s="1361"/>
      <c r="H188" s="3134" t="s">
        <v>2288</v>
      </c>
      <c r="I188" s="3137" t="s">
        <v>121</v>
      </c>
      <c r="J188" s="3130" t="s">
        <v>1230</v>
      </c>
      <c r="K188" s="3130"/>
      <c r="L188" s="3059" t="s">
        <v>121</v>
      </c>
      <c r="M188" s="3130" t="s">
        <v>2287</v>
      </c>
      <c r="N188" s="3133"/>
      <c r="O188" s="3059" t="s">
        <v>121</v>
      </c>
      <c r="P188" s="3132" t="s">
        <v>2286</v>
      </c>
      <c r="Q188" s="3131"/>
      <c r="R188" s="3059" t="s">
        <v>121</v>
      </c>
      <c r="S188" s="3130" t="s">
        <v>2285</v>
      </c>
      <c r="T188" s="3131"/>
      <c r="U188" s="3059" t="s">
        <v>121</v>
      </c>
      <c r="V188" s="3130" t="s">
        <v>2284</v>
      </c>
      <c r="W188" s="3129"/>
      <c r="X188" s="3128"/>
      <c r="Y188" s="1323"/>
      <c r="Z188" s="1323"/>
      <c r="AA188" s="1323"/>
      <c r="AB188" s="1324"/>
      <c r="AC188" s="3284"/>
      <c r="AD188" s="3283"/>
      <c r="AE188" s="3283"/>
      <c r="AF188" s="3282"/>
      <c r="AG188" s="3056"/>
      <c r="AH188" s="3056"/>
      <c r="AI188" s="3056" t="str">
        <f>"25:shoguukaizen_code:"&amp;IF(I188="■",1,IF(L188="■",7,IF(O188="■",8,IF(R188="■",9,IF(U188="■","A",0)))))</f>
        <v>25:shoguukaizen_code:0</v>
      </c>
    </row>
    <row r="189" spans="1:36" ht="18.75" customHeight="1">
      <c r="A189" s="1276"/>
      <c r="B189" s="1405"/>
      <c r="C189" s="1333"/>
      <c r="D189" s="1335"/>
      <c r="E189" s="1272"/>
      <c r="F189" s="1279"/>
      <c r="G189" s="1272"/>
      <c r="H189" s="1408" t="s">
        <v>1226</v>
      </c>
      <c r="I189" s="3137" t="s">
        <v>121</v>
      </c>
      <c r="J189" s="1280" t="s">
        <v>1227</v>
      </c>
      <c r="K189" s="1281"/>
      <c r="L189" s="1282"/>
      <c r="M189" s="3073" t="s">
        <v>121</v>
      </c>
      <c r="N189" s="1280" t="s">
        <v>1228</v>
      </c>
      <c r="O189" s="1365"/>
      <c r="P189" s="1281"/>
      <c r="Q189" s="1281"/>
      <c r="R189" s="1281"/>
      <c r="S189" s="1281"/>
      <c r="T189" s="1281"/>
      <c r="U189" s="1281"/>
      <c r="V189" s="1281"/>
      <c r="W189" s="1281"/>
      <c r="X189" s="1285"/>
      <c r="Y189" s="3138" t="s">
        <v>121</v>
      </c>
      <c r="Z189" s="1270" t="s">
        <v>1229</v>
      </c>
      <c r="AA189" s="1270"/>
      <c r="AB189" s="1286"/>
      <c r="AC189" s="3276"/>
      <c r="AD189" s="3289"/>
      <c r="AE189" s="3289"/>
      <c r="AF189" s="3288"/>
      <c r="AG189" s="3056" t="str">
        <f>"ser_code = '" &amp; IF(A198="■",25,"") &amp; "'"</f>
        <v>ser_code = ''</v>
      </c>
      <c r="AH189" s="3056"/>
      <c r="AI189" s="3056" t="str">
        <f>"25:yakan_kinmu_code:" &amp; IF(I189="■",1,IF(M189="■",6,0))</f>
        <v>25:yakan_kinmu_code:0</v>
      </c>
      <c r="AJ189" s="3056" t="str">
        <f>"25:field203:" &amp; IF(Y189="■",1,IF(Y190="■",2,0))</f>
        <v>25:field203:0</v>
      </c>
    </row>
    <row r="190" spans="1:36" ht="18.75" customHeight="1">
      <c r="A190" s="735"/>
      <c r="B190" s="1407"/>
      <c r="C190" s="1303"/>
      <c r="D190" s="1304"/>
      <c r="E190" s="1275"/>
      <c r="F190" s="1289"/>
      <c r="G190" s="1275"/>
      <c r="H190" s="1541" t="s">
        <v>90</v>
      </c>
      <c r="I190" s="3137" t="s">
        <v>121</v>
      </c>
      <c r="J190" s="1273" t="s">
        <v>1230</v>
      </c>
      <c r="K190" s="1273"/>
      <c r="L190" s="1344"/>
      <c r="M190" s="3122" t="s">
        <v>121</v>
      </c>
      <c r="N190" s="1273" t="s">
        <v>1231</v>
      </c>
      <c r="O190" s="1273"/>
      <c r="P190" s="1344"/>
      <c r="Q190" s="3122" t="s">
        <v>121</v>
      </c>
      <c r="R190" s="1412" t="s">
        <v>1232</v>
      </c>
      <c r="U190" s="3122" t="s">
        <v>121</v>
      </c>
      <c r="V190" s="1412" t="s">
        <v>1233</v>
      </c>
      <c r="X190" s="1294"/>
      <c r="Y190" s="3122" t="s">
        <v>121</v>
      </c>
      <c r="Z190" s="1273" t="s">
        <v>1234</v>
      </c>
      <c r="AA190" s="1292"/>
      <c r="AB190" s="1293"/>
      <c r="AC190" s="3287"/>
      <c r="AD190" s="3286"/>
      <c r="AE190" s="3286"/>
      <c r="AF190" s="3285"/>
      <c r="AG190" s="3056" t="str">
        <f>"25:sisetukbn_code:" &amp; IF(D198="■","A",0)</f>
        <v>25:sisetukbn_code:0</v>
      </c>
      <c r="AH190" s="3056"/>
      <c r="AI190" s="3056" t="str">
        <f>"25:"&amp;IF(AND(I190="□",M190="□",Q190="□",U190="□",I191="□",M191="□",Q191="□"),"ketu_doctor_code:0",IF(I190="■","ketu_doctor_code:1:ketu_kangos_code:1:ketu_kshoku_code:1:ketu_rryoho_code:1:ketu_sryoho_code:1:ketu_gengo_code:1",
IF(M190="■","ketu_doctor_code:2","ketu_doctor_code:1")
&amp;IF(Q190="■",":ketu_kangos_code:2",":ketu_kangos_code:1")
&amp;IF(U190="■",":ketu_kshoku_code:2",":ketu_kshoku_code:1")
&amp;IF(I191="■",":ketu_rryoho_code:2",":ketu_rryoho_code:1")
&amp;IF(M191="■",":ketu_sryoho_code:2",":ketu_sryoho_code:1")
&amp;IF(Q191="■",":ketu_gengo_code:2",":ketu_gengo_code:1")))</f>
        <v>25:ketu_doctor_code:0</v>
      </c>
      <c r="AJ190" s="3056"/>
    </row>
    <row r="191" spans="1:36" ht="18.75" customHeight="1">
      <c r="A191" s="735"/>
      <c r="B191" s="1407"/>
      <c r="C191" s="1303"/>
      <c r="D191" s="1304"/>
      <c r="E191" s="1275"/>
      <c r="F191" s="1289"/>
      <c r="G191" s="1275"/>
      <c r="H191" s="1542"/>
      <c r="I191" s="3069" t="s">
        <v>121</v>
      </c>
      <c r="J191" s="1296" t="s">
        <v>1235</v>
      </c>
      <c r="K191" s="1403"/>
      <c r="L191" s="1403"/>
      <c r="M191" s="3062" t="s">
        <v>121</v>
      </c>
      <c r="N191" s="1296" t="s">
        <v>1236</v>
      </c>
      <c r="O191" s="1403"/>
      <c r="P191" s="1403"/>
      <c r="Q191" s="3062" t="s">
        <v>121</v>
      </c>
      <c r="R191" s="1296" t="s">
        <v>1291</v>
      </c>
      <c r="S191" s="1403"/>
      <c r="T191" s="1403"/>
      <c r="U191" s="1403"/>
      <c r="V191" s="1403"/>
      <c r="W191" s="1403"/>
      <c r="X191" s="1297"/>
      <c r="Y191" s="1295"/>
      <c r="Z191" s="1292"/>
      <c r="AA191" s="1292"/>
      <c r="AB191" s="1293"/>
      <c r="AC191" s="3287"/>
      <c r="AD191" s="3286"/>
      <c r="AE191" s="3286"/>
      <c r="AF191" s="3285"/>
    </row>
    <row r="192" spans="1:36" ht="18.75" customHeight="1">
      <c r="A192" s="735"/>
      <c r="B192" s="1407"/>
      <c r="C192" s="1303"/>
      <c r="D192" s="1304"/>
      <c r="E192" s="1275"/>
      <c r="F192" s="1289"/>
      <c r="G192" s="1275"/>
      <c r="H192" s="1409" t="s">
        <v>91</v>
      </c>
      <c r="I192" s="3137" t="s">
        <v>121</v>
      </c>
      <c r="J192" s="1298" t="s">
        <v>1239</v>
      </c>
      <c r="K192" s="1299"/>
      <c r="L192" s="1300"/>
      <c r="M192" s="3065" t="s">
        <v>121</v>
      </c>
      <c r="N192" s="1298" t="s">
        <v>1240</v>
      </c>
      <c r="O192" s="1307"/>
      <c r="P192" s="1299"/>
      <c r="Q192" s="1307"/>
      <c r="R192" s="1307"/>
      <c r="S192" s="1307"/>
      <c r="T192" s="1307"/>
      <c r="U192" s="1307"/>
      <c r="V192" s="1307"/>
      <c r="W192" s="1307"/>
      <c r="X192" s="1308"/>
      <c r="Y192" s="1295"/>
      <c r="Z192" s="1292"/>
      <c r="AA192" s="1292"/>
      <c r="AB192" s="1293"/>
      <c r="AC192" s="3287"/>
      <c r="AD192" s="3286"/>
      <c r="AE192" s="3286"/>
      <c r="AF192" s="3285"/>
      <c r="AI192" s="3056" t="str">
        <f>"25:unitcare_code:" &amp; IF(I192="■",1,IF(M192="■",2,0))</f>
        <v>25:unitcare_code:0</v>
      </c>
    </row>
    <row r="193" spans="1:36" s="3056" customFormat="1" ht="18.75" customHeight="1">
      <c r="A193" s="735"/>
      <c r="B193" s="1407"/>
      <c r="C193" s="1287"/>
      <c r="D193" s="1288"/>
      <c r="E193" s="1275"/>
      <c r="F193" s="1289"/>
      <c r="G193" s="1305"/>
      <c r="H193" s="3193" t="s">
        <v>1241</v>
      </c>
      <c r="I193" s="3096" t="s">
        <v>121</v>
      </c>
      <c r="J193" s="3091" t="s">
        <v>1242</v>
      </c>
      <c r="K193" s="3095"/>
      <c r="L193" s="3094"/>
      <c r="M193" s="3093" t="s">
        <v>121</v>
      </c>
      <c r="N193" s="3091" t="s">
        <v>1243</v>
      </c>
      <c r="O193" s="3095"/>
      <c r="P193" s="3192"/>
      <c r="Q193" s="3192"/>
      <c r="R193" s="3192"/>
      <c r="S193" s="3192"/>
      <c r="T193" s="3192"/>
      <c r="U193" s="3192"/>
      <c r="V193" s="3192"/>
      <c r="W193" s="3192"/>
      <c r="X193" s="3191"/>
      <c r="Y193" s="1295"/>
      <c r="Z193" s="1292"/>
      <c r="AA193" s="1292"/>
      <c r="AB193" s="1293"/>
      <c r="AC193" s="3287"/>
      <c r="AD193" s="3286"/>
      <c r="AE193" s="3286"/>
      <c r="AF193" s="3285"/>
      <c r="AI193" s="3056" t="str">
        <f>"25:sintaikousoku_code:" &amp; IF(I193="■",1,IF(M193="■",2,0))</f>
        <v>25:sintaikousoku_code:0</v>
      </c>
    </row>
    <row r="194" spans="1:36" ht="19.5" customHeight="1">
      <c r="A194" s="735"/>
      <c r="B194" s="1407"/>
      <c r="C194" s="1303"/>
      <c r="D194" s="1304"/>
      <c r="E194" s="1275"/>
      <c r="F194" s="1289"/>
      <c r="G194" s="1305"/>
      <c r="H194" s="1306" t="s">
        <v>1244</v>
      </c>
      <c r="I194" s="3137" t="s">
        <v>121</v>
      </c>
      <c r="J194" s="1298" t="s">
        <v>1242</v>
      </c>
      <c r="K194" s="1299"/>
      <c r="L194" s="1300"/>
      <c r="M194" s="3065" t="s">
        <v>121</v>
      </c>
      <c r="N194" s="1298" t="s">
        <v>1245</v>
      </c>
      <c r="O194" s="1298"/>
      <c r="P194" s="1298"/>
      <c r="Q194" s="1307"/>
      <c r="R194" s="1307"/>
      <c r="S194" s="1307"/>
      <c r="T194" s="1307"/>
      <c r="U194" s="1307"/>
      <c r="V194" s="1307"/>
      <c r="W194" s="1307"/>
      <c r="X194" s="1308"/>
      <c r="Y194" s="1292"/>
      <c r="Z194" s="1292"/>
      <c r="AA194" s="1292"/>
      <c r="AB194" s="1293"/>
      <c r="AC194" s="3287"/>
      <c r="AD194" s="3286"/>
      <c r="AE194" s="3286"/>
      <c r="AF194" s="3285"/>
      <c r="AI194" s="3056" t="str">
        <f>"25:field223:" &amp; IF(I194="■",1,IF(M194="■",2,0))</f>
        <v>25:field223:0</v>
      </c>
    </row>
    <row r="195" spans="1:36" ht="19.5" customHeight="1">
      <c r="A195" s="735"/>
      <c r="B195" s="1407"/>
      <c r="C195" s="1303"/>
      <c r="D195" s="1304"/>
      <c r="E195" s="1275"/>
      <c r="F195" s="1289"/>
      <c r="G195" s="1305"/>
      <c r="H195" s="1306" t="s">
        <v>1246</v>
      </c>
      <c r="I195" s="3137" t="s">
        <v>121</v>
      </c>
      <c r="J195" s="1296" t="s">
        <v>1242</v>
      </c>
      <c r="K195" s="1309"/>
      <c r="L195" s="1355"/>
      <c r="M195" s="3062" t="s">
        <v>121</v>
      </c>
      <c r="N195" s="1296" t="s">
        <v>1245</v>
      </c>
      <c r="O195" s="1296"/>
      <c r="P195" s="1296"/>
      <c r="Q195" s="1330"/>
      <c r="R195" s="1330"/>
      <c r="S195" s="1330"/>
      <c r="T195" s="1330"/>
      <c r="U195" s="1330"/>
      <c r="V195" s="1330"/>
      <c r="W195" s="1330"/>
      <c r="X195" s="1356"/>
      <c r="Y195" s="1292"/>
      <c r="Z195" s="1273"/>
      <c r="AA195" s="1292"/>
      <c r="AB195" s="1293"/>
      <c r="AC195" s="3287"/>
      <c r="AD195" s="3286"/>
      <c r="AE195" s="3286"/>
      <c r="AF195" s="3285"/>
      <c r="AI195" s="3056" t="str">
        <f>"25:field232:" &amp; IF(I195="■",1,IF(M195="■",2,0))</f>
        <v>25:field232:0</v>
      </c>
    </row>
    <row r="196" spans="1:36" ht="18.75" customHeight="1">
      <c r="A196" s="735"/>
      <c r="B196" s="1407"/>
      <c r="C196" s="1303"/>
      <c r="D196" s="1304"/>
      <c r="E196" s="1275"/>
      <c r="F196" s="1289"/>
      <c r="G196" s="1275"/>
      <c r="H196" s="1409" t="s">
        <v>140</v>
      </c>
      <c r="I196" s="3137" t="s">
        <v>121</v>
      </c>
      <c r="J196" s="1298" t="s">
        <v>1230</v>
      </c>
      <c r="K196" s="1299"/>
      <c r="L196" s="3065" t="s">
        <v>121</v>
      </c>
      <c r="M196" s="1298" t="s">
        <v>1248</v>
      </c>
      <c r="N196" s="1326"/>
      <c r="O196" s="1307"/>
      <c r="P196" s="1307"/>
      <c r="Q196" s="1307"/>
      <c r="R196" s="1307"/>
      <c r="S196" s="1307"/>
      <c r="T196" s="1307"/>
      <c r="U196" s="1307"/>
      <c r="V196" s="1307"/>
      <c r="W196" s="1307"/>
      <c r="X196" s="1308"/>
      <c r="Y196" s="1295"/>
      <c r="Z196" s="1292"/>
      <c r="AA196" s="1292"/>
      <c r="AB196" s="1293"/>
      <c r="AC196" s="3287"/>
      <c r="AD196" s="3286"/>
      <c r="AE196" s="3286"/>
      <c r="AF196" s="3285"/>
      <c r="AI196" s="3056" t="str">
        <f>"25:yakinhaiti_code:" &amp; IF(I196="■",1,IF(L196="■",2,0))</f>
        <v>25:yakinhaiti_code:0</v>
      </c>
    </row>
    <row r="197" spans="1:36" ht="18.75" customHeight="1">
      <c r="A197" s="735"/>
      <c r="B197" s="1407"/>
      <c r="C197" s="1303"/>
      <c r="D197" s="1304"/>
      <c r="E197" s="1275"/>
      <c r="F197" s="1289"/>
      <c r="G197" s="1275"/>
      <c r="H197" s="1409" t="s">
        <v>1318</v>
      </c>
      <c r="I197" s="3137" t="s">
        <v>121</v>
      </c>
      <c r="J197" s="1298" t="s">
        <v>1230</v>
      </c>
      <c r="K197" s="1299"/>
      <c r="L197" s="3065" t="s">
        <v>121</v>
      </c>
      <c r="M197" s="1298" t="s">
        <v>1248</v>
      </c>
      <c r="N197" s="1326"/>
      <c r="O197" s="1307"/>
      <c r="P197" s="1307"/>
      <c r="Q197" s="1307"/>
      <c r="R197" s="1307"/>
      <c r="S197" s="1307"/>
      <c r="T197" s="1307"/>
      <c r="U197" s="1307"/>
      <c r="V197" s="1307"/>
      <c r="W197" s="1307"/>
      <c r="X197" s="1308"/>
      <c r="Y197" s="1295"/>
      <c r="Z197" s="1292"/>
      <c r="AA197" s="1292"/>
      <c r="AB197" s="1293"/>
      <c r="AC197" s="3287"/>
      <c r="AD197" s="3286"/>
      <c r="AE197" s="3286"/>
      <c r="AF197" s="3285"/>
      <c r="AI197" s="3056" t="str">
        <f>"25:jyakuninti_uke_code:" &amp; IF(I197="■",1,IF(L197="■",2,0))</f>
        <v>25:jyakuninti_uke_code:0</v>
      </c>
    </row>
    <row r="198" spans="1:36" ht="18.75" customHeight="1">
      <c r="A198" s="3069" t="s">
        <v>121</v>
      </c>
      <c r="B198" s="1407">
        <v>25</v>
      </c>
      <c r="C198" s="1303" t="s">
        <v>1340</v>
      </c>
      <c r="D198" s="3069" t="s">
        <v>121</v>
      </c>
      <c r="E198" s="1275" t="s">
        <v>1339</v>
      </c>
      <c r="F198" s="1289"/>
      <c r="G198" s="1275"/>
      <c r="H198" s="1409" t="s">
        <v>1324</v>
      </c>
      <c r="I198" s="3137" t="s">
        <v>121</v>
      </c>
      <c r="J198" s="1298" t="s">
        <v>1239</v>
      </c>
      <c r="K198" s="1299"/>
      <c r="L198" s="1300"/>
      <c r="M198" s="3065" t="s">
        <v>121</v>
      </c>
      <c r="N198" s="1298" t="s">
        <v>1240</v>
      </c>
      <c r="O198" s="1307"/>
      <c r="P198" s="1307"/>
      <c r="Q198" s="1307"/>
      <c r="R198" s="1307"/>
      <c r="S198" s="1307"/>
      <c r="T198" s="1307"/>
      <c r="U198" s="1307"/>
      <c r="V198" s="1307"/>
      <c r="W198" s="1307"/>
      <c r="X198" s="1308"/>
      <c r="Y198" s="1295"/>
      <c r="Z198" s="1292"/>
      <c r="AA198" s="1292"/>
      <c r="AB198" s="1293"/>
      <c r="AC198" s="3287"/>
      <c r="AD198" s="3286"/>
      <c r="AE198" s="3286"/>
      <c r="AF198" s="3285"/>
      <c r="AI198" s="3056" t="str">
        <f>"25:sougei_code:" &amp; IF(I198="■",1,IF(M198="■",2,0))</f>
        <v>25:sougei_code:0</v>
      </c>
    </row>
    <row r="199" spans="1:36" ht="19.5" customHeight="1">
      <c r="A199" s="735"/>
      <c r="B199" s="1407"/>
      <c r="C199" s="1303"/>
      <c r="D199" s="1304"/>
      <c r="E199" s="1275"/>
      <c r="F199" s="1289"/>
      <c r="G199" s="1305"/>
      <c r="H199" s="1306" t="s">
        <v>1325</v>
      </c>
      <c r="I199" s="3137" t="s">
        <v>121</v>
      </c>
      <c r="J199" s="1298" t="s">
        <v>1230</v>
      </c>
      <c r="K199" s="1298"/>
      <c r="L199" s="3065" t="s">
        <v>121</v>
      </c>
      <c r="M199" s="1298" t="s">
        <v>1248</v>
      </c>
      <c r="N199" s="1298"/>
      <c r="O199" s="1307"/>
      <c r="P199" s="1298"/>
      <c r="Q199" s="1307"/>
      <c r="R199" s="1307"/>
      <c r="S199" s="1307"/>
      <c r="T199" s="1307"/>
      <c r="U199" s="1307"/>
      <c r="V199" s="1307"/>
      <c r="W199" s="1307"/>
      <c r="X199" s="1308"/>
      <c r="Y199" s="1292"/>
      <c r="Z199" s="1292"/>
      <c r="AA199" s="1292"/>
      <c r="AB199" s="1293"/>
      <c r="AC199" s="3287"/>
      <c r="AD199" s="3286"/>
      <c r="AE199" s="3286"/>
      <c r="AF199" s="3285"/>
      <c r="AI199" s="3056" t="str">
        <f>"25:field224:" &amp; IF(I199="■",1,IF(L199="■",2,0))</f>
        <v>25:field224:0</v>
      </c>
    </row>
    <row r="200" spans="1:36" ht="18.75" customHeight="1">
      <c r="A200" s="735"/>
      <c r="B200" s="1407"/>
      <c r="C200" s="1303"/>
      <c r="D200" s="1304"/>
      <c r="E200" s="1275"/>
      <c r="F200" s="1289"/>
      <c r="G200" s="1275"/>
      <c r="H200" s="1409" t="s">
        <v>145</v>
      </c>
      <c r="I200" s="3137" t="s">
        <v>121</v>
      </c>
      <c r="J200" s="1298" t="s">
        <v>1230</v>
      </c>
      <c r="K200" s="1299"/>
      <c r="L200" s="3065" t="s">
        <v>121</v>
      </c>
      <c r="M200" s="1298" t="s">
        <v>1248</v>
      </c>
      <c r="N200" s="1326"/>
      <c r="O200" s="1307"/>
      <c r="P200" s="1307"/>
      <c r="Q200" s="1307"/>
      <c r="R200" s="1307"/>
      <c r="S200" s="1307"/>
      <c r="T200" s="1307"/>
      <c r="U200" s="1307"/>
      <c r="V200" s="1307"/>
      <c r="W200" s="1307"/>
      <c r="X200" s="1308"/>
      <c r="Y200" s="1295"/>
      <c r="Z200" s="1292"/>
      <c r="AA200" s="1292"/>
      <c r="AB200" s="1293"/>
      <c r="AC200" s="3287"/>
      <c r="AD200" s="3286"/>
      <c r="AE200" s="3286"/>
      <c r="AF200" s="3285"/>
      <c r="AI200" s="3056" t="str">
        <f>"25:ryouyoushoku_code:" &amp; IF(I200="■",1,IF(L200="■",2,0))</f>
        <v>25:ryouyoushoku_code:0</v>
      </c>
    </row>
    <row r="201" spans="1:36" ht="18.75" customHeight="1">
      <c r="A201" s="735"/>
      <c r="B201" s="1407"/>
      <c r="C201" s="1303"/>
      <c r="D201" s="1304"/>
      <c r="E201" s="1275"/>
      <c r="F201" s="1289"/>
      <c r="G201" s="1275"/>
      <c r="H201" s="1409" t="s">
        <v>1326</v>
      </c>
      <c r="I201" s="3137" t="s">
        <v>121</v>
      </c>
      <c r="J201" s="1298" t="s">
        <v>1230</v>
      </c>
      <c r="K201" s="1298"/>
      <c r="L201" s="3065" t="s">
        <v>121</v>
      </c>
      <c r="M201" s="1298" t="s">
        <v>1256</v>
      </c>
      <c r="N201" s="1298"/>
      <c r="O201" s="3065" t="s">
        <v>121</v>
      </c>
      <c r="P201" s="1298" t="s">
        <v>1257</v>
      </c>
      <c r="Q201" s="1307"/>
      <c r="R201" s="1307"/>
      <c r="S201" s="1307"/>
      <c r="T201" s="1307"/>
      <c r="U201" s="1307"/>
      <c r="V201" s="1307"/>
      <c r="W201" s="1307"/>
      <c r="X201" s="1308"/>
      <c r="Y201" s="1295"/>
      <c r="Z201" s="1292"/>
      <c r="AA201" s="1292"/>
      <c r="AB201" s="1293"/>
      <c r="AC201" s="3287"/>
      <c r="AD201" s="3286"/>
      <c r="AE201" s="3286"/>
      <c r="AF201" s="3285"/>
      <c r="AI201" s="3056" t="str">
        <f>"25:ninti_senmoncare_code:" &amp; IF(I201="■",1,IF(O201="■",3,IF(L201="■",2,0)))</f>
        <v>25:ninti_senmoncare_code:0</v>
      </c>
    </row>
    <row r="202" spans="1:36" ht="18.75" customHeight="1">
      <c r="A202" s="735"/>
      <c r="B202" s="1407"/>
      <c r="C202" s="1303"/>
      <c r="D202" s="1304"/>
      <c r="E202" s="1275"/>
      <c r="F202" s="1289"/>
      <c r="G202" s="1275"/>
      <c r="H202" s="1313" t="s">
        <v>1265</v>
      </c>
      <c r="I202" s="3137" t="s">
        <v>121</v>
      </c>
      <c r="J202" s="1298" t="s">
        <v>1230</v>
      </c>
      <c r="K202" s="1298"/>
      <c r="L202" s="3065" t="s">
        <v>121</v>
      </c>
      <c r="M202" s="1298" t="s">
        <v>1256</v>
      </c>
      <c r="N202" s="1298"/>
      <c r="O202" s="3065" t="s">
        <v>121</v>
      </c>
      <c r="P202" s="1298" t="s">
        <v>1257</v>
      </c>
      <c r="Q202" s="1307"/>
      <c r="R202" s="1307"/>
      <c r="S202" s="1307"/>
      <c r="T202" s="1307"/>
      <c r="U202" s="1314"/>
      <c r="V202" s="1314"/>
      <c r="W202" s="1314"/>
      <c r="X202" s="1315"/>
      <c r="Y202" s="1295"/>
      <c r="Z202" s="1292"/>
      <c r="AA202" s="1292"/>
      <c r="AB202" s="1293"/>
      <c r="AC202" s="3287"/>
      <c r="AD202" s="3286"/>
      <c r="AE202" s="3286"/>
      <c r="AF202" s="3285"/>
      <c r="AI202" s="3056" t="str">
        <f>"25:field225:" &amp; IF(I202="■",1,IF(L202="■",2,IF(O202="■",3,0)))</f>
        <v>25:field225:0</v>
      </c>
    </row>
    <row r="203" spans="1:36" ht="18.75" customHeight="1">
      <c r="A203" s="735"/>
      <c r="B203" s="1407"/>
      <c r="C203" s="1303"/>
      <c r="D203" s="1304"/>
      <c r="E203" s="1275"/>
      <c r="F203" s="1289"/>
      <c r="G203" s="1275"/>
      <c r="H203" s="1409" t="s">
        <v>1266</v>
      </c>
      <c r="I203" s="3137" t="s">
        <v>121</v>
      </c>
      <c r="J203" s="1298" t="s">
        <v>1230</v>
      </c>
      <c r="K203" s="1298"/>
      <c r="L203" s="3065" t="s">
        <v>121</v>
      </c>
      <c r="M203" s="1298" t="s">
        <v>1267</v>
      </c>
      <c r="N203" s="1298"/>
      <c r="O203" s="3065" t="s">
        <v>121</v>
      </c>
      <c r="P203" s="1298" t="s">
        <v>1268</v>
      </c>
      <c r="Q203" s="1326"/>
      <c r="R203" s="3065" t="s">
        <v>121</v>
      </c>
      <c r="S203" s="1298" t="s">
        <v>1269</v>
      </c>
      <c r="T203" s="1298"/>
      <c r="U203" s="1326"/>
      <c r="V203" s="1326"/>
      <c r="W203" s="1326"/>
      <c r="X203" s="1327"/>
      <c r="Y203" s="1295"/>
      <c r="Z203" s="1292"/>
      <c r="AA203" s="1292"/>
      <c r="AB203" s="1293"/>
      <c r="AC203" s="3287"/>
      <c r="AD203" s="3286"/>
      <c r="AE203" s="3286"/>
      <c r="AF203" s="3285"/>
      <c r="AI203" s="3056" t="str">
        <f>"25:serteikyo_kyoka_code:" &amp; IF(I203="■",1,IF(L203="■",6,IF(O203="■",5,IF(R203="■",7,0))))</f>
        <v>25:serteikyo_kyoka_code:0</v>
      </c>
    </row>
    <row r="204" spans="1:36" ht="18.75" customHeight="1">
      <c r="A204" s="735"/>
      <c r="B204" s="1407"/>
      <c r="C204" s="1303"/>
      <c r="D204" s="1304"/>
      <c r="E204" s="1275"/>
      <c r="F204" s="1289"/>
      <c r="G204" s="1275"/>
      <c r="H204" s="1539" t="s">
        <v>2390</v>
      </c>
      <c r="I204" s="3160" t="s">
        <v>121</v>
      </c>
      <c r="J204" s="3161" t="s">
        <v>1230</v>
      </c>
      <c r="K204" s="3161"/>
      <c r="L204" s="3160" t="s">
        <v>121</v>
      </c>
      <c r="M204" s="3161" t="s">
        <v>1248</v>
      </c>
      <c r="N204" s="3161"/>
      <c r="O204" s="1290"/>
      <c r="P204" s="1290"/>
      <c r="Q204" s="1290"/>
      <c r="R204" s="1290"/>
      <c r="S204" s="1290"/>
      <c r="T204" s="1290"/>
      <c r="U204" s="1290"/>
      <c r="V204" s="1290"/>
      <c r="W204" s="1290"/>
      <c r="X204" s="1331"/>
      <c r="Y204" s="1295"/>
      <c r="Z204" s="1292"/>
      <c r="AA204" s="1292"/>
      <c r="AB204" s="1293"/>
      <c r="AC204" s="3287"/>
      <c r="AD204" s="3286"/>
      <c r="AE204" s="3286"/>
      <c r="AF204" s="3285"/>
      <c r="AI204" s="3056" t="str">
        <f>"25:field221:" &amp; IF(I204="■",1,IF(L204="■",2,0))</f>
        <v>25:field221:0</v>
      </c>
    </row>
    <row r="205" spans="1:36" ht="18.75" customHeight="1">
      <c r="A205" s="735"/>
      <c r="B205" s="1407"/>
      <c r="C205" s="1303"/>
      <c r="D205" s="1304"/>
      <c r="E205" s="1275"/>
      <c r="F205" s="1289"/>
      <c r="G205" s="1275"/>
      <c r="H205" s="1540"/>
      <c r="I205" s="3160"/>
      <c r="J205" s="3161"/>
      <c r="K205" s="3161"/>
      <c r="L205" s="3160"/>
      <c r="M205" s="3161"/>
      <c r="N205" s="3161"/>
      <c r="O205" s="1296"/>
      <c r="P205" s="1296"/>
      <c r="Q205" s="1296"/>
      <c r="R205" s="1296"/>
      <c r="S205" s="1296"/>
      <c r="T205" s="1296"/>
      <c r="U205" s="1296"/>
      <c r="V205" s="1296"/>
      <c r="W205" s="1296"/>
      <c r="X205" s="1332"/>
      <c r="Y205" s="1295"/>
      <c r="Z205" s="1292"/>
      <c r="AA205" s="1292"/>
      <c r="AB205" s="1293"/>
      <c r="AC205" s="3287"/>
      <c r="AD205" s="3286"/>
      <c r="AE205" s="3286"/>
      <c r="AF205" s="3285"/>
    </row>
    <row r="206" spans="1:36" ht="18.75" customHeight="1">
      <c r="A206" s="736"/>
      <c r="B206" s="1316"/>
      <c r="C206" s="1346"/>
      <c r="D206" s="1348"/>
      <c r="E206" s="1317"/>
      <c r="F206" s="1318"/>
      <c r="G206" s="1361"/>
      <c r="H206" s="3134" t="s">
        <v>2288</v>
      </c>
      <c r="I206" s="3060" t="s">
        <v>121</v>
      </c>
      <c r="J206" s="3130" t="s">
        <v>1230</v>
      </c>
      <c r="K206" s="3130"/>
      <c r="L206" s="3059" t="s">
        <v>121</v>
      </c>
      <c r="M206" s="3130" t="s">
        <v>2287</v>
      </c>
      <c r="N206" s="3133"/>
      <c r="O206" s="3059" t="s">
        <v>121</v>
      </c>
      <c r="P206" s="3132" t="s">
        <v>2286</v>
      </c>
      <c r="Q206" s="3131"/>
      <c r="R206" s="3059" t="s">
        <v>121</v>
      </c>
      <c r="S206" s="3130" t="s">
        <v>2285</v>
      </c>
      <c r="T206" s="3131"/>
      <c r="U206" s="3059" t="s">
        <v>121</v>
      </c>
      <c r="V206" s="3130" t="s">
        <v>2284</v>
      </c>
      <c r="W206" s="3129"/>
      <c r="X206" s="3128"/>
      <c r="Y206" s="1323"/>
      <c r="Z206" s="1323"/>
      <c r="AA206" s="1323"/>
      <c r="AB206" s="1324"/>
      <c r="AC206" s="3284"/>
      <c r="AD206" s="3283"/>
      <c r="AE206" s="3283"/>
      <c r="AF206" s="3282"/>
      <c r="AG206" s="3056"/>
      <c r="AH206" s="3056"/>
      <c r="AI206" s="3056" t="str">
        <f>"25:shoguukaizen_code:"&amp;IF(I206="■",1,IF(L206="■",7,IF(O206="■",8,IF(R206="■",9,IF(U206="■","A",0)))))</f>
        <v>25:shoguukaizen_code:0</v>
      </c>
    </row>
    <row r="207" spans="1:36" ht="18.75" hidden="1" customHeight="1">
      <c r="A207" s="1276"/>
      <c r="B207" s="1405"/>
      <c r="C207" s="1333"/>
      <c r="D207" s="1335"/>
      <c r="E207" s="1351"/>
      <c r="F207" s="1335"/>
      <c r="G207" s="1272"/>
      <c r="H207" s="1545" t="s">
        <v>2399</v>
      </c>
      <c r="I207" s="3119" t="s">
        <v>121</v>
      </c>
      <c r="J207" s="1270" t="s">
        <v>1227</v>
      </c>
      <c r="K207" s="3139"/>
      <c r="L207" s="1337"/>
      <c r="M207" s="3138" t="s">
        <v>121</v>
      </c>
      <c r="N207" s="1270" t="s">
        <v>2306</v>
      </c>
      <c r="O207" s="1334"/>
      <c r="P207" s="1334"/>
      <c r="Q207" s="3138" t="s">
        <v>121</v>
      </c>
      <c r="R207" s="1270" t="s">
        <v>2305</v>
      </c>
      <c r="S207" s="1334"/>
      <c r="T207" s="1334"/>
      <c r="U207" s="3138" t="s">
        <v>121</v>
      </c>
      <c r="V207" s="1270" t="s">
        <v>2304</v>
      </c>
      <c r="W207" s="1334"/>
      <c r="X207" s="1336"/>
      <c r="Y207" s="3138" t="s">
        <v>121</v>
      </c>
      <c r="Z207" s="1270" t="s">
        <v>1229</v>
      </c>
      <c r="AA207" s="1270"/>
      <c r="AB207" s="1286"/>
      <c r="AC207" s="3276"/>
      <c r="AD207" s="3289"/>
      <c r="AE207" s="3289"/>
      <c r="AF207" s="3288"/>
      <c r="AG207" s="3056" t="str">
        <f>"ser_code = '" &amp; IF(A217="■",26,"") &amp; "'"</f>
        <v>ser_code = ''</v>
      </c>
      <c r="AH207" s="3056" t="str">
        <f>"26:jininkbn_code:" &amp; IF(F213="■",2,IF(F215="■",5,IF(F217="■",6,IF(F219="■",3,IF(F221="■",7,IF(F223="■",4,0))))))</f>
        <v>26:jininkbn_code:0</v>
      </c>
      <c r="AI207" s="3056" t="str">
        <f>"26:yakan_kinmu_code:" &amp; IF(I207="■",1,IF(M207="■",2,IF(Q207="■",3,IF(U207="■",7,IF(I208="■",5,IF(M208="■",6,0))))))</f>
        <v>26:yakan_kinmu_code:0</v>
      </c>
      <c r="AJ207" s="3056" t="str">
        <f>"26:field203:" &amp; IF(Y207="■",1,IF(Y208="■",2,0))</f>
        <v>26:field203:0</v>
      </c>
    </row>
    <row r="208" spans="1:36" ht="18.75" hidden="1" customHeight="1">
      <c r="A208" s="735"/>
      <c r="B208" s="1407"/>
      <c r="C208" s="1303"/>
      <c r="D208" s="1304"/>
      <c r="E208" s="1305"/>
      <c r="F208" s="1304"/>
      <c r="G208" s="1275"/>
      <c r="H208" s="1542"/>
      <c r="I208" s="3069" t="s">
        <v>121</v>
      </c>
      <c r="J208" s="1296" t="s">
        <v>2303</v>
      </c>
      <c r="K208" s="1309"/>
      <c r="L208" s="1355"/>
      <c r="M208" s="3062" t="s">
        <v>121</v>
      </c>
      <c r="N208" s="1296" t="s">
        <v>1228</v>
      </c>
      <c r="O208" s="1403"/>
      <c r="P208" s="1403"/>
      <c r="Q208" s="1403"/>
      <c r="R208" s="1403"/>
      <c r="S208" s="1403"/>
      <c r="T208" s="1403"/>
      <c r="U208" s="1403"/>
      <c r="V208" s="1403"/>
      <c r="W208" s="1403"/>
      <c r="X208" s="1297"/>
      <c r="Y208" s="3122" t="s">
        <v>121</v>
      </c>
      <c r="Z208" s="1273" t="s">
        <v>1234</v>
      </c>
      <c r="AA208" s="1292"/>
      <c r="AB208" s="1293"/>
      <c r="AC208" s="3287"/>
      <c r="AD208" s="3286"/>
      <c r="AE208" s="3286"/>
      <c r="AF208" s="3285"/>
      <c r="AG208" s="3056" t="str">
        <f>"26:sisetukbn_code:" &amp; IF(D217="■",1,0)</f>
        <v>26:sisetukbn_code:0</v>
      </c>
      <c r="AH208" s="3056"/>
      <c r="AI208" s="3056"/>
      <c r="AJ208" s="3056"/>
    </row>
    <row r="209" spans="1:35" ht="18.75" hidden="1" customHeight="1">
      <c r="A209" s="735"/>
      <c r="B209" s="1407"/>
      <c r="C209" s="1303"/>
      <c r="D209" s="1304"/>
      <c r="E209" s="1305"/>
      <c r="F209" s="1304"/>
      <c r="G209" s="1275"/>
      <c r="H209" s="1409" t="s">
        <v>90</v>
      </c>
      <c r="I209" s="3137" t="s">
        <v>121</v>
      </c>
      <c r="J209" s="1298" t="s">
        <v>1230</v>
      </c>
      <c r="K209" s="1298"/>
      <c r="L209" s="1300"/>
      <c r="M209" s="3065" t="s">
        <v>121</v>
      </c>
      <c r="N209" s="1298" t="s">
        <v>1231</v>
      </c>
      <c r="O209" s="1298"/>
      <c r="P209" s="1300"/>
      <c r="Q209" s="3065" t="s">
        <v>121</v>
      </c>
      <c r="R209" s="1326" t="s">
        <v>1232</v>
      </c>
      <c r="S209" s="1326"/>
      <c r="T209" s="1326"/>
      <c r="U209" s="3065" t="s">
        <v>121</v>
      </c>
      <c r="V209" s="1326" t="s">
        <v>1233</v>
      </c>
      <c r="W209" s="1307"/>
      <c r="X209" s="1308"/>
      <c r="Y209" s="1295"/>
      <c r="Z209" s="1292"/>
      <c r="AA209" s="1292"/>
      <c r="AB209" s="1293"/>
      <c r="AC209" s="3287"/>
      <c r="AD209" s="3286"/>
      <c r="AE209" s="3286"/>
      <c r="AF209" s="3285"/>
      <c r="AI209" s="3056" t="str">
        <f>"26:"&amp;IF(AND(I209="□",M209="□",Q209="□",U209="□"),"ketu_doctor_code:0",IF(I209="■","ketu_doctor_code:1:ketu_kangos_code:1:ketu_kshoku_code:1",
IF(M209="■","ketu_doctor_code:2","ketu_doctor_code:1")
&amp;IF(Q209="■",":ketu_kangos_code:2",":ketu_kangos_code:1")
&amp;IF(U209="■",":ketu_kshoku_code:2",":ketu_kshoku_code:1")))</f>
        <v>26:ketu_doctor_code:0</v>
      </c>
    </row>
    <row r="210" spans="1:35" s="3056" customFormat="1" ht="18.75" hidden="1" customHeight="1">
      <c r="A210" s="735"/>
      <c r="B210" s="1407"/>
      <c r="C210" s="1287"/>
      <c r="D210" s="1288"/>
      <c r="E210" s="1275"/>
      <c r="F210" s="1289"/>
      <c r="G210" s="1305"/>
      <c r="H210" s="3193" t="s">
        <v>1241</v>
      </c>
      <c r="I210" s="3096" t="s">
        <v>121</v>
      </c>
      <c r="J210" s="3091" t="s">
        <v>1242</v>
      </c>
      <c r="K210" s="3095"/>
      <c r="L210" s="3094"/>
      <c r="M210" s="3093" t="s">
        <v>121</v>
      </c>
      <c r="N210" s="3091" t="s">
        <v>1243</v>
      </c>
      <c r="O210" s="3095"/>
      <c r="P210" s="3192"/>
      <c r="Q210" s="3192"/>
      <c r="R210" s="3192"/>
      <c r="S210" s="3192"/>
      <c r="T210" s="3192"/>
      <c r="U210" s="3192"/>
      <c r="V210" s="3192"/>
      <c r="W210" s="3192"/>
      <c r="X210" s="3191"/>
      <c r="Y210" s="1295"/>
      <c r="Z210" s="1292"/>
      <c r="AA210" s="1292"/>
      <c r="AB210" s="1293"/>
      <c r="AC210" s="3287"/>
      <c r="AD210" s="3286"/>
      <c r="AE210" s="3286"/>
      <c r="AF210" s="3285"/>
      <c r="AI210" s="3056" t="str">
        <f>"26:sintaikousoku_code:" &amp; IF(I210="■",1,IF(M210="■",2,0))</f>
        <v>26:sintaikousoku_code:0</v>
      </c>
    </row>
    <row r="211" spans="1:35" ht="19.5" hidden="1" customHeight="1">
      <c r="A211" s="735"/>
      <c r="B211" s="1407"/>
      <c r="C211" s="1303"/>
      <c r="D211" s="1304"/>
      <c r="E211" s="1275"/>
      <c r="F211" s="1289"/>
      <c r="G211" s="1305"/>
      <c r="H211" s="1306" t="s">
        <v>1244</v>
      </c>
      <c r="I211" s="3137" t="s">
        <v>121</v>
      </c>
      <c r="J211" s="1298" t="s">
        <v>1242</v>
      </c>
      <c r="K211" s="1299"/>
      <c r="L211" s="1300"/>
      <c r="M211" s="3065" t="s">
        <v>121</v>
      </c>
      <c r="N211" s="1298" t="s">
        <v>1245</v>
      </c>
      <c r="O211" s="1298"/>
      <c r="P211" s="1298"/>
      <c r="Q211" s="1307"/>
      <c r="R211" s="1307"/>
      <c r="S211" s="1307"/>
      <c r="T211" s="1307"/>
      <c r="U211" s="1307"/>
      <c r="V211" s="1307"/>
      <c r="W211" s="1307"/>
      <c r="X211" s="1308"/>
      <c r="Y211" s="1292"/>
      <c r="Z211" s="1292"/>
      <c r="AA211" s="1292"/>
      <c r="AB211" s="1293"/>
      <c r="AC211" s="3287"/>
      <c r="AD211" s="3286"/>
      <c r="AE211" s="3286"/>
      <c r="AF211" s="3285"/>
      <c r="AI211" s="3056" t="str">
        <f>"26:field223:" &amp; IF(I211="■",1,IF(M211="■",2,0))</f>
        <v>26:field223:0</v>
      </c>
    </row>
    <row r="212" spans="1:35" ht="19.5" hidden="1" customHeight="1">
      <c r="A212" s="735"/>
      <c r="B212" s="1407"/>
      <c r="C212" s="1303"/>
      <c r="D212" s="1304"/>
      <c r="E212" s="1275"/>
      <c r="F212" s="1289"/>
      <c r="G212" s="1305"/>
      <c r="H212" s="1306" t="s">
        <v>1246</v>
      </c>
      <c r="I212" s="3137" t="s">
        <v>121</v>
      </c>
      <c r="J212" s="1296" t="s">
        <v>1242</v>
      </c>
      <c r="K212" s="1309"/>
      <c r="L212" s="1355"/>
      <c r="M212" s="3062" t="s">
        <v>121</v>
      </c>
      <c r="N212" s="1296" t="s">
        <v>1245</v>
      </c>
      <c r="O212" s="1296"/>
      <c r="P212" s="1296"/>
      <c r="Q212" s="1330"/>
      <c r="R212" s="1330"/>
      <c r="S212" s="1330"/>
      <c r="T212" s="1330"/>
      <c r="U212" s="1330"/>
      <c r="V212" s="1330"/>
      <c r="W212" s="1330"/>
      <c r="X212" s="1356"/>
      <c r="Y212" s="1292"/>
      <c r="Z212" s="1273"/>
      <c r="AA212" s="1292"/>
      <c r="AB212" s="1293"/>
      <c r="AC212" s="3287"/>
      <c r="AD212" s="3286"/>
      <c r="AE212" s="3286"/>
      <c r="AF212" s="3285"/>
      <c r="AI212" s="3056" t="str">
        <f>"26:field232:" &amp; IF(I212="■",1,IF(M212="■",2,0))</f>
        <v>26:field232:0</v>
      </c>
    </row>
    <row r="213" spans="1:35" ht="18.75" hidden="1" customHeight="1">
      <c r="A213" s="735"/>
      <c r="B213" s="1407"/>
      <c r="C213" s="1303"/>
      <c r="D213" s="1304"/>
      <c r="E213" s="1305"/>
      <c r="F213" s="3069" t="s">
        <v>121</v>
      </c>
      <c r="G213" s="1275" t="s">
        <v>2436</v>
      </c>
      <c r="H213" s="1409" t="s">
        <v>2504</v>
      </c>
      <c r="I213" s="3137" t="s">
        <v>121</v>
      </c>
      <c r="J213" s="1298" t="s">
        <v>1227</v>
      </c>
      <c r="K213" s="1299"/>
      <c r="L213" s="1300"/>
      <c r="M213" s="3065" t="s">
        <v>121</v>
      </c>
      <c r="N213" s="1298" t="s">
        <v>2291</v>
      </c>
      <c r="O213" s="1326"/>
      <c r="P213" s="1326"/>
      <c r="Q213" s="1326"/>
      <c r="R213" s="1326"/>
      <c r="S213" s="1326"/>
      <c r="T213" s="1326"/>
      <c r="U213" s="1326"/>
      <c r="V213" s="1326"/>
      <c r="W213" s="1326"/>
      <c r="X213" s="1327"/>
      <c r="Y213" s="1295"/>
      <c r="Z213" s="1292"/>
      <c r="AA213" s="1292"/>
      <c r="AB213" s="1293"/>
      <c r="AC213" s="3287"/>
      <c r="AD213" s="3286"/>
      <c r="AE213" s="3286"/>
      <c r="AF213" s="3285"/>
      <c r="AI213" s="3056" t="str">
        <f>"26:ryokan_code:" &amp; IF(I213="■",1,IF(M213="■",2,0))</f>
        <v>26:ryokan_code:0</v>
      </c>
    </row>
    <row r="214" spans="1:35" ht="18.75" hidden="1" customHeight="1">
      <c r="A214" s="735"/>
      <c r="B214" s="1407"/>
      <c r="C214" s="1303"/>
      <c r="D214" s="1304"/>
      <c r="E214" s="1305"/>
      <c r="F214" s="1304"/>
      <c r="G214" s="1275" t="s">
        <v>2417</v>
      </c>
      <c r="H214" s="1409" t="s">
        <v>2425</v>
      </c>
      <c r="I214" s="3137" t="s">
        <v>121</v>
      </c>
      <c r="J214" s="1298" t="s">
        <v>2424</v>
      </c>
      <c r="K214" s="1299"/>
      <c r="L214" s="1300"/>
      <c r="M214" s="3065" t="s">
        <v>121</v>
      </c>
      <c r="N214" s="1298" t="s">
        <v>2423</v>
      </c>
      <c r="O214" s="1307"/>
      <c r="P214" s="1307"/>
      <c r="Q214" s="1307"/>
      <c r="R214" s="1326"/>
      <c r="S214" s="1307"/>
      <c r="T214" s="1307"/>
      <c r="U214" s="1307"/>
      <c r="V214" s="1307"/>
      <c r="W214" s="1307"/>
      <c r="X214" s="1308"/>
      <c r="Y214" s="1295"/>
      <c r="Z214" s="1292"/>
      <c r="AA214" s="1292"/>
      <c r="AB214" s="1293"/>
      <c r="AC214" s="3287"/>
      <c r="AD214" s="3286"/>
      <c r="AE214" s="3286"/>
      <c r="AF214" s="3285"/>
      <c r="AI214" s="3056" t="str">
        <f>"26:doctor_haiti_code:" &amp; IF(I214="■",1,IF(M214="■",2,0))</f>
        <v>26:doctor_haiti_code:0</v>
      </c>
    </row>
    <row r="215" spans="1:35" ht="18.75" hidden="1" customHeight="1">
      <c r="A215" s="735"/>
      <c r="B215" s="1407"/>
      <c r="C215" s="1303"/>
      <c r="D215" s="1304"/>
      <c r="E215" s="1305"/>
      <c r="F215" s="3069" t="s">
        <v>121</v>
      </c>
      <c r="G215" s="1275" t="s">
        <v>2435</v>
      </c>
      <c r="H215" s="1409" t="s">
        <v>1318</v>
      </c>
      <c r="I215" s="3137" t="s">
        <v>121</v>
      </c>
      <c r="J215" s="1298" t="s">
        <v>1230</v>
      </c>
      <c r="K215" s="1299"/>
      <c r="L215" s="3065" t="s">
        <v>121</v>
      </c>
      <c r="M215" s="1298" t="s">
        <v>1248</v>
      </c>
      <c r="N215" s="1307"/>
      <c r="O215" s="1307"/>
      <c r="P215" s="1307"/>
      <c r="Q215" s="1307"/>
      <c r="R215" s="1307"/>
      <c r="S215" s="1307"/>
      <c r="T215" s="1307"/>
      <c r="U215" s="1307"/>
      <c r="V215" s="1307"/>
      <c r="W215" s="1307"/>
      <c r="X215" s="1308"/>
      <c r="Y215" s="1295"/>
      <c r="Z215" s="1292"/>
      <c r="AA215" s="1292"/>
      <c r="AB215" s="1293"/>
      <c r="AC215" s="3287"/>
      <c r="AD215" s="3286"/>
      <c r="AE215" s="3286"/>
      <c r="AF215" s="3285"/>
      <c r="AI215" s="3056" t="str">
        <f>"26:jyakuninti_uke_code:" &amp; IF(I215="■",1,IF(L215="■",2,0))</f>
        <v>26:jyakuninti_uke_code:0</v>
      </c>
    </row>
    <row r="216" spans="1:35" ht="18.75" hidden="1" customHeight="1">
      <c r="A216" s="735"/>
      <c r="B216" s="1407"/>
      <c r="C216" s="1303"/>
      <c r="D216" s="1304"/>
      <c r="E216" s="1305"/>
      <c r="F216" s="1304"/>
      <c r="G216" s="1275" t="s">
        <v>2434</v>
      </c>
      <c r="H216" s="1409" t="s">
        <v>1324</v>
      </c>
      <c r="I216" s="3137" t="s">
        <v>121</v>
      </c>
      <c r="J216" s="1298" t="s">
        <v>1239</v>
      </c>
      <c r="K216" s="1299"/>
      <c r="L216" s="1300"/>
      <c r="M216" s="3065" t="s">
        <v>121</v>
      </c>
      <c r="N216" s="1298" t="s">
        <v>1240</v>
      </c>
      <c r="O216" s="1307"/>
      <c r="P216" s="1307"/>
      <c r="Q216" s="1307"/>
      <c r="R216" s="1307"/>
      <c r="S216" s="1307"/>
      <c r="T216" s="1307"/>
      <c r="U216" s="1307"/>
      <c r="V216" s="1307"/>
      <c r="W216" s="1307"/>
      <c r="X216" s="1308"/>
      <c r="Y216" s="1295"/>
      <c r="Z216" s="1292"/>
      <c r="AA216" s="1292"/>
      <c r="AB216" s="1293"/>
      <c r="AC216" s="3287"/>
      <c r="AD216" s="3286"/>
      <c r="AE216" s="3286"/>
      <c r="AF216" s="3285"/>
      <c r="AI216" s="3056" t="str">
        <f>"26:sougei_code:" &amp; IF(I216="■",1,IF(M216="■",2,0))</f>
        <v>26:sougei_code:0</v>
      </c>
    </row>
    <row r="217" spans="1:35" ht="19.5" hidden="1" customHeight="1">
      <c r="A217" s="3069" t="s">
        <v>121</v>
      </c>
      <c r="B217" s="1407">
        <v>26</v>
      </c>
      <c r="C217" s="1303" t="s">
        <v>542</v>
      </c>
      <c r="D217" s="3069" t="s">
        <v>121</v>
      </c>
      <c r="E217" s="1305" t="s">
        <v>2506</v>
      </c>
      <c r="F217" s="3069" t="s">
        <v>121</v>
      </c>
      <c r="G217" s="1275" t="s">
        <v>2433</v>
      </c>
      <c r="H217" s="1306" t="s">
        <v>1325</v>
      </c>
      <c r="I217" s="3137" t="s">
        <v>121</v>
      </c>
      <c r="J217" s="1298" t="s">
        <v>1230</v>
      </c>
      <c r="K217" s="1298"/>
      <c r="L217" s="3065" t="s">
        <v>121</v>
      </c>
      <c r="M217" s="1298" t="s">
        <v>1248</v>
      </c>
      <c r="N217" s="1298"/>
      <c r="O217" s="1307"/>
      <c r="P217" s="1298"/>
      <c r="Q217" s="1307"/>
      <c r="R217" s="1307"/>
      <c r="S217" s="1307"/>
      <c r="T217" s="1307"/>
      <c r="U217" s="1307"/>
      <c r="V217" s="1307"/>
      <c r="W217" s="1307"/>
      <c r="X217" s="1308"/>
      <c r="Y217" s="1292"/>
      <c r="Z217" s="1292"/>
      <c r="AA217" s="1292"/>
      <c r="AB217" s="1293"/>
      <c r="AC217" s="3287"/>
      <c r="AD217" s="3286"/>
      <c r="AE217" s="3286"/>
      <c r="AF217" s="3285"/>
      <c r="AI217" s="3056" t="str">
        <f>"26:field224:" &amp; IF(I217="■",1,IF(L217="■",2,0))</f>
        <v>26:field224:0</v>
      </c>
    </row>
    <row r="218" spans="1:35" ht="18.75" hidden="1" customHeight="1">
      <c r="A218" s="735"/>
      <c r="B218" s="1407"/>
      <c r="C218" s="1303"/>
      <c r="D218" s="1304"/>
      <c r="E218" s="1275"/>
      <c r="F218" s="1304"/>
      <c r="G218" s="1275" t="s">
        <v>2411</v>
      </c>
      <c r="H218" s="1409" t="s">
        <v>145</v>
      </c>
      <c r="I218" s="3137" t="s">
        <v>121</v>
      </c>
      <c r="J218" s="1298" t="s">
        <v>1230</v>
      </c>
      <c r="K218" s="1299"/>
      <c r="L218" s="3065" t="s">
        <v>121</v>
      </c>
      <c r="M218" s="1298" t="s">
        <v>1248</v>
      </c>
      <c r="N218" s="1307"/>
      <c r="O218" s="1307"/>
      <c r="P218" s="1307"/>
      <c r="Q218" s="1307"/>
      <c r="R218" s="1307"/>
      <c r="S218" s="1307"/>
      <c r="T218" s="1307"/>
      <c r="U218" s="1307"/>
      <c r="V218" s="1307"/>
      <c r="W218" s="1307"/>
      <c r="X218" s="1308"/>
      <c r="Y218" s="1295"/>
      <c r="Z218" s="1292"/>
      <c r="AA218" s="1292"/>
      <c r="AB218" s="1293"/>
      <c r="AC218" s="3287"/>
      <c r="AD218" s="3286"/>
      <c r="AE218" s="3286"/>
      <c r="AF218" s="3285"/>
      <c r="AI218" s="3056" t="str">
        <f>"26:ryouyoushoku_code:" &amp; IF(I218="■",1,IF(L218="■",2,0))</f>
        <v>26:ryouyoushoku_code:0</v>
      </c>
    </row>
    <row r="219" spans="1:35" ht="18.75" hidden="1" customHeight="1">
      <c r="A219" s="735"/>
      <c r="B219" s="1407"/>
      <c r="C219" s="1303"/>
      <c r="D219" s="1304"/>
      <c r="E219" s="1305"/>
      <c r="F219" s="3069" t="s">
        <v>121</v>
      </c>
      <c r="G219" s="1275" t="s">
        <v>2431</v>
      </c>
      <c r="H219" s="1409" t="s">
        <v>1326</v>
      </c>
      <c r="I219" s="3137" t="s">
        <v>121</v>
      </c>
      <c r="J219" s="1298" t="s">
        <v>1230</v>
      </c>
      <c r="K219" s="1298"/>
      <c r="L219" s="3065" t="s">
        <v>121</v>
      </c>
      <c r="M219" s="1298" t="s">
        <v>1256</v>
      </c>
      <c r="N219" s="1298"/>
      <c r="O219" s="3065" t="s">
        <v>121</v>
      </c>
      <c r="P219" s="1298" t="s">
        <v>1257</v>
      </c>
      <c r="Q219" s="1307"/>
      <c r="R219" s="1307"/>
      <c r="S219" s="1307"/>
      <c r="T219" s="1307"/>
      <c r="U219" s="1307"/>
      <c r="V219" s="1307"/>
      <c r="W219" s="1307"/>
      <c r="X219" s="1308"/>
      <c r="Y219" s="1295"/>
      <c r="Z219" s="1292"/>
      <c r="AA219" s="1292"/>
      <c r="AB219" s="1293"/>
      <c r="AC219" s="3287"/>
      <c r="AD219" s="3286"/>
      <c r="AE219" s="3286"/>
      <c r="AF219" s="3285"/>
      <c r="AI219" s="3056" t="str">
        <f>"26:ninti_senmoncare_code:" &amp; IF(I219="■",1,IF(O219="■",3,IF(L219="■",2,0)))</f>
        <v>26:ninti_senmoncare_code:0</v>
      </c>
    </row>
    <row r="220" spans="1:35" ht="18.75" hidden="1" customHeight="1">
      <c r="A220" s="735"/>
      <c r="B220" s="1407"/>
      <c r="C220" s="1303"/>
      <c r="D220" s="1304"/>
      <c r="E220" s="1305"/>
      <c r="F220" s="1304"/>
      <c r="G220" s="1275" t="s">
        <v>2417</v>
      </c>
      <c r="H220" s="1541" t="s">
        <v>2412</v>
      </c>
      <c r="I220" s="3137" t="s">
        <v>121</v>
      </c>
      <c r="J220" s="1290" t="s">
        <v>1273</v>
      </c>
      <c r="K220" s="1290"/>
      <c r="L220" s="1314"/>
      <c r="M220" s="1314"/>
      <c r="N220" s="1314"/>
      <c r="O220" s="1314"/>
      <c r="P220" s="3136" t="s">
        <v>121</v>
      </c>
      <c r="Q220" s="1290" t="s">
        <v>1274</v>
      </c>
      <c r="R220" s="1314"/>
      <c r="S220" s="1314"/>
      <c r="T220" s="1314"/>
      <c r="U220" s="1314"/>
      <c r="V220" s="1314"/>
      <c r="W220" s="1314"/>
      <c r="X220" s="1315"/>
      <c r="Y220" s="1295"/>
      <c r="Z220" s="1292"/>
      <c r="AA220" s="1292"/>
      <c r="AB220" s="1293"/>
      <c r="AC220" s="3287"/>
      <c r="AD220" s="3286"/>
      <c r="AE220" s="3286"/>
      <c r="AF220" s="3285"/>
      <c r="AI220" s="3056" t="str">
        <f>"26:" &amp; IF(AND(I220="□",P220="□",I221="□"),"tokusin_jyusho_code:0:tokusin_yakuzai_code:0:shuudan_comu_code:0",IF(I220="■","tokusin_jyusho_code:2","tokusin_jyusho_code:1")
&amp;IF(P220="■",":tokusin_yakuzai_code:2",":tokusin_yakuzai_code:1")
&amp;IF(I221="■",":shuudan_comu_code:2",":shuudan_comu_code:1"))</f>
        <v>26:tokusin_jyusho_code:0:tokusin_yakuzai_code:0:shuudan_comu_code:0</v>
      </c>
    </row>
    <row r="221" spans="1:35" ht="18.75" hidden="1" customHeight="1">
      <c r="A221" s="735"/>
      <c r="B221" s="1407"/>
      <c r="C221" s="1303"/>
      <c r="D221" s="1304"/>
      <c r="E221" s="1305"/>
      <c r="F221" s="3069" t="s">
        <v>121</v>
      </c>
      <c r="G221" s="1275" t="s">
        <v>2430</v>
      </c>
      <c r="H221" s="1542"/>
      <c r="I221" s="3069" t="s">
        <v>121</v>
      </c>
      <c r="J221" s="1296" t="s">
        <v>2318</v>
      </c>
      <c r="K221" s="1330"/>
      <c r="L221" s="1330"/>
      <c r="M221" s="1330"/>
      <c r="N221" s="1330"/>
      <c r="O221" s="1330"/>
      <c r="P221" s="1330"/>
      <c r="Q221" s="1403"/>
      <c r="R221" s="1330"/>
      <c r="S221" s="1330"/>
      <c r="T221" s="1330"/>
      <c r="U221" s="1330"/>
      <c r="V221" s="1330"/>
      <c r="W221" s="1330"/>
      <c r="X221" s="1356"/>
      <c r="Y221" s="1295"/>
      <c r="Z221" s="1292"/>
      <c r="AA221" s="1292"/>
      <c r="AB221" s="1293"/>
      <c r="AC221" s="3287"/>
      <c r="AD221" s="3286"/>
      <c r="AE221" s="3286"/>
      <c r="AF221" s="3285"/>
    </row>
    <row r="222" spans="1:35" ht="18.75" hidden="1" customHeight="1">
      <c r="A222" s="735"/>
      <c r="B222" s="1407"/>
      <c r="C222" s="1303"/>
      <c r="D222" s="1304"/>
      <c r="E222" s="1305"/>
      <c r="F222" s="1304"/>
      <c r="G222" s="1275" t="s">
        <v>2429</v>
      </c>
      <c r="H222" s="1313" t="s">
        <v>1265</v>
      </c>
      <c r="I222" s="3137" t="s">
        <v>121</v>
      </c>
      <c r="J222" s="1298" t="s">
        <v>1230</v>
      </c>
      <c r="K222" s="1298"/>
      <c r="L222" s="3065" t="s">
        <v>121</v>
      </c>
      <c r="M222" s="1298" t="s">
        <v>1256</v>
      </c>
      <c r="N222" s="1298"/>
      <c r="O222" s="3065" t="s">
        <v>121</v>
      </c>
      <c r="P222" s="1298" t="s">
        <v>1257</v>
      </c>
      <c r="Q222" s="1307"/>
      <c r="R222" s="1307"/>
      <c r="S222" s="1307"/>
      <c r="T222" s="1307"/>
      <c r="U222" s="1314"/>
      <c r="V222" s="1314"/>
      <c r="W222" s="1314"/>
      <c r="X222" s="1315"/>
      <c r="Y222" s="1295"/>
      <c r="Z222" s="1292"/>
      <c r="AA222" s="1292"/>
      <c r="AB222" s="1293"/>
      <c r="AC222" s="3287"/>
      <c r="AD222" s="3286"/>
      <c r="AE222" s="3286"/>
      <c r="AF222" s="3285"/>
      <c r="AI222" s="3056" t="str">
        <f>"26:field225:" &amp; IF(I222="■",1,IF(L222="■",2,IF(O222="■",3,0)))</f>
        <v>26:field225:0</v>
      </c>
    </row>
    <row r="223" spans="1:35" ht="18.75" hidden="1" customHeight="1">
      <c r="A223" s="735"/>
      <c r="B223" s="1407"/>
      <c r="C223" s="1303"/>
      <c r="D223" s="1304"/>
      <c r="E223" s="1305"/>
      <c r="F223" s="3069" t="s">
        <v>121</v>
      </c>
      <c r="G223" s="1275" t="s">
        <v>2428</v>
      </c>
      <c r="H223" s="1541" t="s">
        <v>1280</v>
      </c>
      <c r="I223" s="3137" t="s">
        <v>121</v>
      </c>
      <c r="J223" s="1290" t="s">
        <v>2317</v>
      </c>
      <c r="K223" s="1328"/>
      <c r="L223" s="1329"/>
      <c r="M223" s="3136" t="s">
        <v>121</v>
      </c>
      <c r="N223" s="1290" t="s">
        <v>2316</v>
      </c>
      <c r="O223" s="1314"/>
      <c r="P223" s="1314"/>
      <c r="Q223" s="3136" t="s">
        <v>121</v>
      </c>
      <c r="R223" s="1290" t="s">
        <v>2315</v>
      </c>
      <c r="S223" s="1314"/>
      <c r="T223" s="1314"/>
      <c r="U223" s="1314"/>
      <c r="V223" s="1314"/>
      <c r="W223" s="1314"/>
      <c r="X223" s="1315"/>
      <c r="Y223" s="1295"/>
      <c r="Z223" s="1292"/>
      <c r="AA223" s="1292"/>
      <c r="AB223" s="1293"/>
      <c r="AC223" s="3287"/>
      <c r="AD223" s="3286"/>
      <c r="AE223" s="3286"/>
      <c r="AF223" s="3285"/>
      <c r="AI223" s="3056" t="str">
        <f>"26:"&amp;IF(AND(I223="□",M223="□",Q223="□",I224="□",Q224="□"),"koriha_rryoho1_code:0:koriha_sryoho_code:0:koriha_gengo_code:0:riha_seisin_code:0:koriha_other_code:0",IF(I223="■","koriha_rryoho1_code:2","koriha_rryoho1_code:1")
&amp;IF(M223="■",":koriha_sryoho_code:2",":koriha_sryoho_code:1")
&amp;IF(Q223="■",":koriha_gengo_code:2",":koriha_gengo_code:1")
&amp;IF(I224="■",":riha_seisin_code:2",":riha_seisin_code:1")
&amp;IF(Q224="■",":koriha_other_code:2",":koriha_other_code:1"))</f>
        <v>26:koriha_rryoho1_code:0:koriha_sryoho_code:0:koriha_gengo_code:0:riha_seisin_code:0:koriha_other_code:0</v>
      </c>
    </row>
    <row r="224" spans="1:35" ht="18.75" hidden="1" customHeight="1">
      <c r="A224" s="735"/>
      <c r="B224" s="1407"/>
      <c r="C224" s="1303"/>
      <c r="D224" s="1304"/>
      <c r="E224" s="1305"/>
      <c r="F224" s="1304"/>
      <c r="G224" s="1275"/>
      <c r="H224" s="1542"/>
      <c r="I224" s="3069" t="s">
        <v>121</v>
      </c>
      <c r="J224" s="1296" t="s">
        <v>2314</v>
      </c>
      <c r="K224" s="1330"/>
      <c r="L224" s="1330"/>
      <c r="M224" s="1330"/>
      <c r="N224" s="1330"/>
      <c r="O224" s="1330"/>
      <c r="P224" s="1330"/>
      <c r="Q224" s="3062" t="s">
        <v>121</v>
      </c>
      <c r="R224" s="1296" t="s">
        <v>2313</v>
      </c>
      <c r="S224" s="1403"/>
      <c r="T224" s="1330"/>
      <c r="U224" s="1330"/>
      <c r="V224" s="1330"/>
      <c r="W224" s="1330"/>
      <c r="X224" s="1356"/>
      <c r="Y224" s="1295"/>
      <c r="Z224" s="1292"/>
      <c r="AA224" s="1292"/>
      <c r="AB224" s="1293"/>
      <c r="AC224" s="3287"/>
      <c r="AD224" s="3286"/>
      <c r="AE224" s="3286"/>
      <c r="AF224" s="3285"/>
      <c r="AI224" s="3056"/>
    </row>
    <row r="225" spans="1:36" ht="18.75" hidden="1" customHeight="1">
      <c r="A225" s="735"/>
      <c r="B225" s="1407"/>
      <c r="C225" s="1303"/>
      <c r="D225" s="1304"/>
      <c r="E225" s="1305"/>
      <c r="F225" s="1304"/>
      <c r="G225" s="1275"/>
      <c r="H225" s="1409" t="s">
        <v>1266</v>
      </c>
      <c r="I225" s="3137" t="s">
        <v>121</v>
      </c>
      <c r="J225" s="1298" t="s">
        <v>1230</v>
      </c>
      <c r="K225" s="1298"/>
      <c r="L225" s="3065" t="s">
        <v>121</v>
      </c>
      <c r="M225" s="1298" t="s">
        <v>1267</v>
      </c>
      <c r="N225" s="1298"/>
      <c r="O225" s="3065" t="s">
        <v>121</v>
      </c>
      <c r="P225" s="1298" t="s">
        <v>1268</v>
      </c>
      <c r="Q225" s="1326"/>
      <c r="R225" s="3065" t="s">
        <v>121</v>
      </c>
      <c r="S225" s="1298" t="s">
        <v>1269</v>
      </c>
      <c r="T225" s="1326"/>
      <c r="U225" s="1326"/>
      <c r="V225" s="1326"/>
      <c r="W225" s="1326"/>
      <c r="X225" s="1327"/>
      <c r="Y225" s="1295"/>
      <c r="Z225" s="1292"/>
      <c r="AA225" s="1292"/>
      <c r="AB225" s="1293"/>
      <c r="AC225" s="3287"/>
      <c r="AD225" s="3286"/>
      <c r="AE225" s="3286"/>
      <c r="AF225" s="3285"/>
      <c r="AI225" s="3056" t="str">
        <f>"26:serteikyo_kyoka_code:" &amp; IF(I225="■",1,IF(L225="■",6,IF(O225="■",5,IF(R225="■",7,0))))</f>
        <v>26:serteikyo_kyoka_code:0</v>
      </c>
    </row>
    <row r="226" spans="1:36" ht="18.75" hidden="1" customHeight="1">
      <c r="A226" s="735"/>
      <c r="B226" s="1407"/>
      <c r="C226" s="1303"/>
      <c r="D226" s="1304"/>
      <c r="E226" s="1305"/>
      <c r="F226" s="1304"/>
      <c r="G226" s="1275"/>
      <c r="H226" s="1539" t="s">
        <v>2390</v>
      </c>
      <c r="I226" s="3160" t="s">
        <v>121</v>
      </c>
      <c r="J226" s="3161" t="s">
        <v>1230</v>
      </c>
      <c r="K226" s="3161"/>
      <c r="L226" s="3160" t="s">
        <v>121</v>
      </c>
      <c r="M226" s="3161" t="s">
        <v>1248</v>
      </c>
      <c r="N226" s="3161"/>
      <c r="O226" s="1402"/>
      <c r="P226" s="1402"/>
      <c r="Q226" s="1402"/>
      <c r="R226" s="1402"/>
      <c r="S226" s="1402"/>
      <c r="T226" s="1402"/>
      <c r="U226" s="1402"/>
      <c r="V226" s="1402"/>
      <c r="W226" s="1402"/>
      <c r="X226" s="1291"/>
      <c r="Y226" s="1295"/>
      <c r="Z226" s="1292"/>
      <c r="AA226" s="1292"/>
      <c r="AB226" s="1293"/>
      <c r="AC226" s="3287"/>
      <c r="AD226" s="3286"/>
      <c r="AE226" s="3286"/>
      <c r="AF226" s="3285"/>
      <c r="AI226" s="3056" t="str">
        <f>"26:field221:" &amp; IF(I226="■",1,IF(L226="■",2,0))</f>
        <v>26:field221:0</v>
      </c>
    </row>
    <row r="227" spans="1:36" ht="18.75" hidden="1" customHeight="1">
      <c r="A227" s="735"/>
      <c r="B227" s="1407"/>
      <c r="C227" s="1303"/>
      <c r="D227" s="1304"/>
      <c r="E227" s="1305"/>
      <c r="F227" s="1304"/>
      <c r="G227" s="1275"/>
      <c r="H227" s="1540"/>
      <c r="I227" s="3160"/>
      <c r="J227" s="3161"/>
      <c r="K227" s="3161"/>
      <c r="L227" s="3160"/>
      <c r="M227" s="3161"/>
      <c r="N227" s="3161"/>
      <c r="O227" s="1403"/>
      <c r="P227" s="1403"/>
      <c r="Q227" s="1403"/>
      <c r="R227" s="1403"/>
      <c r="S227" s="1403"/>
      <c r="T227" s="1403"/>
      <c r="U227" s="1403"/>
      <c r="V227" s="1403"/>
      <c r="W227" s="1403"/>
      <c r="X227" s="1297"/>
      <c r="Y227" s="1295"/>
      <c r="Z227" s="1292"/>
      <c r="AA227" s="1292"/>
      <c r="AB227" s="1293"/>
      <c r="AC227" s="3287"/>
      <c r="AD227" s="3286"/>
      <c r="AE227" s="3286"/>
      <c r="AF227" s="3285"/>
    </row>
    <row r="228" spans="1:36" ht="18.75" hidden="1" customHeight="1">
      <c r="A228" s="736"/>
      <c r="B228" s="1316"/>
      <c r="C228" s="1346"/>
      <c r="D228" s="1348"/>
      <c r="E228" s="1317"/>
      <c r="F228" s="1318"/>
      <c r="G228" s="1361"/>
      <c r="H228" s="3134" t="s">
        <v>2288</v>
      </c>
      <c r="I228" s="3060" t="s">
        <v>121</v>
      </c>
      <c r="J228" s="3130" t="s">
        <v>1230</v>
      </c>
      <c r="K228" s="3130"/>
      <c r="L228" s="3059" t="s">
        <v>121</v>
      </c>
      <c r="M228" s="3130" t="s">
        <v>2287</v>
      </c>
      <c r="N228" s="3133"/>
      <c r="O228" s="3059" t="s">
        <v>121</v>
      </c>
      <c r="P228" s="3132" t="s">
        <v>2286</v>
      </c>
      <c r="Q228" s="3131"/>
      <c r="R228" s="3059" t="s">
        <v>121</v>
      </c>
      <c r="S228" s="3130" t="s">
        <v>2285</v>
      </c>
      <c r="T228" s="3131"/>
      <c r="U228" s="3059" t="s">
        <v>121</v>
      </c>
      <c r="V228" s="3130" t="s">
        <v>2284</v>
      </c>
      <c r="W228" s="3129"/>
      <c r="X228" s="3128"/>
      <c r="Y228" s="1323"/>
      <c r="Z228" s="1323"/>
      <c r="AA228" s="1323"/>
      <c r="AB228" s="1324"/>
      <c r="AC228" s="3284"/>
      <c r="AD228" s="3283"/>
      <c r="AE228" s="3283"/>
      <c r="AF228" s="3282"/>
      <c r="AG228" s="3056"/>
      <c r="AH228" s="3056"/>
      <c r="AI228" s="3056" t="str">
        <f>"26:shoguukaizen_code:"&amp;IF(I228="■",1,IF(L228="■",7,IF(O228="■",8,IF(R228="■",9,IF(U228="■","A",0)))))</f>
        <v>26:shoguukaizen_code:0</v>
      </c>
    </row>
    <row r="229" spans="1:36" ht="18.75" hidden="1" customHeight="1">
      <c r="A229" s="1276"/>
      <c r="B229" s="1405"/>
      <c r="C229" s="1333"/>
      <c r="D229" s="1335"/>
      <c r="E229" s="1272"/>
      <c r="F229" s="1279"/>
      <c r="G229" s="1272"/>
      <c r="H229" s="1560" t="s">
        <v>1226</v>
      </c>
      <c r="I229" s="3119" t="s">
        <v>121</v>
      </c>
      <c r="J229" s="1270" t="s">
        <v>1227</v>
      </c>
      <c r="K229" s="3139"/>
      <c r="L229" s="1337"/>
      <c r="M229" s="3138" t="s">
        <v>121</v>
      </c>
      <c r="N229" s="1270" t="s">
        <v>2306</v>
      </c>
      <c r="O229" s="1334"/>
      <c r="P229" s="1334"/>
      <c r="Q229" s="3138" t="s">
        <v>121</v>
      </c>
      <c r="R229" s="1270" t="s">
        <v>2305</v>
      </c>
      <c r="S229" s="1334"/>
      <c r="T229" s="1334"/>
      <c r="U229" s="3138" t="s">
        <v>121</v>
      </c>
      <c r="V229" s="1270" t="s">
        <v>2304</v>
      </c>
      <c r="W229" s="1334"/>
      <c r="X229" s="1336"/>
      <c r="Y229" s="3138" t="s">
        <v>121</v>
      </c>
      <c r="Z229" s="1270" t="s">
        <v>1229</v>
      </c>
      <c r="AA229" s="1270"/>
      <c r="AB229" s="1286"/>
      <c r="AC229" s="3276"/>
      <c r="AD229" s="3289"/>
      <c r="AE229" s="3289"/>
      <c r="AF229" s="3288"/>
      <c r="AG229" s="3056" t="str">
        <f>"ser_code = '" &amp; IF(A240="■",26,"") &amp; "'"</f>
        <v>ser_code = ''</v>
      </c>
      <c r="AH229" s="3056" t="str">
        <f>"26:jininkbn_code:" &amp; IF(F238="■",1,IF(F240="■",2,IF(F242="■",3,0)))</f>
        <v>26:jininkbn_code:0</v>
      </c>
      <c r="AI229" s="3056" t="str">
        <f>"26:yakan_kinmu_code:" &amp; IF(I229="■",1,IF(M229="■",2,IF(Q229="■",3,IF(U229="■",7,IF(I230="■",5,IF(M230="■",6,0))))))</f>
        <v>26:yakan_kinmu_code:0</v>
      </c>
      <c r="AJ229" s="3056" t="str">
        <f>"26:field203:" &amp; IF(Y229="■",1,IF(Y230="■",2,0))</f>
        <v>26:field203:0</v>
      </c>
    </row>
    <row r="230" spans="1:36" ht="18.75" hidden="1" customHeight="1">
      <c r="A230" s="735"/>
      <c r="B230" s="1407"/>
      <c r="C230" s="1303"/>
      <c r="D230" s="1304"/>
      <c r="E230" s="1275"/>
      <c r="F230" s="1289"/>
      <c r="G230" s="1275"/>
      <c r="H230" s="1561"/>
      <c r="I230" s="3069" t="s">
        <v>121</v>
      </c>
      <c r="J230" s="1296" t="s">
        <v>2303</v>
      </c>
      <c r="K230" s="1309"/>
      <c r="L230" s="1355"/>
      <c r="M230" s="3062" t="s">
        <v>121</v>
      </c>
      <c r="N230" s="1296" t="s">
        <v>1228</v>
      </c>
      <c r="O230" s="1403"/>
      <c r="P230" s="1403"/>
      <c r="Q230" s="1403"/>
      <c r="R230" s="1403"/>
      <c r="S230" s="1403"/>
      <c r="T230" s="1403"/>
      <c r="U230" s="1403"/>
      <c r="V230" s="1403"/>
      <c r="W230" s="1403"/>
      <c r="X230" s="1297"/>
      <c r="Y230" s="3122" t="s">
        <v>121</v>
      </c>
      <c r="Z230" s="1273" t="s">
        <v>1234</v>
      </c>
      <c r="AA230" s="1292"/>
      <c r="AB230" s="1293"/>
      <c r="AC230" s="3287"/>
      <c r="AD230" s="3286"/>
      <c r="AE230" s="3286"/>
      <c r="AF230" s="3285"/>
      <c r="AG230" s="3056" t="str">
        <f>"26:sisetukbn_code:" &amp; IF(D240="■",6,0)</f>
        <v>26:sisetukbn_code:0</v>
      </c>
      <c r="AH230" s="3056"/>
      <c r="AI230" s="3056"/>
      <c r="AJ230" s="3056"/>
    </row>
    <row r="231" spans="1:36" ht="18.75" hidden="1" customHeight="1">
      <c r="A231" s="735"/>
      <c r="B231" s="1407"/>
      <c r="C231" s="1303"/>
      <c r="D231" s="1304"/>
      <c r="E231" s="1275"/>
      <c r="F231" s="1289"/>
      <c r="G231" s="1275"/>
      <c r="H231" s="1409" t="s">
        <v>90</v>
      </c>
      <c r="I231" s="3137" t="s">
        <v>121</v>
      </c>
      <c r="J231" s="1298" t="s">
        <v>1230</v>
      </c>
      <c r="K231" s="1298"/>
      <c r="L231" s="1300"/>
      <c r="M231" s="3065" t="s">
        <v>121</v>
      </c>
      <c r="N231" s="1298" t="s">
        <v>1231</v>
      </c>
      <c r="O231" s="1298"/>
      <c r="P231" s="1300"/>
      <c r="Q231" s="3065" t="s">
        <v>121</v>
      </c>
      <c r="R231" s="1326" t="s">
        <v>1232</v>
      </c>
      <c r="S231" s="1326"/>
      <c r="T231" s="1326"/>
      <c r="U231" s="3065" t="s">
        <v>121</v>
      </c>
      <c r="V231" s="1326" t="s">
        <v>1233</v>
      </c>
      <c r="W231" s="1307"/>
      <c r="X231" s="1308"/>
      <c r="Y231" s="1295"/>
      <c r="Z231" s="1292"/>
      <c r="AA231" s="1292"/>
      <c r="AB231" s="1293"/>
      <c r="AC231" s="3287"/>
      <c r="AD231" s="3286"/>
      <c r="AE231" s="3286"/>
      <c r="AF231" s="3285"/>
      <c r="AG231" s="3056"/>
      <c r="AH231" s="3056"/>
      <c r="AI231" s="3056" t="str">
        <f>"26:"&amp;IF(AND(I231="□",M231="□",Q231="□",U231="□"),"ketu_doctor_code:0",IF(I231="■","ketu_doctor_code:1:ketu_kangos_code:1:ketu_kshoku_code:1",
IF(M231="■","ketu_doctor_code:2","ketu_doctor_code:1")
&amp;IF(Q231="■",":ketu_kangos_code:2",":ketu_kangos_code:1")
&amp;IF(U231="■",":ketu_kshoku_code:2",":ketu_kshoku_code:1")))</f>
        <v>26:ketu_doctor_code:0</v>
      </c>
      <c r="AJ231" s="3056"/>
    </row>
    <row r="232" spans="1:36" ht="18.75" hidden="1" customHeight="1">
      <c r="A232" s="735"/>
      <c r="B232" s="1407"/>
      <c r="C232" s="1303"/>
      <c r="D232" s="1304"/>
      <c r="E232" s="1275"/>
      <c r="F232" s="1289"/>
      <c r="G232" s="1275"/>
      <c r="H232" s="1409" t="s">
        <v>91</v>
      </c>
      <c r="I232" s="3137" t="s">
        <v>121</v>
      </c>
      <c r="J232" s="1298" t="s">
        <v>1239</v>
      </c>
      <c r="K232" s="1299"/>
      <c r="L232" s="1300"/>
      <c r="M232" s="3065" t="s">
        <v>121</v>
      </c>
      <c r="N232" s="1298" t="s">
        <v>1240</v>
      </c>
      <c r="O232" s="1307"/>
      <c r="P232" s="1307"/>
      <c r="Q232" s="1307"/>
      <c r="R232" s="1307"/>
      <c r="S232" s="1307"/>
      <c r="T232" s="1307"/>
      <c r="U232" s="1307"/>
      <c r="V232" s="1307"/>
      <c r="W232" s="1307"/>
      <c r="X232" s="1308"/>
      <c r="Y232" s="1295"/>
      <c r="Z232" s="1292"/>
      <c r="AA232" s="1292"/>
      <c r="AB232" s="1293"/>
      <c r="AC232" s="3287"/>
      <c r="AD232" s="3286"/>
      <c r="AE232" s="3286"/>
      <c r="AF232" s="3285"/>
      <c r="AG232" s="3056"/>
      <c r="AH232" s="3056"/>
      <c r="AI232" s="3056" t="str">
        <f>"26:unitcare_code:" &amp; IF(I232="■",1,IF(M232="■",2,0))</f>
        <v>26:unitcare_code:0</v>
      </c>
      <c r="AJ232" s="3056"/>
    </row>
    <row r="233" spans="1:36" s="3056" customFormat="1" ht="18.75" hidden="1" customHeight="1">
      <c r="A233" s="735"/>
      <c r="B233" s="1407"/>
      <c r="C233" s="1287"/>
      <c r="D233" s="1288"/>
      <c r="E233" s="1275"/>
      <c r="F233" s="1289"/>
      <c r="G233" s="1305"/>
      <c r="H233" s="3193" t="s">
        <v>1241</v>
      </c>
      <c r="I233" s="3096" t="s">
        <v>121</v>
      </c>
      <c r="J233" s="3091" t="s">
        <v>1242</v>
      </c>
      <c r="K233" s="3095"/>
      <c r="L233" s="3094"/>
      <c r="M233" s="3093" t="s">
        <v>121</v>
      </c>
      <c r="N233" s="3091" t="s">
        <v>1243</v>
      </c>
      <c r="O233" s="3095"/>
      <c r="P233" s="3192"/>
      <c r="Q233" s="3192"/>
      <c r="R233" s="3192"/>
      <c r="S233" s="3192"/>
      <c r="T233" s="3192"/>
      <c r="U233" s="3192"/>
      <c r="V233" s="3192"/>
      <c r="W233" s="3192"/>
      <c r="X233" s="3191"/>
      <c r="Y233" s="1295"/>
      <c r="Z233" s="1292"/>
      <c r="AA233" s="1292"/>
      <c r="AB233" s="1293"/>
      <c r="AC233" s="3287"/>
      <c r="AD233" s="3286"/>
      <c r="AE233" s="3286"/>
      <c r="AF233" s="3285"/>
      <c r="AI233" s="3056" t="str">
        <f>"26:sintaikousoku_code:" &amp; IF(I233="■",1,IF(M233="■",2,0))</f>
        <v>26:sintaikousoku_code:0</v>
      </c>
    </row>
    <row r="234" spans="1:36" ht="19.5" hidden="1" customHeight="1">
      <c r="A234" s="735"/>
      <c r="B234" s="1407"/>
      <c r="C234" s="1303"/>
      <c r="D234" s="1304"/>
      <c r="E234" s="1275"/>
      <c r="F234" s="1289"/>
      <c r="G234" s="1305"/>
      <c r="H234" s="1306" t="s">
        <v>1244</v>
      </c>
      <c r="I234" s="3137" t="s">
        <v>121</v>
      </c>
      <c r="J234" s="1298" t="s">
        <v>1242</v>
      </c>
      <c r="K234" s="1299"/>
      <c r="L234" s="1300"/>
      <c r="M234" s="3065" t="s">
        <v>121</v>
      </c>
      <c r="N234" s="1298" t="s">
        <v>1245</v>
      </c>
      <c r="O234" s="1298"/>
      <c r="P234" s="1298"/>
      <c r="Q234" s="1307"/>
      <c r="R234" s="1307"/>
      <c r="S234" s="1307"/>
      <c r="T234" s="1307"/>
      <c r="U234" s="1307"/>
      <c r="V234" s="1307"/>
      <c r="W234" s="1307"/>
      <c r="X234" s="1308"/>
      <c r="Y234" s="1292"/>
      <c r="Z234" s="1292"/>
      <c r="AA234" s="1292"/>
      <c r="AB234" s="1293"/>
      <c r="AC234" s="3287"/>
      <c r="AD234" s="3286"/>
      <c r="AE234" s="3286"/>
      <c r="AF234" s="3285"/>
      <c r="AG234" s="3056"/>
      <c r="AH234" s="3056"/>
      <c r="AI234" s="3056" t="str">
        <f>"26:field223:" &amp; IF(I234="■",1,IF(M234="■",2,0))</f>
        <v>26:field223:0</v>
      </c>
      <c r="AJ234" s="3056"/>
    </row>
    <row r="235" spans="1:36" ht="19.5" hidden="1" customHeight="1">
      <c r="A235" s="735"/>
      <c r="B235" s="1407"/>
      <c r="C235" s="1303"/>
      <c r="D235" s="1304"/>
      <c r="E235" s="1275"/>
      <c r="F235" s="1289"/>
      <c r="G235" s="1305"/>
      <c r="H235" s="1306" t="s">
        <v>1246</v>
      </c>
      <c r="I235" s="3137" t="s">
        <v>121</v>
      </c>
      <c r="J235" s="1296" t="s">
        <v>1242</v>
      </c>
      <c r="K235" s="1309"/>
      <c r="L235" s="1355"/>
      <c r="M235" s="3062" t="s">
        <v>121</v>
      </c>
      <c r="N235" s="1296" t="s">
        <v>1245</v>
      </c>
      <c r="O235" s="1296"/>
      <c r="P235" s="1296"/>
      <c r="Q235" s="1330"/>
      <c r="R235" s="1330"/>
      <c r="S235" s="1330"/>
      <c r="T235" s="1330"/>
      <c r="U235" s="1330"/>
      <c r="V235" s="1330"/>
      <c r="W235" s="1330"/>
      <c r="X235" s="1356"/>
      <c r="Y235" s="1292"/>
      <c r="Z235" s="1273"/>
      <c r="AA235" s="1292"/>
      <c r="AB235" s="1293"/>
      <c r="AC235" s="3287"/>
      <c r="AD235" s="3286"/>
      <c r="AE235" s="3286"/>
      <c r="AF235" s="3285"/>
      <c r="AG235" s="3056"/>
      <c r="AH235" s="3056"/>
      <c r="AI235" s="3056" t="str">
        <f>"26:field232:" &amp; IF(I235="■",1,IF(M235="■",2,0))</f>
        <v>26:field232:0</v>
      </c>
      <c r="AJ235" s="3056"/>
    </row>
    <row r="236" spans="1:36" ht="18.75" hidden="1" customHeight="1">
      <c r="A236" s="735"/>
      <c r="B236" s="1407"/>
      <c r="C236" s="1303"/>
      <c r="D236" s="1304"/>
      <c r="E236" s="1275"/>
      <c r="F236" s="1289"/>
      <c r="G236" s="1275"/>
      <c r="H236" s="1409" t="s">
        <v>2504</v>
      </c>
      <c r="I236" s="3137" t="s">
        <v>121</v>
      </c>
      <c r="J236" s="1298" t="s">
        <v>1227</v>
      </c>
      <c r="K236" s="1299"/>
      <c r="L236" s="1300"/>
      <c r="M236" s="3065" t="s">
        <v>121</v>
      </c>
      <c r="N236" s="1298" t="s">
        <v>2291</v>
      </c>
      <c r="O236" s="1326"/>
      <c r="P236" s="1326"/>
      <c r="Q236" s="1326"/>
      <c r="R236" s="1326"/>
      <c r="S236" s="1326"/>
      <c r="T236" s="1326"/>
      <c r="U236" s="1326"/>
      <c r="V236" s="1326"/>
      <c r="W236" s="1326"/>
      <c r="X236" s="1327"/>
      <c r="Y236" s="1295"/>
      <c r="Z236" s="1292"/>
      <c r="AA236" s="1292"/>
      <c r="AB236" s="1293"/>
      <c r="AC236" s="3287"/>
      <c r="AD236" s="3286"/>
      <c r="AE236" s="3286"/>
      <c r="AF236" s="3285"/>
      <c r="AG236" s="3056"/>
      <c r="AH236" s="3056"/>
      <c r="AI236" s="3056" t="str">
        <f>"26:ryokan_code:" &amp; IF(I236="■",1,IF(M236="■",2,0))</f>
        <v>26:ryokan_code:0</v>
      </c>
      <c r="AJ236" s="3056"/>
    </row>
    <row r="237" spans="1:36" ht="18.75" hidden="1" customHeight="1">
      <c r="A237" s="735"/>
      <c r="B237" s="1407"/>
      <c r="C237" s="1303"/>
      <c r="D237" s="1304"/>
      <c r="E237" s="1275"/>
      <c r="F237" s="1289"/>
      <c r="G237" s="1275"/>
      <c r="H237" s="1409" t="s">
        <v>2425</v>
      </c>
      <c r="I237" s="3137" t="s">
        <v>121</v>
      </c>
      <c r="J237" s="1298" t="s">
        <v>2424</v>
      </c>
      <c r="K237" s="1299"/>
      <c r="L237" s="1300"/>
      <c r="M237" s="3065" t="s">
        <v>121</v>
      </c>
      <c r="N237" s="1298" t="s">
        <v>2423</v>
      </c>
      <c r="O237" s="1307"/>
      <c r="P237" s="1307"/>
      <c r="Q237" s="1307"/>
      <c r="R237" s="1326"/>
      <c r="S237" s="1307"/>
      <c r="T237" s="1307"/>
      <c r="U237" s="1307"/>
      <c r="V237" s="1307"/>
      <c r="W237" s="1307"/>
      <c r="X237" s="1308"/>
      <c r="Y237" s="1295"/>
      <c r="Z237" s="1292"/>
      <c r="AA237" s="1292"/>
      <c r="AB237" s="1293"/>
      <c r="AC237" s="3287"/>
      <c r="AD237" s="3286"/>
      <c r="AE237" s="3286"/>
      <c r="AF237" s="3285"/>
      <c r="AG237" s="3056"/>
      <c r="AH237" s="3056"/>
      <c r="AI237" s="3056" t="str">
        <f>"26:doctor_haiti_code:" &amp; IF(I237="■",1,IF(M237="■",2,0))</f>
        <v>26:doctor_haiti_code:0</v>
      </c>
      <c r="AJ237" s="3056"/>
    </row>
    <row r="238" spans="1:36" ht="18.75" hidden="1" customHeight="1">
      <c r="A238" s="735"/>
      <c r="B238" s="1407"/>
      <c r="C238" s="1303"/>
      <c r="D238" s="1304"/>
      <c r="E238" s="1275"/>
      <c r="F238" s="3069" t="s">
        <v>121</v>
      </c>
      <c r="G238" s="1275" t="s">
        <v>2408</v>
      </c>
      <c r="H238" s="1409" t="s">
        <v>1318</v>
      </c>
      <c r="I238" s="3137" t="s">
        <v>121</v>
      </c>
      <c r="J238" s="1298" t="s">
        <v>1230</v>
      </c>
      <c r="K238" s="1299"/>
      <c r="L238" s="3065" t="s">
        <v>121</v>
      </c>
      <c r="M238" s="1298" t="s">
        <v>1248</v>
      </c>
      <c r="N238" s="1307"/>
      <c r="O238" s="1307"/>
      <c r="P238" s="1307"/>
      <c r="Q238" s="1307"/>
      <c r="R238" s="1307"/>
      <c r="S238" s="1307"/>
      <c r="T238" s="1307"/>
      <c r="U238" s="1307"/>
      <c r="V238" s="1307"/>
      <c r="W238" s="1307"/>
      <c r="X238" s="1308"/>
      <c r="Y238" s="1295"/>
      <c r="Z238" s="1292"/>
      <c r="AA238" s="1292"/>
      <c r="AB238" s="1293"/>
      <c r="AC238" s="3287"/>
      <c r="AD238" s="3286"/>
      <c r="AE238" s="3286"/>
      <c r="AF238" s="3285"/>
      <c r="AG238" s="3056"/>
      <c r="AH238" s="3056"/>
      <c r="AI238" s="3056" t="str">
        <f>"26:jyakuninti_uke_code:" &amp; IF(I238="■",1,IF(L238="■",2,0))</f>
        <v>26:jyakuninti_uke_code:0</v>
      </c>
      <c r="AJ238" s="3056"/>
    </row>
    <row r="239" spans="1:36" ht="18.75" hidden="1" customHeight="1">
      <c r="A239" s="735"/>
      <c r="B239" s="1407"/>
      <c r="C239" s="1303"/>
      <c r="D239" s="1304"/>
      <c r="E239" s="1275"/>
      <c r="F239" s="1289"/>
      <c r="G239" s="1275" t="s">
        <v>2407</v>
      </c>
      <c r="H239" s="1409" t="s">
        <v>1324</v>
      </c>
      <c r="I239" s="3137" t="s">
        <v>121</v>
      </c>
      <c r="J239" s="1298" t="s">
        <v>1239</v>
      </c>
      <c r="K239" s="1299"/>
      <c r="L239" s="1300"/>
      <c r="M239" s="3065" t="s">
        <v>121</v>
      </c>
      <c r="N239" s="1298" t="s">
        <v>1240</v>
      </c>
      <c r="O239" s="1307"/>
      <c r="P239" s="1307"/>
      <c r="Q239" s="1307"/>
      <c r="R239" s="1307"/>
      <c r="S239" s="1307"/>
      <c r="T239" s="1307"/>
      <c r="U239" s="1307"/>
      <c r="V239" s="1307"/>
      <c r="W239" s="1307"/>
      <c r="X239" s="1308"/>
      <c r="Y239" s="1295"/>
      <c r="Z239" s="1292"/>
      <c r="AA239" s="1292"/>
      <c r="AB239" s="1293"/>
      <c r="AC239" s="3287"/>
      <c r="AD239" s="3286"/>
      <c r="AE239" s="3286"/>
      <c r="AF239" s="3285"/>
      <c r="AG239" s="3056"/>
      <c r="AH239" s="3056"/>
      <c r="AI239" s="3056" t="str">
        <f>"26:sougei_code:" &amp; IF(I239="■",1,IF(M239="■",2,0))</f>
        <v>26:sougei_code:0</v>
      </c>
      <c r="AJ239" s="3056"/>
    </row>
    <row r="240" spans="1:36" ht="19.5" hidden="1" customHeight="1">
      <c r="A240" s="3069" t="s">
        <v>121</v>
      </c>
      <c r="B240" s="1407">
        <v>26</v>
      </c>
      <c r="C240" s="1303" t="s">
        <v>542</v>
      </c>
      <c r="D240" s="3069" t="s">
        <v>122</v>
      </c>
      <c r="E240" s="1275" t="s">
        <v>2505</v>
      </c>
      <c r="F240" s="3069" t="s">
        <v>121</v>
      </c>
      <c r="G240" s="1275" t="s">
        <v>2405</v>
      </c>
      <c r="H240" s="1306" t="s">
        <v>1325</v>
      </c>
      <c r="I240" s="3137" t="s">
        <v>121</v>
      </c>
      <c r="J240" s="1298" t="s">
        <v>1230</v>
      </c>
      <c r="K240" s="1298"/>
      <c r="L240" s="3065" t="s">
        <v>121</v>
      </c>
      <c r="M240" s="1298" t="s">
        <v>1248</v>
      </c>
      <c r="N240" s="1298"/>
      <c r="O240" s="1307"/>
      <c r="P240" s="1298"/>
      <c r="Q240" s="1307"/>
      <c r="R240" s="1307"/>
      <c r="S240" s="1307"/>
      <c r="T240" s="1307"/>
      <c r="U240" s="1307"/>
      <c r="V240" s="1307"/>
      <c r="W240" s="1307"/>
      <c r="X240" s="1308"/>
      <c r="Y240" s="1292"/>
      <c r="Z240" s="1292"/>
      <c r="AA240" s="1292"/>
      <c r="AB240" s="1293"/>
      <c r="AC240" s="3287"/>
      <c r="AD240" s="3286"/>
      <c r="AE240" s="3286"/>
      <c r="AF240" s="3285"/>
      <c r="AG240" s="3056"/>
      <c r="AH240" s="3056"/>
      <c r="AI240" s="3056" t="str">
        <f>"26:field224:" &amp; IF(I240="■",1,IF(L240="■",2,0))</f>
        <v>26:field224:0</v>
      </c>
      <c r="AJ240" s="3056"/>
    </row>
    <row r="241" spans="1:36" ht="18.75" hidden="1" customHeight="1">
      <c r="A241" s="735"/>
      <c r="B241" s="1407"/>
      <c r="C241" s="1303"/>
      <c r="D241" s="1304"/>
      <c r="E241" s="1275"/>
      <c r="F241" s="1289"/>
      <c r="G241" s="1275" t="s">
        <v>2404</v>
      </c>
      <c r="H241" s="1409" t="s">
        <v>145</v>
      </c>
      <c r="I241" s="3137" t="s">
        <v>121</v>
      </c>
      <c r="J241" s="1298" t="s">
        <v>1230</v>
      </c>
      <c r="K241" s="1299"/>
      <c r="L241" s="3065" t="s">
        <v>121</v>
      </c>
      <c r="M241" s="1298" t="s">
        <v>1248</v>
      </c>
      <c r="N241" s="1307"/>
      <c r="O241" s="1307"/>
      <c r="P241" s="1307"/>
      <c r="Q241" s="1307"/>
      <c r="R241" s="1307"/>
      <c r="S241" s="1307"/>
      <c r="T241" s="1307"/>
      <c r="U241" s="1307"/>
      <c r="V241" s="1307"/>
      <c r="W241" s="1307"/>
      <c r="X241" s="1308"/>
      <c r="Y241" s="1295"/>
      <c r="Z241" s="1292"/>
      <c r="AA241" s="1292"/>
      <c r="AB241" s="1293"/>
      <c r="AC241" s="3287"/>
      <c r="AD241" s="3286"/>
      <c r="AE241" s="3286"/>
      <c r="AF241" s="3285"/>
      <c r="AG241" s="3056"/>
      <c r="AH241" s="3056"/>
      <c r="AI241" s="3056" t="str">
        <f>"26:ryouyoushoku_code:" &amp; IF(I241="■",1,IF(L241="■",2,0))</f>
        <v>26:ryouyoushoku_code:0</v>
      </c>
      <c r="AJ241" s="3056"/>
    </row>
    <row r="242" spans="1:36" ht="18.75" hidden="1" customHeight="1">
      <c r="A242" s="735"/>
      <c r="B242" s="1407"/>
      <c r="C242" s="1303"/>
      <c r="D242" s="1304"/>
      <c r="E242" s="1275"/>
      <c r="F242" s="3069" t="s">
        <v>121</v>
      </c>
      <c r="G242" s="1275" t="s">
        <v>2403</v>
      </c>
      <c r="H242" s="1409" t="s">
        <v>1326</v>
      </c>
      <c r="I242" s="3137" t="s">
        <v>121</v>
      </c>
      <c r="J242" s="1298" t="s">
        <v>1230</v>
      </c>
      <c r="K242" s="1298"/>
      <c r="L242" s="3065" t="s">
        <v>121</v>
      </c>
      <c r="M242" s="1298" t="s">
        <v>1256</v>
      </c>
      <c r="N242" s="1298"/>
      <c r="O242" s="3065" t="s">
        <v>121</v>
      </c>
      <c r="P242" s="1298" t="s">
        <v>1257</v>
      </c>
      <c r="Q242" s="1307"/>
      <c r="R242" s="1307"/>
      <c r="S242" s="1307"/>
      <c r="T242" s="1307"/>
      <c r="U242" s="1307"/>
      <c r="V242" s="1307"/>
      <c r="W242" s="1307"/>
      <c r="X242" s="1308"/>
      <c r="Y242" s="1295"/>
      <c r="Z242" s="1292"/>
      <c r="AA242" s="1292"/>
      <c r="AB242" s="1293"/>
      <c r="AC242" s="3287"/>
      <c r="AD242" s="3286"/>
      <c r="AE242" s="3286"/>
      <c r="AF242" s="3285"/>
      <c r="AG242" s="3056"/>
      <c r="AH242" s="3056"/>
      <c r="AI242" s="3056" t="str">
        <f>"26:ninti_senmoncare_code:" &amp; IF(I242="■",1,IF(O242="■",3,IF(L242="■",2,0)))</f>
        <v>26:ninti_senmoncare_code:0</v>
      </c>
      <c r="AJ242" s="3056"/>
    </row>
    <row r="243" spans="1:36" ht="18.75" hidden="1" customHeight="1">
      <c r="A243" s="735"/>
      <c r="B243" s="1407"/>
      <c r="C243" s="1303"/>
      <c r="D243" s="1304"/>
      <c r="E243" s="1275"/>
      <c r="F243" s="1289"/>
      <c r="G243" s="1275" t="s">
        <v>2402</v>
      </c>
      <c r="H243" s="1561" t="s">
        <v>2412</v>
      </c>
      <c r="I243" s="3137" t="s">
        <v>121</v>
      </c>
      <c r="J243" s="1290" t="s">
        <v>1273</v>
      </c>
      <c r="K243" s="1290"/>
      <c r="L243" s="1314"/>
      <c r="M243" s="1314"/>
      <c r="N243" s="1314"/>
      <c r="O243" s="1314"/>
      <c r="P243" s="3136" t="s">
        <v>121</v>
      </c>
      <c r="Q243" s="1290" t="s">
        <v>1274</v>
      </c>
      <c r="R243" s="1314"/>
      <c r="S243" s="1314"/>
      <c r="T243" s="1314"/>
      <c r="U243" s="1314"/>
      <c r="V243" s="1314"/>
      <c r="W243" s="1314"/>
      <c r="X243" s="1315"/>
      <c r="Y243" s="1295"/>
      <c r="Z243" s="1292"/>
      <c r="AA243" s="1292"/>
      <c r="AB243" s="1293"/>
      <c r="AC243" s="3287"/>
      <c r="AD243" s="3286"/>
      <c r="AE243" s="3286"/>
      <c r="AF243" s="3285"/>
      <c r="AI243" s="3056" t="str">
        <f>"26:" &amp; IF(AND(I243="□",P243="□",I244="□"),"tokusin_jyusho_code:0:tokusin_yakuzai_code:0:shuudan_comu_code:0",IF(I243="■","tokusin_jyusho_code:2","tokusin_jyusho_code:1")
&amp;IF(P243="■",":tokusin_yakuzai_code:2",":tokusin_yakuzai_code:1")
&amp;IF(I244="■",":shuudan_comu_code:2",":shuudan_comu_code:1"))</f>
        <v>26:tokusin_jyusho_code:0:tokusin_yakuzai_code:0:shuudan_comu_code:0</v>
      </c>
    </row>
    <row r="244" spans="1:36" ht="18.75" hidden="1" customHeight="1">
      <c r="A244" s="735"/>
      <c r="B244" s="1407"/>
      <c r="C244" s="1303"/>
      <c r="D244" s="735"/>
      <c r="E244" s="1275"/>
      <c r="F244" s="735"/>
      <c r="G244" s="1275"/>
      <c r="H244" s="1561"/>
      <c r="I244" s="3069" t="s">
        <v>121</v>
      </c>
      <c r="J244" s="1296" t="s">
        <v>2318</v>
      </c>
      <c r="K244" s="1330"/>
      <c r="L244" s="1330"/>
      <c r="M244" s="1330"/>
      <c r="N244" s="1330"/>
      <c r="O244" s="1330"/>
      <c r="P244" s="1330"/>
      <c r="Q244" s="1403"/>
      <c r="R244" s="1330"/>
      <c r="S244" s="1330"/>
      <c r="T244" s="1330"/>
      <c r="U244" s="1330"/>
      <c r="V244" s="1330"/>
      <c r="W244" s="1330"/>
      <c r="X244" s="1356"/>
      <c r="Y244" s="1295"/>
      <c r="Z244" s="1292"/>
      <c r="AA244" s="1292"/>
      <c r="AB244" s="1293"/>
      <c r="AC244" s="3287"/>
      <c r="AD244" s="3286"/>
      <c r="AE244" s="3286"/>
      <c r="AF244" s="3285"/>
    </row>
    <row r="245" spans="1:36" ht="18.75" hidden="1" customHeight="1">
      <c r="A245" s="735"/>
      <c r="B245" s="1407"/>
      <c r="C245" s="1303"/>
      <c r="D245" s="1304"/>
      <c r="E245" s="1275"/>
      <c r="F245" s="735"/>
      <c r="G245" s="1275"/>
      <c r="H245" s="1313" t="s">
        <v>1265</v>
      </c>
      <c r="I245" s="3137" t="s">
        <v>121</v>
      </c>
      <c r="J245" s="1298" t="s">
        <v>1230</v>
      </c>
      <c r="K245" s="1298"/>
      <c r="L245" s="3065" t="s">
        <v>121</v>
      </c>
      <c r="M245" s="1298" t="s">
        <v>1256</v>
      </c>
      <c r="N245" s="1298"/>
      <c r="O245" s="3065" t="s">
        <v>121</v>
      </c>
      <c r="P245" s="1298" t="s">
        <v>1257</v>
      </c>
      <c r="Q245" s="1307"/>
      <c r="R245" s="1307"/>
      <c r="S245" s="1307"/>
      <c r="T245" s="1307"/>
      <c r="U245" s="1314"/>
      <c r="V245" s="1314"/>
      <c r="W245" s="1314"/>
      <c r="X245" s="1315"/>
      <c r="Y245" s="1295"/>
      <c r="Z245" s="1292"/>
      <c r="AA245" s="1292"/>
      <c r="AB245" s="1293"/>
      <c r="AC245" s="3287"/>
      <c r="AD245" s="3286"/>
      <c r="AE245" s="3286"/>
      <c r="AF245" s="3285"/>
      <c r="AI245" s="3056" t="str">
        <f>"26:field225:" &amp; IF(I245="■",1,IF(L245="■",2,IF(O245="■",3,0)))</f>
        <v>26:field225:0</v>
      </c>
    </row>
    <row r="246" spans="1:36" ht="18.75" hidden="1" customHeight="1">
      <c r="A246" s="735"/>
      <c r="B246" s="1407"/>
      <c r="C246" s="1303"/>
      <c r="D246" s="1304"/>
      <c r="E246" s="1275"/>
      <c r="F246" s="735"/>
      <c r="G246" s="1275"/>
      <c r="H246" s="1561" t="s">
        <v>1280</v>
      </c>
      <c r="I246" s="3137" t="s">
        <v>121</v>
      </c>
      <c r="J246" s="1290" t="s">
        <v>2317</v>
      </c>
      <c r="K246" s="1328"/>
      <c r="L246" s="1329"/>
      <c r="M246" s="3136" t="s">
        <v>121</v>
      </c>
      <c r="N246" s="1290" t="s">
        <v>2316</v>
      </c>
      <c r="O246" s="1314"/>
      <c r="P246" s="1314"/>
      <c r="Q246" s="3136" t="s">
        <v>121</v>
      </c>
      <c r="R246" s="1290" t="s">
        <v>2315</v>
      </c>
      <c r="S246" s="1314"/>
      <c r="T246" s="1314"/>
      <c r="U246" s="1314"/>
      <c r="V246" s="1314"/>
      <c r="W246" s="1314"/>
      <c r="X246" s="1315"/>
      <c r="Y246" s="1295"/>
      <c r="Z246" s="1292"/>
      <c r="AA246" s="1292"/>
      <c r="AB246" s="1293"/>
      <c r="AC246" s="3287"/>
      <c r="AD246" s="3286"/>
      <c r="AE246" s="3286"/>
      <c r="AF246" s="3285"/>
      <c r="AI246" s="3056" t="str">
        <f>"26:"&amp;IF(AND(I246="□",M246="□",Q246="□",I247="□",Q247="□"),"koriha_rryoho1_code:0:koriha_sryoho_code:0:koriha_gengo_code:0:riha_seisin_code:0:koriha_other_code:0",IF(I246="■","koriha_rryoho1_code:2","koriha_rryoho1_code:1")
&amp;IF(M246="■",":koriha_sryoho_code:2",":koriha_sryoho_code:1")
&amp;IF(Q246="■",":koriha_gengo_code:2",":koriha_gengo_code:1")
&amp;IF(I247="■",":riha_seisin_code:2",":riha_seisin_code:1")
&amp;IF(Q247="■",":koriha_other_code:2",":koriha_other_code:1"))</f>
        <v>26:koriha_rryoho1_code:0:koriha_sryoho_code:0:koriha_gengo_code:0:riha_seisin_code:0:koriha_other_code:0</v>
      </c>
    </row>
    <row r="247" spans="1:36" ht="18.75" hidden="1" customHeight="1">
      <c r="A247" s="735"/>
      <c r="B247" s="1407"/>
      <c r="C247" s="1303"/>
      <c r="D247" s="1304"/>
      <c r="E247" s="1275"/>
      <c r="F247" s="735"/>
      <c r="G247" s="1275"/>
      <c r="H247" s="1561"/>
      <c r="I247" s="3069" t="s">
        <v>121</v>
      </c>
      <c r="J247" s="1296" t="s">
        <v>2314</v>
      </c>
      <c r="K247" s="1330"/>
      <c r="L247" s="1330"/>
      <c r="M247" s="1330"/>
      <c r="N247" s="1330"/>
      <c r="O247" s="1330"/>
      <c r="P247" s="1330"/>
      <c r="Q247" s="3062" t="s">
        <v>121</v>
      </c>
      <c r="R247" s="1296" t="s">
        <v>2313</v>
      </c>
      <c r="S247" s="1403"/>
      <c r="T247" s="1330"/>
      <c r="U247" s="1330"/>
      <c r="V247" s="1330"/>
      <c r="W247" s="1330"/>
      <c r="X247" s="1356"/>
      <c r="Y247" s="1295"/>
      <c r="Z247" s="1292"/>
      <c r="AA247" s="1292"/>
      <c r="AB247" s="1293"/>
      <c r="AC247" s="3287"/>
      <c r="AD247" s="3286"/>
      <c r="AE247" s="3286"/>
      <c r="AF247" s="3285"/>
      <c r="AI247" s="3056"/>
    </row>
    <row r="248" spans="1:36" ht="18.75" hidden="1" customHeight="1">
      <c r="A248" s="735"/>
      <c r="B248" s="1407"/>
      <c r="C248" s="1303"/>
      <c r="D248" s="1304"/>
      <c r="E248" s="1275"/>
      <c r="F248" s="1289"/>
      <c r="G248" s="1275"/>
      <c r="H248" s="1409" t="s">
        <v>1266</v>
      </c>
      <c r="I248" s="3137" t="s">
        <v>121</v>
      </c>
      <c r="J248" s="1298" t="s">
        <v>1230</v>
      </c>
      <c r="K248" s="1298"/>
      <c r="L248" s="3065" t="s">
        <v>121</v>
      </c>
      <c r="M248" s="1298" t="s">
        <v>1267</v>
      </c>
      <c r="N248" s="1298"/>
      <c r="O248" s="3065" t="s">
        <v>121</v>
      </c>
      <c r="P248" s="1298" t="s">
        <v>1268</v>
      </c>
      <c r="Q248" s="1326"/>
      <c r="R248" s="3065" t="s">
        <v>121</v>
      </c>
      <c r="S248" s="1298" t="s">
        <v>1269</v>
      </c>
      <c r="T248" s="1326"/>
      <c r="U248" s="1326"/>
      <c r="V248" s="1326"/>
      <c r="W248" s="1326"/>
      <c r="X248" s="1327"/>
      <c r="Y248" s="1295"/>
      <c r="Z248" s="1292"/>
      <c r="AA248" s="1292"/>
      <c r="AB248" s="1293"/>
      <c r="AC248" s="3287"/>
      <c r="AD248" s="3286"/>
      <c r="AE248" s="3286"/>
      <c r="AF248" s="3285"/>
      <c r="AI248" s="3056" t="str">
        <f>"26:serteikyo_kyoka_code:" &amp; IF(I248="■",1,IF(L248="■",6,IF(O248="■",5,IF(R248="■",7,0))))</f>
        <v>26:serteikyo_kyoka_code:0</v>
      </c>
    </row>
    <row r="249" spans="1:36" ht="18.75" hidden="1" customHeight="1">
      <c r="A249" s="735"/>
      <c r="B249" s="1407"/>
      <c r="C249" s="1303"/>
      <c r="D249" s="1304"/>
      <c r="E249" s="1275"/>
      <c r="F249" s="1289"/>
      <c r="G249" s="1275"/>
      <c r="H249" s="1539" t="s">
        <v>2390</v>
      </c>
      <c r="I249" s="3160" t="s">
        <v>121</v>
      </c>
      <c r="J249" s="3161" t="s">
        <v>1230</v>
      </c>
      <c r="K249" s="3161"/>
      <c r="L249" s="3160" t="s">
        <v>121</v>
      </c>
      <c r="M249" s="3161" t="s">
        <v>1248</v>
      </c>
      <c r="N249" s="3161"/>
      <c r="O249" s="1402"/>
      <c r="P249" s="1402"/>
      <c r="Q249" s="1402"/>
      <c r="R249" s="1402"/>
      <c r="S249" s="1402"/>
      <c r="T249" s="1402"/>
      <c r="U249" s="1402"/>
      <c r="V249" s="1402"/>
      <c r="W249" s="1402"/>
      <c r="X249" s="1291"/>
      <c r="Y249" s="1295"/>
      <c r="Z249" s="1292"/>
      <c r="AA249" s="1292"/>
      <c r="AB249" s="1293"/>
      <c r="AC249" s="3287"/>
      <c r="AD249" s="3286"/>
      <c r="AE249" s="3286"/>
      <c r="AF249" s="3285"/>
      <c r="AI249" s="3056" t="str">
        <f>"26:field221:" &amp; IF(I249="■",1,IF(L249="■",2,0))</f>
        <v>26:field221:0</v>
      </c>
    </row>
    <row r="250" spans="1:36" ht="18.75" hidden="1" customHeight="1">
      <c r="A250" s="735"/>
      <c r="B250" s="1407"/>
      <c r="C250" s="1303"/>
      <c r="D250" s="1304"/>
      <c r="E250" s="1275"/>
      <c r="F250" s="1289"/>
      <c r="G250" s="1275"/>
      <c r="H250" s="1540"/>
      <c r="I250" s="3160"/>
      <c r="J250" s="3161"/>
      <c r="K250" s="3161"/>
      <c r="L250" s="3160"/>
      <c r="M250" s="3161"/>
      <c r="N250" s="3161"/>
      <c r="O250" s="1403"/>
      <c r="P250" s="1403"/>
      <c r="Q250" s="1403"/>
      <c r="R250" s="1403"/>
      <c r="S250" s="1403"/>
      <c r="T250" s="1403"/>
      <c r="U250" s="1403"/>
      <c r="V250" s="1403"/>
      <c r="W250" s="1403"/>
      <c r="X250" s="1297"/>
      <c r="Y250" s="1295"/>
      <c r="Z250" s="1292"/>
      <c r="AA250" s="1292"/>
      <c r="AB250" s="1293"/>
      <c r="AC250" s="3287"/>
      <c r="AD250" s="3286"/>
      <c r="AE250" s="3286"/>
      <c r="AF250" s="3285"/>
    </row>
    <row r="251" spans="1:36" ht="18.75" hidden="1" customHeight="1">
      <c r="A251" s="736"/>
      <c r="B251" s="1316"/>
      <c r="C251" s="1346"/>
      <c r="D251" s="1348"/>
      <c r="E251" s="1317"/>
      <c r="F251" s="1318"/>
      <c r="G251" s="1361"/>
      <c r="H251" s="3134" t="s">
        <v>2288</v>
      </c>
      <c r="I251" s="3060" t="s">
        <v>121</v>
      </c>
      <c r="J251" s="3130" t="s">
        <v>1230</v>
      </c>
      <c r="K251" s="3130"/>
      <c r="L251" s="3059" t="s">
        <v>121</v>
      </c>
      <c r="M251" s="3130" t="s">
        <v>2287</v>
      </c>
      <c r="N251" s="3133"/>
      <c r="O251" s="3059" t="s">
        <v>121</v>
      </c>
      <c r="P251" s="3132" t="s">
        <v>2286</v>
      </c>
      <c r="Q251" s="3131"/>
      <c r="R251" s="3059" t="s">
        <v>121</v>
      </c>
      <c r="S251" s="3130" t="s">
        <v>2285</v>
      </c>
      <c r="T251" s="3131"/>
      <c r="U251" s="3059" t="s">
        <v>121</v>
      </c>
      <c r="V251" s="3130" t="s">
        <v>2284</v>
      </c>
      <c r="W251" s="3129"/>
      <c r="X251" s="3128"/>
      <c r="Y251" s="1323"/>
      <c r="Z251" s="1323"/>
      <c r="AA251" s="1323"/>
      <c r="AB251" s="1324"/>
      <c r="AC251" s="3284"/>
      <c r="AD251" s="3283"/>
      <c r="AE251" s="3283"/>
      <c r="AF251" s="3282"/>
      <c r="AG251" s="3056"/>
      <c r="AH251" s="3056"/>
      <c r="AI251" s="3056" t="str">
        <f>"26:shoguukaizen_code:"&amp;IF(I251="■",1,IF(L251="■",7,IF(O251="■",8,IF(R251="■",9,IF(U251="■","A",0)))))</f>
        <v>26:shoguukaizen_code:0</v>
      </c>
    </row>
    <row r="252" spans="1:36" ht="18.75" hidden="1" customHeight="1">
      <c r="A252" s="1276"/>
      <c r="B252" s="1405"/>
      <c r="C252" s="1333"/>
      <c r="D252" s="1335"/>
      <c r="E252" s="1272"/>
      <c r="F252" s="1279"/>
      <c r="G252" s="1272"/>
      <c r="H252" s="1545" t="s">
        <v>1226</v>
      </c>
      <c r="I252" s="3119" t="s">
        <v>121</v>
      </c>
      <c r="J252" s="1270" t="s">
        <v>1227</v>
      </c>
      <c r="K252" s="3139"/>
      <c r="L252" s="1337"/>
      <c r="M252" s="3138" t="s">
        <v>121</v>
      </c>
      <c r="N252" s="1270" t="s">
        <v>2306</v>
      </c>
      <c r="O252" s="1334"/>
      <c r="P252" s="1334"/>
      <c r="Q252" s="3138" t="s">
        <v>121</v>
      </c>
      <c r="R252" s="1270" t="s">
        <v>2305</v>
      </c>
      <c r="S252" s="1334"/>
      <c r="T252" s="1334"/>
      <c r="U252" s="3138" t="s">
        <v>121</v>
      </c>
      <c r="V252" s="1270" t="s">
        <v>2304</v>
      </c>
      <c r="W252" s="1334"/>
      <c r="X252" s="1336"/>
      <c r="Y252" s="3138" t="s">
        <v>121</v>
      </c>
      <c r="Z252" s="1270" t="s">
        <v>1229</v>
      </c>
      <c r="AA252" s="1270"/>
      <c r="AB252" s="1286"/>
      <c r="AC252" s="3276"/>
      <c r="AD252" s="3289"/>
      <c r="AE252" s="3289"/>
      <c r="AF252" s="3288"/>
      <c r="AG252" s="3056" t="str">
        <f>"ser_code = '" &amp; IF(A262="■",26,"") &amp; "'"</f>
        <v>ser_code = ''</v>
      </c>
      <c r="AH252" s="3056" t="str">
        <f>"26:jininkbn_code:" &amp; IF(F262="■",2,IF(F263="■",3,0))</f>
        <v>26:jininkbn_code:0</v>
      </c>
      <c r="AI252" s="3056" t="str">
        <f>"26:yakan_kinmu_code:" &amp; IF(I252="■",1,IF(M252="■",2,IF(Q252="■",3,IF(U252="■",7,IF(I253="■",5,IF(M253="■",6,0))))))</f>
        <v>26:yakan_kinmu_code:0</v>
      </c>
      <c r="AJ252" s="3056" t="str">
        <f>"26:field203:" &amp; IF(Y252="■",1,IF(Y253="■",2,0))</f>
        <v>26:field203:0</v>
      </c>
    </row>
    <row r="253" spans="1:36" ht="18.75" hidden="1" customHeight="1">
      <c r="A253" s="735"/>
      <c r="B253" s="1407"/>
      <c r="C253" s="1303"/>
      <c r="D253" s="1304"/>
      <c r="E253" s="1275"/>
      <c r="F253" s="1289"/>
      <c r="G253" s="1275"/>
      <c r="H253" s="1542"/>
      <c r="I253" s="3069" t="s">
        <v>121</v>
      </c>
      <c r="J253" s="1296" t="s">
        <v>2303</v>
      </c>
      <c r="K253" s="1309"/>
      <c r="L253" s="1355"/>
      <c r="M253" s="3062" t="s">
        <v>121</v>
      </c>
      <c r="N253" s="1296" t="s">
        <v>1228</v>
      </c>
      <c r="O253" s="1403"/>
      <c r="P253" s="1403"/>
      <c r="Q253" s="1403"/>
      <c r="R253" s="1403"/>
      <c r="S253" s="1403"/>
      <c r="T253" s="1403"/>
      <c r="U253" s="1403"/>
      <c r="V253" s="1403"/>
      <c r="W253" s="1403"/>
      <c r="X253" s="1297"/>
      <c r="Y253" s="3122" t="s">
        <v>121</v>
      </c>
      <c r="Z253" s="1273" t="s">
        <v>1234</v>
      </c>
      <c r="AA253" s="1292"/>
      <c r="AB253" s="1293"/>
      <c r="AC253" s="3287"/>
      <c r="AD253" s="3286"/>
      <c r="AE253" s="3286"/>
      <c r="AF253" s="3285"/>
      <c r="AG253" s="3056" t="str">
        <f>"26:sisetukbn_code:"&amp;IF(D262="■","A",IF(D263="■","C",0))</f>
        <v>26:sisetukbn_code:0</v>
      </c>
      <c r="AH253" s="3056"/>
      <c r="AI253" s="3056"/>
      <c r="AJ253" s="3056"/>
    </row>
    <row r="254" spans="1:36" ht="18.75" hidden="1" customHeight="1">
      <c r="A254" s="735"/>
      <c r="B254" s="1407"/>
      <c r="C254" s="1303"/>
      <c r="D254" s="1304"/>
      <c r="E254" s="1275"/>
      <c r="F254" s="1289"/>
      <c r="G254" s="1275"/>
      <c r="H254" s="1409" t="s">
        <v>90</v>
      </c>
      <c r="I254" s="3137" t="s">
        <v>121</v>
      </c>
      <c r="J254" s="1298" t="s">
        <v>1230</v>
      </c>
      <c r="K254" s="1298"/>
      <c r="L254" s="1300"/>
      <c r="M254" s="3065" t="s">
        <v>121</v>
      </c>
      <c r="N254" s="1298" t="s">
        <v>1231</v>
      </c>
      <c r="O254" s="1298"/>
      <c r="P254" s="1300"/>
      <c r="Q254" s="3065" t="s">
        <v>121</v>
      </c>
      <c r="R254" s="1326" t="s">
        <v>1232</v>
      </c>
      <c r="S254" s="1326"/>
      <c r="T254" s="1326"/>
      <c r="U254" s="3065" t="s">
        <v>121</v>
      </c>
      <c r="V254" s="1326" t="s">
        <v>1233</v>
      </c>
      <c r="W254" s="1307"/>
      <c r="X254" s="1308"/>
      <c r="Y254" s="1295"/>
      <c r="Z254" s="1292"/>
      <c r="AA254" s="1292"/>
      <c r="AB254" s="1293"/>
      <c r="AC254" s="3287"/>
      <c r="AD254" s="3286"/>
      <c r="AE254" s="3286"/>
      <c r="AF254" s="3285"/>
      <c r="AI254" s="3056" t="str">
        <f>"26:"&amp;IF(AND(I254="□",M254="□",Q254="□",U254="□"),"ketu_doctor_code:0",IF(I254="■","ketu_doctor_code:1:ketu_kangos_code:1:ketu_kshoku_code:1",
IF(M254="■","ketu_doctor_code:2","ketu_doctor_code:1")
&amp;IF(Q254="■",":ketu_kangos_code:2",":ketu_kangos_code:1")
&amp;IF(U254="■",":ketu_kshoku_code:2",":ketu_kshoku_code:1")))</f>
        <v>26:ketu_doctor_code:0</v>
      </c>
    </row>
    <row r="255" spans="1:36" ht="18.75" hidden="1" customHeight="1">
      <c r="A255" s="735"/>
      <c r="B255" s="1407"/>
      <c r="C255" s="1303"/>
      <c r="D255" s="1304"/>
      <c r="E255" s="1275"/>
      <c r="F255" s="1289"/>
      <c r="G255" s="1275"/>
      <c r="H255" s="1409" t="s">
        <v>91</v>
      </c>
      <c r="I255" s="3137" t="s">
        <v>121</v>
      </c>
      <c r="J255" s="1298" t="s">
        <v>1239</v>
      </c>
      <c r="K255" s="1299"/>
      <c r="L255" s="1300"/>
      <c r="M255" s="3065" t="s">
        <v>121</v>
      </c>
      <c r="N255" s="1298" t="s">
        <v>1240</v>
      </c>
      <c r="O255" s="1307"/>
      <c r="P255" s="1307"/>
      <c r="Q255" s="1307"/>
      <c r="R255" s="1307"/>
      <c r="S255" s="1307"/>
      <c r="T255" s="1307"/>
      <c r="U255" s="1307"/>
      <c r="V255" s="1307"/>
      <c r="W255" s="1307"/>
      <c r="X255" s="1308"/>
      <c r="Y255" s="1295"/>
      <c r="Z255" s="1292"/>
      <c r="AA255" s="1292"/>
      <c r="AB255" s="1293"/>
      <c r="AC255" s="3287"/>
      <c r="AD255" s="3286"/>
      <c r="AE255" s="3286"/>
      <c r="AF255" s="3285"/>
      <c r="AI255" s="3056" t="str">
        <f>"26:unitcare_code:" &amp; IF(I255="■",1,IF(M255="■",2,0))</f>
        <v>26:unitcare_code:0</v>
      </c>
    </row>
    <row r="256" spans="1:36" s="3056" customFormat="1" ht="18.75" hidden="1" customHeight="1">
      <c r="A256" s="735"/>
      <c r="B256" s="1407"/>
      <c r="C256" s="1287"/>
      <c r="D256" s="1288"/>
      <c r="E256" s="1275"/>
      <c r="F256" s="1289"/>
      <c r="G256" s="1305"/>
      <c r="H256" s="3193" t="s">
        <v>1241</v>
      </c>
      <c r="I256" s="3096" t="s">
        <v>121</v>
      </c>
      <c r="J256" s="3091" t="s">
        <v>1242</v>
      </c>
      <c r="K256" s="3095"/>
      <c r="L256" s="3094"/>
      <c r="M256" s="3093" t="s">
        <v>121</v>
      </c>
      <c r="N256" s="3091" t="s">
        <v>1243</v>
      </c>
      <c r="O256" s="3095"/>
      <c r="P256" s="3192"/>
      <c r="Q256" s="3192"/>
      <c r="R256" s="3192"/>
      <c r="S256" s="3192"/>
      <c r="T256" s="3192"/>
      <c r="U256" s="3192"/>
      <c r="V256" s="3192"/>
      <c r="W256" s="3192"/>
      <c r="X256" s="3191"/>
      <c r="Y256" s="1295"/>
      <c r="Z256" s="1292"/>
      <c r="AA256" s="1292"/>
      <c r="AB256" s="1293"/>
      <c r="AC256" s="3287"/>
      <c r="AD256" s="3286"/>
      <c r="AE256" s="3286"/>
      <c r="AF256" s="3285"/>
      <c r="AI256" s="3056" t="str">
        <f>"26:sintaikousoku_code:" &amp; IF(I256="■",1,IF(M256="■",2,0))</f>
        <v>26:sintaikousoku_code:0</v>
      </c>
    </row>
    <row r="257" spans="1:35" ht="19.5" hidden="1" customHeight="1">
      <c r="A257" s="735"/>
      <c r="B257" s="1407"/>
      <c r="C257" s="1303"/>
      <c r="D257" s="1304"/>
      <c r="E257" s="1275"/>
      <c r="F257" s="1289"/>
      <c r="G257" s="1305"/>
      <c r="H257" s="1306" t="s">
        <v>1244</v>
      </c>
      <c r="I257" s="3137" t="s">
        <v>121</v>
      </c>
      <c r="J257" s="1298" t="s">
        <v>1242</v>
      </c>
      <c r="K257" s="1299"/>
      <c r="L257" s="1300"/>
      <c r="M257" s="3065" t="s">
        <v>121</v>
      </c>
      <c r="N257" s="1298" t="s">
        <v>1245</v>
      </c>
      <c r="O257" s="1298"/>
      <c r="P257" s="1298"/>
      <c r="Q257" s="1307"/>
      <c r="R257" s="1307"/>
      <c r="S257" s="1307"/>
      <c r="T257" s="1307"/>
      <c r="U257" s="1307"/>
      <c r="V257" s="1307"/>
      <c r="W257" s="1307"/>
      <c r="X257" s="1308"/>
      <c r="Y257" s="1292"/>
      <c r="Z257" s="1292"/>
      <c r="AA257" s="1292"/>
      <c r="AB257" s="1293"/>
      <c r="AC257" s="3287"/>
      <c r="AD257" s="3286"/>
      <c r="AE257" s="3286"/>
      <c r="AF257" s="3285"/>
      <c r="AI257" s="3056" t="str">
        <f>"26:field223:" &amp; IF(I257="■",1,IF(M257="■",2,0))</f>
        <v>26:field223:0</v>
      </c>
    </row>
    <row r="258" spans="1:35" ht="19.5" hidden="1" customHeight="1">
      <c r="A258" s="735"/>
      <c r="B258" s="1407"/>
      <c r="C258" s="1303"/>
      <c r="D258" s="1304"/>
      <c r="E258" s="1275"/>
      <c r="F258" s="1289"/>
      <c r="G258" s="1305"/>
      <c r="H258" s="1306" t="s">
        <v>1246</v>
      </c>
      <c r="I258" s="3137" t="s">
        <v>121</v>
      </c>
      <c r="J258" s="1296" t="s">
        <v>1242</v>
      </c>
      <c r="K258" s="1309"/>
      <c r="L258" s="1355"/>
      <c r="M258" s="3062" t="s">
        <v>121</v>
      </c>
      <c r="N258" s="1296" t="s">
        <v>1245</v>
      </c>
      <c r="O258" s="1296"/>
      <c r="P258" s="1296"/>
      <c r="Q258" s="1330"/>
      <c r="R258" s="1330"/>
      <c r="S258" s="1330"/>
      <c r="T258" s="1330"/>
      <c r="U258" s="1330"/>
      <c r="V258" s="1330"/>
      <c r="W258" s="1330"/>
      <c r="X258" s="1356"/>
      <c r="Y258" s="1292"/>
      <c r="Z258" s="1273"/>
      <c r="AA258" s="1292"/>
      <c r="AB258" s="1293"/>
      <c r="AC258" s="3287"/>
      <c r="AD258" s="3286"/>
      <c r="AE258" s="3286"/>
      <c r="AF258" s="3285"/>
      <c r="AI258" s="3056" t="str">
        <f>"26:field232:" &amp; IF(I258="■",1,IF(M258="■",2,0))</f>
        <v>26:field232:0</v>
      </c>
    </row>
    <row r="259" spans="1:35" ht="18.75" hidden="1" customHeight="1">
      <c r="A259" s="735"/>
      <c r="B259" s="1407"/>
      <c r="C259" s="1303"/>
      <c r="D259" s="1304"/>
      <c r="E259" s="1275"/>
      <c r="F259" s="1289"/>
      <c r="G259" s="1275"/>
      <c r="H259" s="1409" t="s">
        <v>2504</v>
      </c>
      <c r="I259" s="3137" t="s">
        <v>121</v>
      </c>
      <c r="J259" s="1298" t="s">
        <v>1227</v>
      </c>
      <c r="K259" s="1299"/>
      <c r="L259" s="1300"/>
      <c r="M259" s="3065" t="s">
        <v>121</v>
      </c>
      <c r="N259" s="1298" t="s">
        <v>2291</v>
      </c>
      <c r="O259" s="1326"/>
      <c r="P259" s="1326"/>
      <c r="Q259" s="1326"/>
      <c r="R259" s="1326"/>
      <c r="S259" s="1326"/>
      <c r="T259" s="1326"/>
      <c r="U259" s="1326"/>
      <c r="V259" s="1326"/>
      <c r="W259" s="1326"/>
      <c r="X259" s="1327"/>
      <c r="Y259" s="1295"/>
      <c r="Z259" s="1292"/>
      <c r="AA259" s="1292"/>
      <c r="AB259" s="1293"/>
      <c r="AC259" s="3287"/>
      <c r="AD259" s="3286"/>
      <c r="AE259" s="3286"/>
      <c r="AF259" s="3285"/>
      <c r="AI259" s="3056" t="str">
        <f>"26:ryokan_code:" &amp; IF(I259="■",1,IF(M259="■",2,0))</f>
        <v>26:ryokan_code:0</v>
      </c>
    </row>
    <row r="260" spans="1:35" ht="18.75" hidden="1" customHeight="1">
      <c r="A260" s="735"/>
      <c r="B260" s="1407"/>
      <c r="C260" s="1303"/>
      <c r="D260" s="1304"/>
      <c r="E260" s="1275"/>
      <c r="F260" s="1289"/>
      <c r="G260" s="1275"/>
      <c r="H260" s="1409" t="s">
        <v>2425</v>
      </c>
      <c r="I260" s="3137" t="s">
        <v>121</v>
      </c>
      <c r="J260" s="1298" t="s">
        <v>2424</v>
      </c>
      <c r="K260" s="1299"/>
      <c r="L260" s="1300"/>
      <c r="M260" s="3065" t="s">
        <v>121</v>
      </c>
      <c r="N260" s="1298" t="s">
        <v>2423</v>
      </c>
      <c r="O260" s="1307"/>
      <c r="P260" s="1307"/>
      <c r="Q260" s="1307"/>
      <c r="R260" s="1326"/>
      <c r="S260" s="1307"/>
      <c r="T260" s="1307"/>
      <c r="U260" s="1307"/>
      <c r="V260" s="1307"/>
      <c r="W260" s="1307"/>
      <c r="X260" s="1308"/>
      <c r="Y260" s="1295"/>
      <c r="Z260" s="1292"/>
      <c r="AA260" s="1292"/>
      <c r="AB260" s="1293"/>
      <c r="AC260" s="3287"/>
      <c r="AD260" s="3286"/>
      <c r="AE260" s="3286"/>
      <c r="AF260" s="3285"/>
      <c r="AI260" s="3056" t="str">
        <f>"26:doctor_haiti_code:" &amp; IF(I260="■",1,IF(M260="■",2,0))</f>
        <v>26:doctor_haiti_code:0</v>
      </c>
    </row>
    <row r="261" spans="1:35" ht="18.75" hidden="1" customHeight="1">
      <c r="A261" s="735"/>
      <c r="B261" s="1407"/>
      <c r="C261" s="1303"/>
      <c r="D261" s="1304"/>
      <c r="E261" s="1275"/>
      <c r="F261" s="1289"/>
      <c r="G261" s="1275"/>
      <c r="H261" s="1409" t="s">
        <v>1318</v>
      </c>
      <c r="I261" s="3137" t="s">
        <v>121</v>
      </c>
      <c r="J261" s="1298" t="s">
        <v>1230</v>
      </c>
      <c r="K261" s="1299"/>
      <c r="L261" s="3065" t="s">
        <v>121</v>
      </c>
      <c r="M261" s="1298" t="s">
        <v>1248</v>
      </c>
      <c r="N261" s="1307"/>
      <c r="O261" s="1307"/>
      <c r="P261" s="1307"/>
      <c r="Q261" s="1307"/>
      <c r="R261" s="1307"/>
      <c r="S261" s="1307"/>
      <c r="T261" s="1307"/>
      <c r="U261" s="1307"/>
      <c r="V261" s="1307"/>
      <c r="W261" s="1307"/>
      <c r="X261" s="1308"/>
      <c r="Y261" s="1295"/>
      <c r="Z261" s="1292"/>
      <c r="AA261" s="1292"/>
      <c r="AB261" s="1293"/>
      <c r="AC261" s="3287"/>
      <c r="AD261" s="3286"/>
      <c r="AE261" s="3286"/>
      <c r="AF261" s="3285"/>
      <c r="AI261" s="3056" t="str">
        <f>"26:jyakuninti_uke_code:" &amp; IF(I261="■",1,IF(L261="■",2,0))</f>
        <v>26:jyakuninti_uke_code:0</v>
      </c>
    </row>
    <row r="262" spans="1:35" ht="18.75" hidden="1" customHeight="1">
      <c r="A262" s="3069" t="s">
        <v>121</v>
      </c>
      <c r="B262" s="1407">
        <v>26</v>
      </c>
      <c r="C262" s="1303" t="s">
        <v>2503</v>
      </c>
      <c r="D262" s="3069" t="s">
        <v>121</v>
      </c>
      <c r="E262" s="1275" t="s">
        <v>2422</v>
      </c>
      <c r="F262" s="3069" t="s">
        <v>121</v>
      </c>
      <c r="G262" s="1275" t="s">
        <v>2421</v>
      </c>
      <c r="H262" s="1409" t="s">
        <v>1324</v>
      </c>
      <c r="I262" s="3137" t="s">
        <v>121</v>
      </c>
      <c r="J262" s="1298" t="s">
        <v>1239</v>
      </c>
      <c r="K262" s="1299"/>
      <c r="L262" s="1300"/>
      <c r="M262" s="3065" t="s">
        <v>121</v>
      </c>
      <c r="N262" s="1298" t="s">
        <v>1240</v>
      </c>
      <c r="O262" s="1307"/>
      <c r="P262" s="1307"/>
      <c r="Q262" s="1307"/>
      <c r="R262" s="1307"/>
      <c r="S262" s="1307"/>
      <c r="T262" s="1307"/>
      <c r="U262" s="1307"/>
      <c r="V262" s="1307"/>
      <c r="W262" s="1307"/>
      <c r="X262" s="1308"/>
      <c r="Y262" s="1295"/>
      <c r="Z262" s="1292"/>
      <c r="AA262" s="1292"/>
      <c r="AB262" s="1293"/>
      <c r="AC262" s="3287"/>
      <c r="AD262" s="3286"/>
      <c r="AE262" s="3286"/>
      <c r="AF262" s="3285"/>
      <c r="AI262" s="3056" t="str">
        <f>"26:sougei_code:" &amp; IF(I262="■",1,IF(M262="■",2,0))</f>
        <v>26:sougei_code:0</v>
      </c>
    </row>
    <row r="263" spans="1:35" ht="19.5" hidden="1" customHeight="1">
      <c r="A263" s="735"/>
      <c r="B263" s="1407"/>
      <c r="C263" s="1303"/>
      <c r="D263" s="3069" t="s">
        <v>121</v>
      </c>
      <c r="E263" s="1275" t="s">
        <v>2420</v>
      </c>
      <c r="F263" s="3069" t="s">
        <v>121</v>
      </c>
      <c r="G263" s="1275" t="s">
        <v>2419</v>
      </c>
      <c r="H263" s="1306" t="s">
        <v>1325</v>
      </c>
      <c r="I263" s="3137" t="s">
        <v>121</v>
      </c>
      <c r="J263" s="1298" t="s">
        <v>1230</v>
      </c>
      <c r="K263" s="1298"/>
      <c r="L263" s="3065" t="s">
        <v>121</v>
      </c>
      <c r="M263" s="1298" t="s">
        <v>1248</v>
      </c>
      <c r="N263" s="1298"/>
      <c r="O263" s="1307"/>
      <c r="P263" s="1298"/>
      <c r="Q263" s="1307"/>
      <c r="R263" s="1307"/>
      <c r="S263" s="1307"/>
      <c r="T263" s="1307"/>
      <c r="U263" s="1307"/>
      <c r="V263" s="1307"/>
      <c r="W263" s="1307"/>
      <c r="X263" s="1308"/>
      <c r="Y263" s="1292"/>
      <c r="Z263" s="1292"/>
      <c r="AA263" s="1292"/>
      <c r="AB263" s="1293"/>
      <c r="AC263" s="3287"/>
      <c r="AD263" s="3286"/>
      <c r="AE263" s="3286"/>
      <c r="AF263" s="3285"/>
      <c r="AI263" s="3056" t="str">
        <f>"26:field224:" &amp; IF(I263="■",1,IF(L263="■",2,0))</f>
        <v>26:field224:0</v>
      </c>
    </row>
    <row r="264" spans="1:35" ht="18.75" hidden="1" customHeight="1">
      <c r="A264" s="735"/>
      <c r="B264" s="1407"/>
      <c r="C264" s="1303"/>
      <c r="D264" s="1304"/>
      <c r="E264" s="1275"/>
      <c r="F264" s="1289"/>
      <c r="G264" s="1275"/>
      <c r="H264" s="1409" t="s">
        <v>145</v>
      </c>
      <c r="I264" s="3137" t="s">
        <v>121</v>
      </c>
      <c r="J264" s="1298" t="s">
        <v>1230</v>
      </c>
      <c r="K264" s="1299"/>
      <c r="L264" s="3065" t="s">
        <v>121</v>
      </c>
      <c r="M264" s="1298" t="s">
        <v>1248</v>
      </c>
      <c r="N264" s="1307"/>
      <c r="O264" s="1307"/>
      <c r="P264" s="1307"/>
      <c r="Q264" s="1307"/>
      <c r="R264" s="1307"/>
      <c r="S264" s="1307"/>
      <c r="T264" s="1307"/>
      <c r="U264" s="1307"/>
      <c r="V264" s="1307"/>
      <c r="W264" s="1307"/>
      <c r="X264" s="1308"/>
      <c r="Y264" s="1295"/>
      <c r="Z264" s="1292"/>
      <c r="AA264" s="1292"/>
      <c r="AB264" s="1293"/>
      <c r="AC264" s="3287"/>
      <c r="AD264" s="3286"/>
      <c r="AE264" s="3286"/>
      <c r="AF264" s="3285"/>
      <c r="AI264" s="3056" t="str">
        <f>"26:ryouyoushoku_code:" &amp; IF(I264="■",1,IF(L264="■",2,0))</f>
        <v>26:ryouyoushoku_code:0</v>
      </c>
    </row>
    <row r="265" spans="1:35" ht="18.75" hidden="1" customHeight="1">
      <c r="A265" s="735"/>
      <c r="B265" s="1407"/>
      <c r="C265" s="1303"/>
      <c r="D265" s="1304"/>
      <c r="E265" s="1275"/>
      <c r="F265" s="1289"/>
      <c r="G265" s="1275"/>
      <c r="H265" s="1409" t="s">
        <v>1326</v>
      </c>
      <c r="I265" s="3137" t="s">
        <v>121</v>
      </c>
      <c r="J265" s="1298" t="s">
        <v>1230</v>
      </c>
      <c r="K265" s="1298"/>
      <c r="L265" s="3065" t="s">
        <v>121</v>
      </c>
      <c r="M265" s="1298" t="s">
        <v>1256</v>
      </c>
      <c r="N265" s="1298"/>
      <c r="O265" s="3065" t="s">
        <v>121</v>
      </c>
      <c r="P265" s="1298" t="s">
        <v>1257</v>
      </c>
      <c r="Q265" s="1307"/>
      <c r="R265" s="1307"/>
      <c r="S265" s="1307"/>
      <c r="T265" s="1307"/>
      <c r="U265" s="1307"/>
      <c r="V265" s="1307"/>
      <c r="W265" s="1307"/>
      <c r="X265" s="1308"/>
      <c r="Y265" s="1295"/>
      <c r="Z265" s="1292"/>
      <c r="AA265" s="1292"/>
      <c r="AB265" s="1293"/>
      <c r="AC265" s="3287"/>
      <c r="AD265" s="3286"/>
      <c r="AE265" s="3286"/>
      <c r="AF265" s="3285"/>
      <c r="AI265" s="3056" t="str">
        <f>"26:ninti_senmoncare_code:" &amp; IF(I265="■",1,IF(O265="■",3,IF(L265="■",2,0)))</f>
        <v>26:ninti_senmoncare_code:0</v>
      </c>
    </row>
    <row r="266" spans="1:35" ht="18.75" hidden="1" customHeight="1">
      <c r="A266" s="735"/>
      <c r="B266" s="1407"/>
      <c r="C266" s="1303"/>
      <c r="D266" s="1304"/>
      <c r="E266" s="1275"/>
      <c r="F266" s="1289"/>
      <c r="G266" s="1275"/>
      <c r="H266" s="1541" t="s">
        <v>2412</v>
      </c>
      <c r="I266" s="3137" t="s">
        <v>121</v>
      </c>
      <c r="J266" s="1290" t="s">
        <v>1273</v>
      </c>
      <c r="K266" s="1290"/>
      <c r="L266" s="1314"/>
      <c r="M266" s="1314"/>
      <c r="N266" s="1314"/>
      <c r="O266" s="1314"/>
      <c r="P266" s="3136" t="s">
        <v>121</v>
      </c>
      <c r="Q266" s="1290" t="s">
        <v>1274</v>
      </c>
      <c r="R266" s="1314"/>
      <c r="S266" s="1314"/>
      <c r="T266" s="1314"/>
      <c r="U266" s="1314"/>
      <c r="V266" s="1314"/>
      <c r="W266" s="1314"/>
      <c r="X266" s="1315"/>
      <c r="Y266" s="1295"/>
      <c r="Z266" s="1292"/>
      <c r="AA266" s="1292"/>
      <c r="AB266" s="1293"/>
      <c r="AC266" s="3287"/>
      <c r="AD266" s="3286"/>
      <c r="AE266" s="3286"/>
      <c r="AF266" s="3285"/>
      <c r="AI266" s="3056" t="str">
        <f>"26:" &amp; IF(AND(I266="□",P266="□",I267="□"),"tokusin_jyusho_code:0:tokusin_yakuzai_code:0:shuudan_comu_code:0",IF(I266="■","tokusin_jyusho_code:2","tokusin_jyusho_code:1")
&amp;IF(P266="■",":tokusin_yakuzai_code:2",":tokusin_yakuzai_code:1")
&amp;IF(I267="■",":shuudan_comu_code:2",":shuudan_comu_code:1"))</f>
        <v>26:tokusin_jyusho_code:0:tokusin_yakuzai_code:0:shuudan_comu_code:0</v>
      </c>
    </row>
    <row r="267" spans="1:35" ht="18.75" hidden="1" customHeight="1">
      <c r="A267" s="735"/>
      <c r="B267" s="1407"/>
      <c r="C267" s="1303"/>
      <c r="D267" s="1304"/>
      <c r="E267" s="1275"/>
      <c r="F267" s="1289"/>
      <c r="G267" s="1275"/>
      <c r="H267" s="1542"/>
      <c r="I267" s="3069" t="s">
        <v>121</v>
      </c>
      <c r="J267" s="1296" t="s">
        <v>2318</v>
      </c>
      <c r="K267" s="1330"/>
      <c r="L267" s="1330"/>
      <c r="M267" s="1330"/>
      <c r="N267" s="1330"/>
      <c r="O267" s="1330"/>
      <c r="P267" s="1330"/>
      <c r="Q267" s="1403"/>
      <c r="R267" s="1330"/>
      <c r="S267" s="1330"/>
      <c r="T267" s="1330"/>
      <c r="U267" s="1330"/>
      <c r="V267" s="1330"/>
      <c r="W267" s="1330"/>
      <c r="X267" s="1356"/>
      <c r="Y267" s="1295"/>
      <c r="Z267" s="1292"/>
      <c r="AA267" s="1292"/>
      <c r="AB267" s="1293"/>
      <c r="AC267" s="3287"/>
      <c r="AD267" s="3286"/>
      <c r="AE267" s="3286"/>
      <c r="AF267" s="3285"/>
    </row>
    <row r="268" spans="1:35" ht="18.75" hidden="1" customHeight="1">
      <c r="A268" s="735"/>
      <c r="B268" s="1407"/>
      <c r="C268" s="1303"/>
      <c r="D268" s="1304"/>
      <c r="E268" s="1275"/>
      <c r="F268" s="1289"/>
      <c r="G268" s="1275"/>
      <c r="H268" s="1313" t="s">
        <v>1265</v>
      </c>
      <c r="I268" s="3137" t="s">
        <v>121</v>
      </c>
      <c r="J268" s="1298" t="s">
        <v>1230</v>
      </c>
      <c r="K268" s="1298"/>
      <c r="L268" s="3065" t="s">
        <v>121</v>
      </c>
      <c r="M268" s="1298" t="s">
        <v>1256</v>
      </c>
      <c r="N268" s="1298"/>
      <c r="O268" s="3065" t="s">
        <v>121</v>
      </c>
      <c r="P268" s="1298" t="s">
        <v>1257</v>
      </c>
      <c r="Q268" s="1307"/>
      <c r="R268" s="1307"/>
      <c r="S268" s="1307"/>
      <c r="T268" s="1307"/>
      <c r="U268" s="1314"/>
      <c r="V268" s="1314"/>
      <c r="W268" s="1314"/>
      <c r="X268" s="1315"/>
      <c r="Y268" s="1295"/>
      <c r="Z268" s="1292"/>
      <c r="AA268" s="1292"/>
      <c r="AB268" s="1293"/>
      <c r="AC268" s="3287"/>
      <c r="AD268" s="3286"/>
      <c r="AE268" s="3286"/>
      <c r="AF268" s="3285"/>
      <c r="AI268" s="3056" t="str">
        <f>"26:field225:" &amp; IF(I268="■",1,IF(L268="■",2,IF(O268="■",3,0)))</f>
        <v>26:field225:0</v>
      </c>
    </row>
    <row r="269" spans="1:35" ht="18.75" hidden="1" customHeight="1">
      <c r="A269" s="735"/>
      <c r="B269" s="1407"/>
      <c r="C269" s="1303"/>
      <c r="D269" s="1304"/>
      <c r="E269" s="1275"/>
      <c r="F269" s="1289"/>
      <c r="G269" s="1275"/>
      <c r="H269" s="1541" t="s">
        <v>1280</v>
      </c>
      <c r="I269" s="3137" t="s">
        <v>121</v>
      </c>
      <c r="J269" s="1290" t="s">
        <v>2317</v>
      </c>
      <c r="K269" s="1328"/>
      <c r="L269" s="1329"/>
      <c r="M269" s="3136" t="s">
        <v>121</v>
      </c>
      <c r="N269" s="1290" t="s">
        <v>2316</v>
      </c>
      <c r="O269" s="1314"/>
      <c r="P269" s="1314"/>
      <c r="Q269" s="3136" t="s">
        <v>121</v>
      </c>
      <c r="R269" s="1290" t="s">
        <v>2315</v>
      </c>
      <c r="S269" s="1314"/>
      <c r="T269" s="1314"/>
      <c r="U269" s="1314"/>
      <c r="V269" s="1314"/>
      <c r="W269" s="1314"/>
      <c r="X269" s="1315"/>
      <c r="Y269" s="1295"/>
      <c r="Z269" s="1292"/>
      <c r="AA269" s="1292"/>
      <c r="AB269" s="1293"/>
      <c r="AC269" s="3287"/>
      <c r="AD269" s="3286"/>
      <c r="AE269" s="3286"/>
      <c r="AF269" s="3285"/>
      <c r="AI269" s="3056" t="str">
        <f>"26:"&amp;IF(AND(I269="□",M269="□",Q269="□",I270="□",Q270="□"),"koriha_rryoho1_code:0:koriha_sryoho_code:0:koriha_gengo_code:0:riha_seisin_code:0:koriha_other_code:0",IF(I269="■","koriha_rryoho1_code:2","koriha_rryoho1_code:1")
&amp;IF(M269="■",":koriha_sryoho_code:2",":koriha_sryoho_code:1")
&amp;IF(Q269="■",":koriha_gengo_code:2",":koriha_gengo_code:1")
&amp;IF(I270="■",":riha_seisin_code:2",":riha_seisin_code:1")
&amp;IF(Q270="■",":koriha_other_code:2",":koriha_other_code:1"))</f>
        <v>26:koriha_rryoho1_code:0:koriha_sryoho_code:0:koriha_gengo_code:0:riha_seisin_code:0:koriha_other_code:0</v>
      </c>
    </row>
    <row r="270" spans="1:35" ht="18.75" hidden="1" customHeight="1">
      <c r="A270" s="735"/>
      <c r="B270" s="1407"/>
      <c r="C270" s="1303"/>
      <c r="D270" s="1304"/>
      <c r="E270" s="1275"/>
      <c r="F270" s="1289"/>
      <c r="G270" s="1275"/>
      <c r="H270" s="1542"/>
      <c r="I270" s="3069" t="s">
        <v>121</v>
      </c>
      <c r="J270" s="1296" t="s">
        <v>2314</v>
      </c>
      <c r="K270" s="1330"/>
      <c r="L270" s="1330"/>
      <c r="M270" s="1330"/>
      <c r="N270" s="1330"/>
      <c r="O270" s="1330"/>
      <c r="P270" s="1330"/>
      <c r="Q270" s="3062" t="s">
        <v>121</v>
      </c>
      <c r="R270" s="1296" t="s">
        <v>2313</v>
      </c>
      <c r="S270" s="1403"/>
      <c r="T270" s="1330"/>
      <c r="U270" s="1330"/>
      <c r="V270" s="1330"/>
      <c r="W270" s="1330"/>
      <c r="X270" s="1356"/>
      <c r="Y270" s="1295"/>
      <c r="Z270" s="1292"/>
      <c r="AA270" s="1292"/>
      <c r="AB270" s="1293"/>
      <c r="AC270" s="3287"/>
      <c r="AD270" s="3286"/>
      <c r="AE270" s="3286"/>
      <c r="AF270" s="3285"/>
      <c r="AI270" s="3056"/>
    </row>
    <row r="271" spans="1:35" ht="18.75" hidden="1" customHeight="1">
      <c r="A271" s="735"/>
      <c r="B271" s="1407"/>
      <c r="C271" s="1303"/>
      <c r="D271" s="1304"/>
      <c r="E271" s="1275"/>
      <c r="F271" s="1289"/>
      <c r="G271" s="1275"/>
      <c r="H271" s="1409" t="s">
        <v>1266</v>
      </c>
      <c r="I271" s="3137" t="s">
        <v>121</v>
      </c>
      <c r="J271" s="1298" t="s">
        <v>1230</v>
      </c>
      <c r="K271" s="1298"/>
      <c r="L271" s="3065" t="s">
        <v>121</v>
      </c>
      <c r="M271" s="1298" t="s">
        <v>1267</v>
      </c>
      <c r="N271" s="1298"/>
      <c r="O271" s="3065" t="s">
        <v>121</v>
      </c>
      <c r="P271" s="1298" t="s">
        <v>1268</v>
      </c>
      <c r="Q271" s="1326"/>
      <c r="R271" s="3065" t="s">
        <v>121</v>
      </c>
      <c r="S271" s="1298" t="s">
        <v>1269</v>
      </c>
      <c r="T271" s="1326"/>
      <c r="U271" s="1326"/>
      <c r="V271" s="1326"/>
      <c r="W271" s="1326"/>
      <c r="X271" s="1327"/>
      <c r="Y271" s="1295"/>
      <c r="Z271" s="1292"/>
      <c r="AA271" s="1292"/>
      <c r="AB271" s="1293"/>
      <c r="AC271" s="3287"/>
      <c r="AD271" s="3286"/>
      <c r="AE271" s="3286"/>
      <c r="AF271" s="3285"/>
      <c r="AI271" s="3056" t="str">
        <f>"26:serteikyo_kyoka_code:" &amp; IF(I271="■",1,IF(L271="■",6,IF(O271="■",5,IF(R271="■",7,0))))</f>
        <v>26:serteikyo_kyoka_code:0</v>
      </c>
    </row>
    <row r="272" spans="1:35" ht="18.75" hidden="1" customHeight="1">
      <c r="A272" s="735"/>
      <c r="B272" s="1407"/>
      <c r="C272" s="1303"/>
      <c r="D272" s="1304"/>
      <c r="E272" s="1275"/>
      <c r="F272" s="1289"/>
      <c r="G272" s="1275"/>
      <c r="H272" s="1539" t="s">
        <v>2390</v>
      </c>
      <c r="I272" s="3160" t="s">
        <v>121</v>
      </c>
      <c r="J272" s="3161" t="s">
        <v>1230</v>
      </c>
      <c r="K272" s="3161"/>
      <c r="L272" s="3160" t="s">
        <v>121</v>
      </c>
      <c r="M272" s="3161" t="s">
        <v>1248</v>
      </c>
      <c r="N272" s="3161"/>
      <c r="O272" s="1402"/>
      <c r="P272" s="1402"/>
      <c r="Q272" s="1402"/>
      <c r="R272" s="1402"/>
      <c r="S272" s="1402"/>
      <c r="T272" s="1402"/>
      <c r="U272" s="1402"/>
      <c r="V272" s="1402"/>
      <c r="W272" s="1402"/>
      <c r="X272" s="1291"/>
      <c r="Y272" s="1295"/>
      <c r="Z272" s="1292"/>
      <c r="AA272" s="1292"/>
      <c r="AB272" s="1293"/>
      <c r="AC272" s="3287"/>
      <c r="AD272" s="3286"/>
      <c r="AE272" s="3286"/>
      <c r="AF272" s="3285"/>
      <c r="AI272" s="3056" t="str">
        <f>"26:field221:" &amp; IF(I272="■",1,IF(L272="■",2,0))</f>
        <v>26:field221:0</v>
      </c>
    </row>
    <row r="273" spans="1:36" ht="18.75" hidden="1" customHeight="1">
      <c r="A273" s="735"/>
      <c r="B273" s="1407"/>
      <c r="C273" s="1303"/>
      <c r="D273" s="1304"/>
      <c r="E273" s="1275"/>
      <c r="F273" s="1289"/>
      <c r="G273" s="1275"/>
      <c r="H273" s="1540"/>
      <c r="I273" s="3160"/>
      <c r="J273" s="3161"/>
      <c r="K273" s="3161"/>
      <c r="L273" s="3160"/>
      <c r="M273" s="3161"/>
      <c r="N273" s="3161"/>
      <c r="O273" s="1403"/>
      <c r="P273" s="1403"/>
      <c r="Q273" s="1403"/>
      <c r="R273" s="1403"/>
      <c r="S273" s="1403"/>
      <c r="T273" s="1403"/>
      <c r="U273" s="1403"/>
      <c r="V273" s="1403"/>
      <c r="W273" s="1403"/>
      <c r="X273" s="1297"/>
      <c r="Y273" s="1295"/>
      <c r="Z273" s="1292"/>
      <c r="AA273" s="1292"/>
      <c r="AB273" s="1293"/>
      <c r="AC273" s="3287"/>
      <c r="AD273" s="3286"/>
      <c r="AE273" s="3286"/>
      <c r="AF273" s="3285"/>
    </row>
    <row r="274" spans="1:36" ht="18.75" hidden="1" customHeight="1">
      <c r="A274" s="736"/>
      <c r="B274" s="1316"/>
      <c r="C274" s="1346"/>
      <c r="D274" s="1348"/>
      <c r="E274" s="1317"/>
      <c r="F274" s="1318"/>
      <c r="G274" s="1361"/>
      <c r="H274" s="3134" t="s">
        <v>2288</v>
      </c>
      <c r="I274" s="3060" t="s">
        <v>121</v>
      </c>
      <c r="J274" s="3130" t="s">
        <v>1230</v>
      </c>
      <c r="K274" s="3130"/>
      <c r="L274" s="3059" t="s">
        <v>121</v>
      </c>
      <c r="M274" s="3130" t="s">
        <v>2287</v>
      </c>
      <c r="N274" s="3133"/>
      <c r="O274" s="3059" t="s">
        <v>121</v>
      </c>
      <c r="P274" s="3132" t="s">
        <v>2286</v>
      </c>
      <c r="Q274" s="3131"/>
      <c r="R274" s="3059" t="s">
        <v>121</v>
      </c>
      <c r="S274" s="3130" t="s">
        <v>2285</v>
      </c>
      <c r="T274" s="3131"/>
      <c r="U274" s="3059" t="s">
        <v>121</v>
      </c>
      <c r="V274" s="3130" t="s">
        <v>2284</v>
      </c>
      <c r="W274" s="3129"/>
      <c r="X274" s="3128"/>
      <c r="Y274" s="1323"/>
      <c r="Z274" s="1323"/>
      <c r="AA274" s="1323"/>
      <c r="AB274" s="1324"/>
      <c r="AC274" s="3284"/>
      <c r="AD274" s="3283"/>
      <c r="AE274" s="3283"/>
      <c r="AF274" s="3282"/>
      <c r="AG274" s="3056"/>
      <c r="AH274" s="3056"/>
      <c r="AI274" s="3056" t="str">
        <f>"26:shoguukaizen_code:"&amp;IF(I274="■",1,IF(L274="■",7,IF(O274="■",8,IF(R274="■",9,IF(U274="■","A",0)))))</f>
        <v>26:shoguukaizen_code:0</v>
      </c>
    </row>
    <row r="275" spans="1:36" s="3056" customFormat="1" ht="18.75" hidden="1" customHeight="1">
      <c r="A275" s="1276"/>
      <c r="B275" s="1405"/>
      <c r="C275" s="1277"/>
      <c r="D275" s="1278"/>
      <c r="E275" s="1272"/>
      <c r="F275" s="1279"/>
      <c r="G275" s="1351"/>
      <c r="H275" s="3214" t="s">
        <v>1241</v>
      </c>
      <c r="I275" s="3213" t="s">
        <v>121</v>
      </c>
      <c r="J275" s="3210" t="s">
        <v>1242</v>
      </c>
      <c r="K275" s="3209"/>
      <c r="L275" s="3212"/>
      <c r="M275" s="3211" t="s">
        <v>121</v>
      </c>
      <c r="N275" s="3210" t="s">
        <v>1243</v>
      </c>
      <c r="O275" s="3209"/>
      <c r="P275" s="3208"/>
      <c r="Q275" s="3208"/>
      <c r="R275" s="3208"/>
      <c r="S275" s="3208"/>
      <c r="T275" s="3208"/>
      <c r="U275" s="3208"/>
      <c r="V275" s="3208"/>
      <c r="W275" s="3208"/>
      <c r="X275" s="3207"/>
      <c r="Y275" s="3138" t="s">
        <v>121</v>
      </c>
      <c r="Z275" s="1270" t="s">
        <v>1229</v>
      </c>
      <c r="AA275" s="1270"/>
      <c r="AB275" s="1286"/>
      <c r="AC275" s="1530"/>
      <c r="AD275" s="3205"/>
      <c r="AE275" s="3205"/>
      <c r="AF275" s="3204"/>
      <c r="AG275" s="3056" t="str">
        <f>"ser_code = '" &amp; IF(A283="■",26,"") &amp; "'"</f>
        <v>ser_code = ''</v>
      </c>
      <c r="AH275" s="3056" t="str">
        <f>"26:jininkbn_code:"&amp;IF(F281="■",1,IF(F283="■",3,IF(F285="■",4,IF(F287="■",2,0))))</f>
        <v>26:jininkbn_code:0</v>
      </c>
      <c r="AI275" s="3056" t="str">
        <f>"26:sintaikousoku_code:" &amp; IF(I275="■",1,IF(M275="■",2,0))</f>
        <v>26:sintaikousoku_code:0</v>
      </c>
      <c r="AJ275" s="3056" t="str">
        <f>"26:field203:" &amp; IF(Y275="■",1,IF(Y276="■",2,0))</f>
        <v>26:field203:0</v>
      </c>
    </row>
    <row r="276" spans="1:36" ht="19.5" hidden="1" customHeight="1">
      <c r="A276" s="735"/>
      <c r="B276" s="1407"/>
      <c r="C276" s="1303"/>
      <c r="D276" s="1304"/>
      <c r="E276" s="1275"/>
      <c r="F276" s="1289"/>
      <c r="G276" s="1305"/>
      <c r="H276" s="1354" t="s">
        <v>1244</v>
      </c>
      <c r="I276" s="3137" t="s">
        <v>121</v>
      </c>
      <c r="J276" s="1296" t="s">
        <v>1242</v>
      </c>
      <c r="K276" s="1309"/>
      <c r="L276" s="1355"/>
      <c r="M276" s="3062" t="s">
        <v>121</v>
      </c>
      <c r="N276" s="1296" t="s">
        <v>1245</v>
      </c>
      <c r="O276" s="1330"/>
      <c r="P276" s="1296"/>
      <c r="Q276" s="1330"/>
      <c r="R276" s="1330"/>
      <c r="S276" s="1330"/>
      <c r="T276" s="1330"/>
      <c r="U276" s="1330"/>
      <c r="V276" s="1330"/>
      <c r="W276" s="1330"/>
      <c r="X276" s="1356"/>
      <c r="Y276" s="3122" t="s">
        <v>121</v>
      </c>
      <c r="Z276" s="1273" t="s">
        <v>1234</v>
      </c>
      <c r="AA276" s="1292"/>
      <c r="AB276" s="1293"/>
      <c r="AC276" s="3203"/>
      <c r="AD276" s="3202"/>
      <c r="AE276" s="3202"/>
      <c r="AF276" s="3201"/>
      <c r="AG276" s="3056" t="str">
        <f>"26:sisetukbn_code:"&amp;IF(D283="■","2",0)</f>
        <v>26:sisetukbn_code:0</v>
      </c>
      <c r="AH276" s="3056"/>
      <c r="AI276" s="3056" t="str">
        <f>"26:field223:" &amp; IF(I276="■",1,IF(M276="■",2,0))</f>
        <v>26:field223:0</v>
      </c>
      <c r="AJ276" s="3056"/>
    </row>
    <row r="277" spans="1:36" ht="19.5" hidden="1" customHeight="1">
      <c r="A277" s="735"/>
      <c r="B277" s="1407"/>
      <c r="C277" s="1303"/>
      <c r="D277" s="1304"/>
      <c r="E277" s="1275"/>
      <c r="F277" s="1289"/>
      <c r="G277" s="1305"/>
      <c r="H277" s="1306" t="s">
        <v>1246</v>
      </c>
      <c r="I277" s="3137" t="s">
        <v>121</v>
      </c>
      <c r="J277" s="1296" t="s">
        <v>1242</v>
      </c>
      <c r="K277" s="1309"/>
      <c r="L277" s="1355"/>
      <c r="M277" s="3062" t="s">
        <v>121</v>
      </c>
      <c r="N277" s="1296" t="s">
        <v>1245</v>
      </c>
      <c r="O277" s="1330"/>
      <c r="P277" s="1296"/>
      <c r="Q277" s="1330"/>
      <c r="R277" s="1330"/>
      <c r="S277" s="1330"/>
      <c r="T277" s="1330"/>
      <c r="U277" s="1330"/>
      <c r="V277" s="1330"/>
      <c r="W277" s="1330"/>
      <c r="X277" s="1356"/>
      <c r="Y277" s="1295"/>
      <c r="Z277" s="1273"/>
      <c r="AA277" s="1292"/>
      <c r="AB277" s="1293"/>
      <c r="AC277" s="3203"/>
      <c r="AD277" s="3202"/>
      <c r="AE277" s="3202"/>
      <c r="AF277" s="3201"/>
      <c r="AG277" s="3056"/>
      <c r="AH277" s="3056"/>
      <c r="AI277" s="3056" t="str">
        <f>"26:field232:" &amp; IF(I277="■",1,IF(M277="■",2,0))</f>
        <v>26:field232:0</v>
      </c>
      <c r="AJ277" s="3056"/>
    </row>
    <row r="278" spans="1:36" ht="18.75" hidden="1" customHeight="1">
      <c r="A278" s="735"/>
      <c r="B278" s="1407"/>
      <c r="C278" s="1303"/>
      <c r="D278" s="1304"/>
      <c r="E278" s="1305"/>
      <c r="F278" s="1304"/>
      <c r="G278" s="1275"/>
      <c r="H278" s="1399" t="s">
        <v>2410</v>
      </c>
      <c r="I278" s="3137" t="s">
        <v>121</v>
      </c>
      <c r="J278" s="1296" t="s">
        <v>1227</v>
      </c>
      <c r="K278" s="1309"/>
      <c r="L278" s="1355"/>
      <c r="M278" s="3062" t="s">
        <v>121</v>
      </c>
      <c r="N278" s="1296" t="s">
        <v>2291</v>
      </c>
      <c r="O278" s="1403"/>
      <c r="P278" s="1309"/>
      <c r="Q278" s="1309"/>
      <c r="R278" s="1309"/>
      <c r="S278" s="1309"/>
      <c r="T278" s="1309"/>
      <c r="U278" s="1309"/>
      <c r="V278" s="1309"/>
      <c r="W278" s="1309"/>
      <c r="X278" s="3087"/>
      <c r="Y278" s="1295"/>
      <c r="Z278" s="1273"/>
      <c r="AA278" s="1292"/>
      <c r="AB278" s="1293"/>
      <c r="AC278" s="3203"/>
      <c r="AD278" s="3202"/>
      <c r="AE278" s="3202"/>
      <c r="AF278" s="3201"/>
      <c r="AI278" s="3056" t="str">
        <f>"26:setubi_kijyun_code:" &amp; IF(I278="■",1,IF(M278="■",2,0))</f>
        <v>26:setubi_kijyun_code:0</v>
      </c>
    </row>
    <row r="279" spans="1:36" ht="18.75" hidden="1" customHeight="1">
      <c r="A279" s="735"/>
      <c r="B279" s="1407"/>
      <c r="C279" s="1303"/>
      <c r="D279" s="1304"/>
      <c r="E279" s="1305"/>
      <c r="F279" s="1304"/>
      <c r="G279" s="1275"/>
      <c r="H279" s="1409" t="s">
        <v>2409</v>
      </c>
      <c r="I279" s="3137" t="s">
        <v>121</v>
      </c>
      <c r="J279" s="1298" t="s">
        <v>1227</v>
      </c>
      <c r="K279" s="1299"/>
      <c r="L279" s="1300"/>
      <c r="M279" s="3065" t="s">
        <v>121</v>
      </c>
      <c r="N279" s="1298" t="s">
        <v>2291</v>
      </c>
      <c r="O279" s="1326"/>
      <c r="P279" s="1299"/>
      <c r="Q279" s="1299"/>
      <c r="R279" s="1299"/>
      <c r="S279" s="1299"/>
      <c r="T279" s="1299"/>
      <c r="U279" s="1299"/>
      <c r="V279" s="1299"/>
      <c r="W279" s="1299"/>
      <c r="X279" s="1302"/>
      <c r="Y279" s="1295"/>
      <c r="Z279" s="1292"/>
      <c r="AA279" s="1292"/>
      <c r="AB279" s="1293"/>
      <c r="AC279" s="3203"/>
      <c r="AD279" s="3202"/>
      <c r="AE279" s="3202"/>
      <c r="AF279" s="3201"/>
      <c r="AI279" s="3056" t="str">
        <f>"26:field163:" &amp; IF(I279="■",1,IF(M279="■",2,0))</f>
        <v>26:field163:0</v>
      </c>
    </row>
    <row r="280" spans="1:36" ht="18.75" hidden="1" customHeight="1">
      <c r="A280" s="735"/>
      <c r="B280" s="1407"/>
      <c r="C280" s="1303"/>
      <c r="D280" s="1304"/>
      <c r="E280" s="1305"/>
      <c r="F280" s="1304"/>
      <c r="G280" s="1275"/>
      <c r="H280" s="1409" t="s">
        <v>1318</v>
      </c>
      <c r="I280" s="3137" t="s">
        <v>121</v>
      </c>
      <c r="J280" s="1298" t="s">
        <v>1230</v>
      </c>
      <c r="K280" s="1299"/>
      <c r="L280" s="3065" t="s">
        <v>121</v>
      </c>
      <c r="M280" s="1298" t="s">
        <v>1248</v>
      </c>
      <c r="N280" s="1307"/>
      <c r="O280" s="1307"/>
      <c r="P280" s="1307"/>
      <c r="Q280" s="1299"/>
      <c r="R280" s="1299"/>
      <c r="S280" s="1299"/>
      <c r="T280" s="1299"/>
      <c r="U280" s="1299"/>
      <c r="V280" s="1299"/>
      <c r="W280" s="1299"/>
      <c r="X280" s="1302"/>
      <c r="Y280" s="1295"/>
      <c r="Z280" s="1292"/>
      <c r="AA280" s="1292"/>
      <c r="AB280" s="1293"/>
      <c r="AC280" s="3203"/>
      <c r="AD280" s="3202"/>
      <c r="AE280" s="3202"/>
      <c r="AF280" s="3201"/>
      <c r="AI280" s="3056" t="str">
        <f>"26:jyakuninti_uke_code:" &amp; IF(I280="■",1,IF(L280="■",2,0))</f>
        <v>26:jyakuninti_uke_code:0</v>
      </c>
    </row>
    <row r="281" spans="1:36" ht="18.75" hidden="1" customHeight="1">
      <c r="A281" s="735"/>
      <c r="B281" s="1407"/>
      <c r="C281" s="1303"/>
      <c r="D281" s="1304"/>
      <c r="E281" s="1305"/>
      <c r="F281" s="3069" t="s">
        <v>121</v>
      </c>
      <c r="G281" s="1275" t="s">
        <v>2418</v>
      </c>
      <c r="H281" s="1409" t="s">
        <v>1324</v>
      </c>
      <c r="I281" s="3137" t="s">
        <v>121</v>
      </c>
      <c r="J281" s="1298" t="s">
        <v>1239</v>
      </c>
      <c r="K281" s="1299"/>
      <c r="L281" s="1300"/>
      <c r="M281" s="3065" t="s">
        <v>121</v>
      </c>
      <c r="N281" s="1298" t="s">
        <v>1240</v>
      </c>
      <c r="O281" s="1307"/>
      <c r="P281" s="1307"/>
      <c r="Q281" s="1299"/>
      <c r="R281" s="1299"/>
      <c r="S281" s="1299"/>
      <c r="T281" s="1299"/>
      <c r="U281" s="1299"/>
      <c r="V281" s="1299"/>
      <c r="W281" s="1299"/>
      <c r="X281" s="1302"/>
      <c r="Y281" s="1295"/>
      <c r="Z281" s="1292"/>
      <c r="AA281" s="1292"/>
      <c r="AB281" s="1293"/>
      <c r="AC281" s="3203"/>
      <c r="AD281" s="3202"/>
      <c r="AE281" s="3202"/>
      <c r="AF281" s="3201"/>
      <c r="AI281" s="3056" t="str">
        <f>"26:sougei_code:" &amp; IF(I281="■",1,IF(M281="■",2,0))</f>
        <v>26:sougei_code:0</v>
      </c>
    </row>
    <row r="282" spans="1:36" ht="19.5" hidden="1" customHeight="1">
      <c r="A282" s="735"/>
      <c r="B282" s="1407"/>
      <c r="C282" s="1303"/>
      <c r="D282" s="1304"/>
      <c r="E282" s="1305"/>
      <c r="F282" s="1304"/>
      <c r="G282" s="1275" t="s">
        <v>2417</v>
      </c>
      <c r="H282" s="1306" t="s">
        <v>1325</v>
      </c>
      <c r="I282" s="3137" t="s">
        <v>121</v>
      </c>
      <c r="J282" s="1298" t="s">
        <v>1230</v>
      </c>
      <c r="K282" s="1298"/>
      <c r="L282" s="3065" t="s">
        <v>121</v>
      </c>
      <c r="M282" s="1298" t="s">
        <v>1248</v>
      </c>
      <c r="N282" s="1298"/>
      <c r="O282" s="1307"/>
      <c r="P282" s="1298"/>
      <c r="Q282" s="1307"/>
      <c r="R282" s="1307"/>
      <c r="S282" s="1307"/>
      <c r="T282" s="1307"/>
      <c r="U282" s="1307"/>
      <c r="V282" s="1307"/>
      <c r="W282" s="1307"/>
      <c r="X282" s="1308"/>
      <c r="Y282" s="1292"/>
      <c r="Z282" s="1292"/>
      <c r="AA282" s="1292"/>
      <c r="AB282" s="1293"/>
      <c r="AC282" s="3203"/>
      <c r="AD282" s="3202"/>
      <c r="AE282" s="3202"/>
      <c r="AF282" s="3201"/>
      <c r="AI282" s="3056" t="str">
        <f>"26:field224:" &amp; IF(I282="■",1,IF(L282="■",2,0))</f>
        <v>26:field224:0</v>
      </c>
    </row>
    <row r="283" spans="1:36" ht="18.75" hidden="1" customHeight="1">
      <c r="A283" s="3069" t="s">
        <v>121</v>
      </c>
      <c r="B283" s="1407">
        <v>26</v>
      </c>
      <c r="C283" s="1303" t="s">
        <v>2503</v>
      </c>
      <c r="D283" s="3069" t="s">
        <v>121</v>
      </c>
      <c r="E283" s="1305" t="s">
        <v>2502</v>
      </c>
      <c r="F283" s="3069" t="s">
        <v>121</v>
      </c>
      <c r="G283" s="1275" t="s">
        <v>2416</v>
      </c>
      <c r="H283" s="1409" t="s">
        <v>145</v>
      </c>
      <c r="I283" s="3137" t="s">
        <v>121</v>
      </c>
      <c r="J283" s="1298" t="s">
        <v>1230</v>
      </c>
      <c r="K283" s="1299"/>
      <c r="L283" s="3065" t="s">
        <v>121</v>
      </c>
      <c r="M283" s="1298" t="s">
        <v>1248</v>
      </c>
      <c r="N283" s="1307"/>
      <c r="O283" s="1307"/>
      <c r="P283" s="1307"/>
      <c r="Q283" s="1299"/>
      <c r="R283" s="1299"/>
      <c r="S283" s="1299"/>
      <c r="T283" s="1299"/>
      <c r="U283" s="1299"/>
      <c r="V283" s="1299"/>
      <c r="W283" s="1299"/>
      <c r="X283" s="1302"/>
      <c r="Y283" s="1295"/>
      <c r="Z283" s="1292"/>
      <c r="AA283" s="1292"/>
      <c r="AB283" s="1293"/>
      <c r="AC283" s="3203"/>
      <c r="AD283" s="3202"/>
      <c r="AE283" s="3202"/>
      <c r="AF283" s="3201"/>
      <c r="AI283" s="3056" t="str">
        <f>"26:ryouyoushoku_code:" &amp; IF(I283="■",1,IF(L283="■",2,0))</f>
        <v>26:ryouyoushoku_code:0</v>
      </c>
    </row>
    <row r="284" spans="1:36" ht="18.75" hidden="1" customHeight="1">
      <c r="A284" s="735"/>
      <c r="B284" s="1407"/>
      <c r="C284" s="1303"/>
      <c r="D284" s="1304"/>
      <c r="E284" s="1305"/>
      <c r="F284" s="1304"/>
      <c r="G284" s="1275" t="s">
        <v>2434</v>
      </c>
      <c r="H284" s="1409" t="s">
        <v>1326</v>
      </c>
      <c r="I284" s="3137" t="s">
        <v>121</v>
      </c>
      <c r="J284" s="1298" t="s">
        <v>1230</v>
      </c>
      <c r="K284" s="1298"/>
      <c r="L284" s="3065" t="s">
        <v>121</v>
      </c>
      <c r="M284" s="1298" t="s">
        <v>1256</v>
      </c>
      <c r="N284" s="1298"/>
      <c r="O284" s="3065" t="s">
        <v>121</v>
      </c>
      <c r="P284" s="1298" t="s">
        <v>1257</v>
      </c>
      <c r="Q284" s="1307"/>
      <c r="R284" s="1299"/>
      <c r="S284" s="1299"/>
      <c r="T284" s="1299"/>
      <c r="U284" s="1299"/>
      <c r="V284" s="1299"/>
      <c r="W284" s="1299"/>
      <c r="X284" s="1302"/>
      <c r="Y284" s="1295"/>
      <c r="Z284" s="1292"/>
      <c r="AA284" s="1292"/>
      <c r="AB284" s="1293"/>
      <c r="AC284" s="3203"/>
      <c r="AD284" s="3202"/>
      <c r="AE284" s="3202"/>
      <c r="AF284" s="3201"/>
      <c r="AI284" s="3056" t="str">
        <f>"26:ninti_senmoncare_code:" &amp; IF(I284="■",1,IF(O284="■",3,IF(L284="■",2,0)))</f>
        <v>26:ninti_senmoncare_code:0</v>
      </c>
    </row>
    <row r="285" spans="1:36" ht="18.75" hidden="1" customHeight="1">
      <c r="A285" s="735"/>
      <c r="B285" s="1407"/>
      <c r="C285" s="1303"/>
      <c r="D285" s="1304"/>
      <c r="E285" s="1305"/>
      <c r="F285" s="3069" t="s">
        <v>121</v>
      </c>
      <c r="G285" s="1275" t="s">
        <v>2413</v>
      </c>
      <c r="H285" s="1541" t="s">
        <v>2412</v>
      </c>
      <c r="I285" s="3137" t="s">
        <v>121</v>
      </c>
      <c r="J285" s="1290" t="s">
        <v>1273</v>
      </c>
      <c r="K285" s="1290"/>
      <c r="L285" s="1314"/>
      <c r="M285" s="1314"/>
      <c r="N285" s="1314"/>
      <c r="O285" s="1314"/>
      <c r="P285" s="3136" t="s">
        <v>121</v>
      </c>
      <c r="Q285" s="1290" t="s">
        <v>1274</v>
      </c>
      <c r="R285" s="1314"/>
      <c r="S285" s="1314"/>
      <c r="T285" s="1314"/>
      <c r="U285" s="1314"/>
      <c r="V285" s="1314"/>
      <c r="W285" s="1314"/>
      <c r="X285" s="1315"/>
      <c r="Y285" s="1295"/>
      <c r="Z285" s="1292"/>
      <c r="AA285" s="1292"/>
      <c r="AB285" s="1293"/>
      <c r="AC285" s="3203"/>
      <c r="AD285" s="3202"/>
      <c r="AE285" s="3202"/>
      <c r="AF285" s="3201"/>
      <c r="AI285" s="3056" t="str">
        <f>"26:" &amp; IF(AND(I285="□",P285="□",I286="□"),"tokusin_jyusho_code:0:tokusin_yakuzai_code:0:shuudan_comu_code:0",IF(I285="■","tokusin_jyusho_code:2","tokusin_jyusho_code:1")
&amp;IF(P285="■",":tokusin_yakuzai_code:2",":tokusin_yakuzai_code:1")
&amp;IF(I286="■",":shuudan_comu_code:2",":shuudan_comu_code:1"))</f>
        <v>26:tokusin_jyusho_code:0:tokusin_yakuzai_code:0:shuudan_comu_code:0</v>
      </c>
    </row>
    <row r="286" spans="1:36" ht="18.75" hidden="1" customHeight="1">
      <c r="A286" s="735"/>
      <c r="B286" s="1407"/>
      <c r="C286" s="1303"/>
      <c r="D286" s="1304"/>
      <c r="E286" s="1305"/>
      <c r="F286" s="1304"/>
      <c r="G286" s="1275" t="s">
        <v>2411</v>
      </c>
      <c r="H286" s="1542"/>
      <c r="I286" s="3069" t="s">
        <v>121</v>
      </c>
      <c r="J286" s="1296" t="s">
        <v>2318</v>
      </c>
      <c r="K286" s="1330"/>
      <c r="L286" s="1330"/>
      <c r="M286" s="1330"/>
      <c r="N286" s="1330"/>
      <c r="O286" s="1330"/>
      <c r="P286" s="1330"/>
      <c r="Q286" s="1403"/>
      <c r="R286" s="1330"/>
      <c r="S286" s="1330"/>
      <c r="T286" s="1330"/>
      <c r="U286" s="1330"/>
      <c r="V286" s="1330"/>
      <c r="W286" s="1330"/>
      <c r="X286" s="1356"/>
      <c r="Y286" s="1295"/>
      <c r="Z286" s="1292"/>
      <c r="AA286" s="1292"/>
      <c r="AB286" s="1293"/>
      <c r="AC286" s="3203"/>
      <c r="AD286" s="3202"/>
      <c r="AE286" s="3202"/>
      <c r="AF286" s="3201"/>
      <c r="AI286" s="3056"/>
    </row>
    <row r="287" spans="1:36" ht="18.75" hidden="1" customHeight="1">
      <c r="A287" s="735"/>
      <c r="B287" s="1407"/>
      <c r="C287" s="1303"/>
      <c r="D287" s="1304"/>
      <c r="E287" s="1305"/>
      <c r="F287" s="3069" t="s">
        <v>121</v>
      </c>
      <c r="G287" s="1275" t="s">
        <v>2294</v>
      </c>
      <c r="H287" s="1313" t="s">
        <v>1265</v>
      </c>
      <c r="I287" s="3137" t="s">
        <v>121</v>
      </c>
      <c r="J287" s="1298" t="s">
        <v>1230</v>
      </c>
      <c r="K287" s="1298"/>
      <c r="L287" s="3065" t="s">
        <v>121</v>
      </c>
      <c r="M287" s="1298" t="s">
        <v>1256</v>
      </c>
      <c r="N287" s="1298"/>
      <c r="O287" s="3065" t="s">
        <v>121</v>
      </c>
      <c r="P287" s="1298" t="s">
        <v>1257</v>
      </c>
      <c r="Q287" s="1307"/>
      <c r="R287" s="1307"/>
      <c r="S287" s="1307"/>
      <c r="T287" s="1307"/>
      <c r="U287" s="1314"/>
      <c r="V287" s="1314"/>
      <c r="W287" s="1314"/>
      <c r="X287" s="1315"/>
      <c r="Y287" s="1295"/>
      <c r="Z287" s="1292"/>
      <c r="AA287" s="1292"/>
      <c r="AB287" s="1293"/>
      <c r="AC287" s="3203"/>
      <c r="AD287" s="3202"/>
      <c r="AE287" s="3202"/>
      <c r="AF287" s="3201"/>
      <c r="AI287" s="3056" t="str">
        <f>"26:field225:" &amp; IF(I287="■",1,IF(L287="■",2,IF(O287="■",3,0)))</f>
        <v>26:field225:0</v>
      </c>
    </row>
    <row r="288" spans="1:36" ht="18.75" hidden="1" customHeight="1">
      <c r="A288" s="735"/>
      <c r="B288" s="1407"/>
      <c r="C288" s="1303"/>
      <c r="D288" s="1304"/>
      <c r="E288" s="1305"/>
      <c r="F288" s="1304"/>
      <c r="G288" s="1275"/>
      <c r="H288" s="1541" t="s">
        <v>1280</v>
      </c>
      <c r="I288" s="3137" t="s">
        <v>121</v>
      </c>
      <c r="J288" s="1290" t="s">
        <v>2317</v>
      </c>
      <c r="K288" s="1328"/>
      <c r="L288" s="1329"/>
      <c r="M288" s="3136" t="s">
        <v>121</v>
      </c>
      <c r="N288" s="1290" t="s">
        <v>2316</v>
      </c>
      <c r="O288" s="1314"/>
      <c r="P288" s="1314"/>
      <c r="Q288" s="3136" t="s">
        <v>121</v>
      </c>
      <c r="R288" s="1290" t="s">
        <v>2315</v>
      </c>
      <c r="S288" s="1314"/>
      <c r="T288" s="1314"/>
      <c r="U288" s="1314"/>
      <c r="V288" s="1314"/>
      <c r="W288" s="1314"/>
      <c r="X288" s="1315"/>
      <c r="Y288" s="1295"/>
      <c r="Z288" s="1292"/>
      <c r="AA288" s="1292"/>
      <c r="AB288" s="1293"/>
      <c r="AC288" s="3203"/>
      <c r="AD288" s="3202"/>
      <c r="AE288" s="3202"/>
      <c r="AF288" s="3201"/>
      <c r="AI288" s="3056" t="str">
        <f>"26:"&amp;IF(AND(I288="□",M288="□",Q288="□",I289="□",Q289="□"),"koriha_rryoho1_code:0:koriha_sryoho_code:0:koriha_gengo_code:0:riha_seisin_code:0:koriha_other_code:0",IF(I288="■","koriha_rryoho1_code:2","koriha_rryoho1_code:1")
&amp;IF(M288="■",":koriha_sryoho_code:2",":koriha_sryoho_code:1")
&amp;IF(Q288="■",":koriha_gengo_code:2",":koriha_gengo_code:1")
&amp;IF(I289="■",":riha_seisin_code:2",":riha_seisin_code:1")
&amp;IF(Q289="■",":koriha_other_code:2",":koriha_other_code:1"))</f>
        <v>26:koriha_rryoho1_code:0:koriha_sryoho_code:0:koriha_gengo_code:0:riha_seisin_code:0:koriha_other_code:0</v>
      </c>
    </row>
    <row r="289" spans="1:36" ht="18.75" hidden="1" customHeight="1">
      <c r="A289" s="735"/>
      <c r="B289" s="1407"/>
      <c r="C289" s="1303"/>
      <c r="D289" s="1304"/>
      <c r="E289" s="1305"/>
      <c r="F289" s="1304"/>
      <c r="G289" s="1275"/>
      <c r="H289" s="1542"/>
      <c r="I289" s="3069" t="s">
        <v>121</v>
      </c>
      <c r="J289" s="1296" t="s">
        <v>2314</v>
      </c>
      <c r="K289" s="1330"/>
      <c r="L289" s="1330"/>
      <c r="M289" s="1330"/>
      <c r="N289" s="1330"/>
      <c r="O289" s="1330"/>
      <c r="P289" s="1330"/>
      <c r="Q289" s="3062" t="s">
        <v>121</v>
      </c>
      <c r="R289" s="1296" t="s">
        <v>2313</v>
      </c>
      <c r="S289" s="1403"/>
      <c r="T289" s="1330"/>
      <c r="U289" s="1330"/>
      <c r="V289" s="1330"/>
      <c r="W289" s="1330"/>
      <c r="X289" s="1356"/>
      <c r="Y289" s="1295"/>
      <c r="Z289" s="1292"/>
      <c r="AA289" s="1292"/>
      <c r="AB289" s="1293"/>
      <c r="AC289" s="3203"/>
      <c r="AD289" s="3202"/>
      <c r="AE289" s="3202"/>
      <c r="AF289" s="3201"/>
      <c r="AI289" s="3056"/>
    </row>
    <row r="290" spans="1:36" ht="18.75" hidden="1" customHeight="1">
      <c r="A290" s="735"/>
      <c r="B290" s="1407"/>
      <c r="C290" s="1303"/>
      <c r="D290" s="1304"/>
      <c r="E290" s="1305"/>
      <c r="F290" s="1304"/>
      <c r="G290" s="1275"/>
      <c r="H290" s="1409" t="s">
        <v>1266</v>
      </c>
      <c r="I290" s="3137" t="s">
        <v>121</v>
      </c>
      <c r="J290" s="1298" t="s">
        <v>1230</v>
      </c>
      <c r="K290" s="1298"/>
      <c r="L290" s="3065" t="s">
        <v>121</v>
      </c>
      <c r="M290" s="1298" t="s">
        <v>1267</v>
      </c>
      <c r="N290" s="1298"/>
      <c r="O290" s="3065" t="s">
        <v>121</v>
      </c>
      <c r="P290" s="1298" t="s">
        <v>1268</v>
      </c>
      <c r="Q290" s="1326"/>
      <c r="R290" s="3065" t="s">
        <v>121</v>
      </c>
      <c r="S290" s="1298" t="s">
        <v>1269</v>
      </c>
      <c r="T290" s="1326"/>
      <c r="U290" s="1326"/>
      <c r="V290" s="1326"/>
      <c r="W290" s="1326"/>
      <c r="X290" s="1327"/>
      <c r="Y290" s="1295"/>
      <c r="Z290" s="1292"/>
      <c r="AA290" s="1292"/>
      <c r="AB290" s="1293"/>
      <c r="AC290" s="3203"/>
      <c r="AD290" s="3202"/>
      <c r="AE290" s="3202"/>
      <c r="AF290" s="3201"/>
      <c r="AI290" s="3056" t="str">
        <f>"26:serteikyo_kyoka_code:" &amp; IF(I290="■",1,IF(L290="■",6,IF(O290="■",5,IF(R290="■",7,0))))</f>
        <v>26:serteikyo_kyoka_code:0</v>
      </c>
    </row>
    <row r="291" spans="1:36" ht="18.75" hidden="1" customHeight="1">
      <c r="A291" s="735"/>
      <c r="B291" s="1407"/>
      <c r="C291" s="1303"/>
      <c r="D291" s="1304"/>
      <c r="E291" s="1305"/>
      <c r="F291" s="1304"/>
      <c r="G291" s="1275"/>
      <c r="H291" s="1539" t="s">
        <v>2390</v>
      </c>
      <c r="I291" s="3160" t="s">
        <v>121</v>
      </c>
      <c r="J291" s="3161" t="s">
        <v>1230</v>
      </c>
      <c r="K291" s="3161"/>
      <c r="L291" s="3160" t="s">
        <v>121</v>
      </c>
      <c r="M291" s="3161" t="s">
        <v>1248</v>
      </c>
      <c r="N291" s="3161"/>
      <c r="O291" s="1402"/>
      <c r="P291" s="1402"/>
      <c r="Q291" s="1402"/>
      <c r="R291" s="1402"/>
      <c r="S291" s="1402"/>
      <c r="T291" s="1402"/>
      <c r="U291" s="1402"/>
      <c r="V291" s="1402"/>
      <c r="W291" s="1402"/>
      <c r="X291" s="1291"/>
      <c r="Y291" s="1295"/>
      <c r="Z291" s="1292"/>
      <c r="AA291" s="1292"/>
      <c r="AB291" s="1293"/>
      <c r="AC291" s="3203"/>
      <c r="AD291" s="3202"/>
      <c r="AE291" s="3202"/>
      <c r="AF291" s="3201"/>
      <c r="AI291" s="3056" t="str">
        <f>"26:field221:" &amp; IF(I291="■",1,IF(L291="■",2,0))</f>
        <v>26:field221:0</v>
      </c>
    </row>
    <row r="292" spans="1:36" ht="18.75" hidden="1" customHeight="1">
      <c r="A292" s="735"/>
      <c r="B292" s="1407"/>
      <c r="C292" s="1303"/>
      <c r="D292" s="1304"/>
      <c r="E292" s="1305"/>
      <c r="H292" s="1540"/>
      <c r="I292" s="3160"/>
      <c r="J292" s="3161"/>
      <c r="K292" s="3161"/>
      <c r="L292" s="3160"/>
      <c r="M292" s="3161"/>
      <c r="N292" s="3161"/>
      <c r="O292" s="1403"/>
      <c r="P292" s="1403"/>
      <c r="Q292" s="1403"/>
      <c r="R292" s="1403"/>
      <c r="S292" s="1403"/>
      <c r="T292" s="1403"/>
      <c r="U292" s="1403"/>
      <c r="V292" s="1403"/>
      <c r="W292" s="1403"/>
      <c r="X292" s="1297"/>
      <c r="Y292" s="1295"/>
      <c r="Z292" s="1292"/>
      <c r="AA292" s="1292"/>
      <c r="AB292" s="1293"/>
      <c r="AC292" s="3203"/>
      <c r="AD292" s="3202"/>
      <c r="AE292" s="3202"/>
      <c r="AF292" s="3201"/>
    </row>
    <row r="293" spans="1:36" ht="18.75" hidden="1" customHeight="1">
      <c r="A293" s="736"/>
      <c r="B293" s="1316"/>
      <c r="C293" s="1346"/>
      <c r="D293" s="1348"/>
      <c r="E293" s="1317"/>
      <c r="F293" s="1318"/>
      <c r="G293" s="1361"/>
      <c r="H293" s="3134" t="s">
        <v>2288</v>
      </c>
      <c r="I293" s="3060" t="s">
        <v>121</v>
      </c>
      <c r="J293" s="3130" t="s">
        <v>1230</v>
      </c>
      <c r="K293" s="3130"/>
      <c r="L293" s="3059" t="s">
        <v>121</v>
      </c>
      <c r="M293" s="3130" t="s">
        <v>2287</v>
      </c>
      <c r="N293" s="3133"/>
      <c r="O293" s="3059" t="s">
        <v>121</v>
      </c>
      <c r="P293" s="3132" t="s">
        <v>2286</v>
      </c>
      <c r="Q293" s="3131"/>
      <c r="R293" s="3059" t="s">
        <v>121</v>
      </c>
      <c r="S293" s="3130" t="s">
        <v>2285</v>
      </c>
      <c r="T293" s="3131"/>
      <c r="U293" s="3059" t="s">
        <v>121</v>
      </c>
      <c r="V293" s="3130" t="s">
        <v>2284</v>
      </c>
      <c r="W293" s="3129"/>
      <c r="X293" s="3128"/>
      <c r="Y293" s="1323"/>
      <c r="Z293" s="1323"/>
      <c r="AA293" s="1323"/>
      <c r="AB293" s="1324"/>
      <c r="AC293" s="3200"/>
      <c r="AD293" s="3199"/>
      <c r="AE293" s="3199"/>
      <c r="AF293" s="3198"/>
      <c r="AG293" s="3056"/>
      <c r="AH293" s="3056"/>
      <c r="AI293" s="3056" t="str">
        <f>"26:shoguukaizen_code:"&amp;IF(I293="■",1,IF(L293="■",7,IF(O293="■",8,IF(R293="■",9,IF(U293="■","A",0)))))</f>
        <v>26:shoguukaizen_code:0</v>
      </c>
    </row>
    <row r="294" spans="1:36" s="3056" customFormat="1" ht="18.75" hidden="1" customHeight="1">
      <c r="A294" s="1276"/>
      <c r="B294" s="1405"/>
      <c r="C294" s="1277"/>
      <c r="D294" s="1278"/>
      <c r="E294" s="1272"/>
      <c r="F294" s="1279"/>
      <c r="G294" s="1351"/>
      <c r="H294" s="3214" t="s">
        <v>1241</v>
      </c>
      <c r="I294" s="3213" t="s">
        <v>121</v>
      </c>
      <c r="J294" s="3210" t="s">
        <v>1242</v>
      </c>
      <c r="K294" s="3209"/>
      <c r="L294" s="3212"/>
      <c r="M294" s="3211" t="s">
        <v>121</v>
      </c>
      <c r="N294" s="3210" t="s">
        <v>1243</v>
      </c>
      <c r="O294" s="3209"/>
      <c r="P294" s="3208"/>
      <c r="Q294" s="3208"/>
      <c r="R294" s="3208"/>
      <c r="S294" s="3208"/>
      <c r="T294" s="3208"/>
      <c r="U294" s="3208"/>
      <c r="V294" s="3208"/>
      <c r="W294" s="3208"/>
      <c r="X294" s="3207"/>
      <c r="Y294" s="3119" t="s">
        <v>121</v>
      </c>
      <c r="Z294" s="1270" t="s">
        <v>1229</v>
      </c>
      <c r="AA294" s="3206"/>
      <c r="AB294" s="1286"/>
      <c r="AC294" s="3281"/>
      <c r="AD294" s="3205"/>
      <c r="AE294" s="3205"/>
      <c r="AF294" s="3204"/>
      <c r="AG294" s="3056" t="str">
        <f>"ser_code = '" &amp; IF(A304="■",26,"") &amp; "'"</f>
        <v>ser_code = ''</v>
      </c>
      <c r="AH294" s="3056" t="str">
        <f>"26:jininkbn_code:"&amp;IF(F302="■",1,IF(F304="■",2,IF(F306="■",3,0)))</f>
        <v>26:jininkbn_code:0</v>
      </c>
      <c r="AI294" s="3056" t="str">
        <f>"26:sintaikousoku_code:" &amp; IF(I294="■",1,IF(M294="■",2,0))</f>
        <v>26:sintaikousoku_code:0</v>
      </c>
      <c r="AJ294" s="3056" t="str">
        <f>"26:field203:" &amp; IF(Y294="■",1,IF(Y295="■",2,0))</f>
        <v>26:field203:0</v>
      </c>
    </row>
    <row r="295" spans="1:36" ht="19.5" hidden="1" customHeight="1">
      <c r="A295" s="735"/>
      <c r="B295" s="1407"/>
      <c r="C295" s="1303"/>
      <c r="D295" s="1304"/>
      <c r="E295" s="1275"/>
      <c r="F295" s="1289"/>
      <c r="G295" s="1305"/>
      <c r="H295" s="1354" t="s">
        <v>1244</v>
      </c>
      <c r="I295" s="3137" t="s">
        <v>121</v>
      </c>
      <c r="J295" s="1296" t="s">
        <v>1242</v>
      </c>
      <c r="K295" s="1309"/>
      <c r="L295" s="1355"/>
      <c r="M295" s="3062" t="s">
        <v>121</v>
      </c>
      <c r="N295" s="1296" t="s">
        <v>1245</v>
      </c>
      <c r="O295" s="1330"/>
      <c r="P295" s="1296"/>
      <c r="Q295" s="1330"/>
      <c r="R295" s="1330"/>
      <c r="S295" s="1330"/>
      <c r="T295" s="1330"/>
      <c r="U295" s="1330"/>
      <c r="V295" s="1330"/>
      <c r="W295" s="1330"/>
      <c r="X295" s="1356"/>
      <c r="Y295" s="3122" t="s">
        <v>121</v>
      </c>
      <c r="Z295" s="1273" t="s">
        <v>1234</v>
      </c>
      <c r="AA295" s="1273"/>
      <c r="AB295" s="1293"/>
      <c r="AC295" s="3203"/>
      <c r="AD295" s="3202"/>
      <c r="AE295" s="3202"/>
      <c r="AF295" s="3201"/>
      <c r="AG295" s="3056" t="str">
        <f>"26:sisetukbn_code:"&amp;IF(D304="■","7",0)</f>
        <v>26:sisetukbn_code:0</v>
      </c>
      <c r="AH295" s="3056"/>
      <c r="AI295" s="3056" t="str">
        <f>"26:field223:" &amp; IF(I295="■",1,IF(M295="■",2,0))</f>
        <v>26:field223:0</v>
      </c>
      <c r="AJ295" s="3056"/>
    </row>
    <row r="296" spans="1:36" ht="19.5" hidden="1" customHeight="1">
      <c r="A296" s="735"/>
      <c r="B296" s="1407"/>
      <c r="C296" s="1303"/>
      <c r="D296" s="1304"/>
      <c r="E296" s="1275"/>
      <c r="F296" s="1289"/>
      <c r="G296" s="1305"/>
      <c r="H296" s="1306" t="s">
        <v>1246</v>
      </c>
      <c r="I296" s="3137" t="s">
        <v>121</v>
      </c>
      <c r="J296" s="1296" t="s">
        <v>1242</v>
      </c>
      <c r="K296" s="1309"/>
      <c r="L296" s="1355"/>
      <c r="M296" s="3062" t="s">
        <v>121</v>
      </c>
      <c r="N296" s="1296" t="s">
        <v>1245</v>
      </c>
      <c r="O296" s="1330"/>
      <c r="P296" s="1296"/>
      <c r="Q296" s="1330"/>
      <c r="R296" s="1330"/>
      <c r="S296" s="1330"/>
      <c r="T296" s="1330"/>
      <c r="U296" s="1330"/>
      <c r="V296" s="1330"/>
      <c r="W296" s="1330"/>
      <c r="X296" s="1356"/>
      <c r="Y296" s="1295"/>
      <c r="Z296" s="1273"/>
      <c r="AA296" s="1292"/>
      <c r="AB296" s="1293"/>
      <c r="AC296" s="3203"/>
      <c r="AD296" s="3202"/>
      <c r="AE296" s="3202"/>
      <c r="AF296" s="3201"/>
      <c r="AG296" s="3056"/>
      <c r="AH296" s="3056"/>
      <c r="AI296" s="3056" t="str">
        <f>"26:field232:" &amp; IF(I296="■",1,IF(M296="■",2,0))</f>
        <v>26:field232:0</v>
      </c>
      <c r="AJ296" s="3056"/>
    </row>
    <row r="297" spans="1:36" ht="18.75" hidden="1" customHeight="1">
      <c r="A297" s="735"/>
      <c r="B297" s="1407"/>
      <c r="C297" s="1303"/>
      <c r="D297" s="1304"/>
      <c r="E297" s="1275"/>
      <c r="F297" s="1289"/>
      <c r="G297" s="1275"/>
      <c r="H297" s="1399" t="s">
        <v>91</v>
      </c>
      <c r="I297" s="3137" t="s">
        <v>121</v>
      </c>
      <c r="J297" s="1296" t="s">
        <v>1239</v>
      </c>
      <c r="K297" s="1309"/>
      <c r="L297" s="1355"/>
      <c r="M297" s="3062" t="s">
        <v>121</v>
      </c>
      <c r="N297" s="1296" t="s">
        <v>1240</v>
      </c>
      <c r="O297" s="1330"/>
      <c r="P297" s="1330"/>
      <c r="Q297" s="1330"/>
      <c r="R297" s="1330"/>
      <c r="S297" s="1330"/>
      <c r="T297" s="1330"/>
      <c r="U297" s="1330"/>
      <c r="V297" s="1330"/>
      <c r="W297" s="1330"/>
      <c r="X297" s="1356"/>
      <c r="Y297" s="1295"/>
      <c r="Z297" s="1273"/>
      <c r="AA297" s="1292"/>
      <c r="AB297" s="1293"/>
      <c r="AC297" s="3203"/>
      <c r="AD297" s="3202"/>
      <c r="AE297" s="3202"/>
      <c r="AF297" s="3201"/>
      <c r="AG297" s="3056"/>
      <c r="AH297" s="3056"/>
      <c r="AI297" s="3056" t="str">
        <f>"26:unitcare_code:" &amp; IF(I297="■",1,IF(M297="■",2,0))</f>
        <v>26:unitcare_code:0</v>
      </c>
      <c r="AJ297" s="3056"/>
    </row>
    <row r="298" spans="1:36" ht="18.75" hidden="1" customHeight="1">
      <c r="A298" s="735"/>
      <c r="B298" s="1407"/>
      <c r="C298" s="1303"/>
      <c r="D298" s="1304"/>
      <c r="E298" s="1275"/>
      <c r="F298" s="1289"/>
      <c r="G298" s="1275"/>
      <c r="H298" s="1409" t="s">
        <v>2410</v>
      </c>
      <c r="I298" s="3137" t="s">
        <v>121</v>
      </c>
      <c r="J298" s="1298" t="s">
        <v>1227</v>
      </c>
      <c r="K298" s="1299"/>
      <c r="L298" s="1300"/>
      <c r="M298" s="3065" t="s">
        <v>121</v>
      </c>
      <c r="N298" s="1298" t="s">
        <v>2291</v>
      </c>
      <c r="O298" s="1307"/>
      <c r="P298" s="1307"/>
      <c r="Q298" s="1307"/>
      <c r="R298" s="1307"/>
      <c r="S298" s="1307"/>
      <c r="T298" s="1307"/>
      <c r="U298" s="1307"/>
      <c r="V298" s="1307"/>
      <c r="W298" s="1307"/>
      <c r="X298" s="1308"/>
      <c r="Y298" s="1295"/>
      <c r="Z298" s="1292"/>
      <c r="AA298" s="1292"/>
      <c r="AB298" s="1293"/>
      <c r="AC298" s="3203"/>
      <c r="AD298" s="3202"/>
      <c r="AE298" s="3202"/>
      <c r="AF298" s="3201"/>
      <c r="AG298" s="3056"/>
      <c r="AH298" s="3056"/>
      <c r="AI298" s="3056" t="str">
        <f>"26:setubi_kijyun_code:" &amp; IF(I298="■",1,IF(M298="■",2,0))</f>
        <v>26:setubi_kijyun_code:0</v>
      </c>
      <c r="AJ298" s="3056"/>
    </row>
    <row r="299" spans="1:36" ht="18.75" hidden="1" customHeight="1">
      <c r="A299" s="735"/>
      <c r="B299" s="1407"/>
      <c r="C299" s="1303"/>
      <c r="D299" s="1304"/>
      <c r="E299" s="1275"/>
      <c r="F299" s="1289"/>
      <c r="G299" s="1275"/>
      <c r="H299" s="1409" t="s">
        <v>2409</v>
      </c>
      <c r="I299" s="3137" t="s">
        <v>121</v>
      </c>
      <c r="J299" s="1298" t="s">
        <v>1227</v>
      </c>
      <c r="K299" s="1299"/>
      <c r="L299" s="1300"/>
      <c r="M299" s="3065" t="s">
        <v>121</v>
      </c>
      <c r="N299" s="1298" t="s">
        <v>2291</v>
      </c>
      <c r="O299" s="1307"/>
      <c r="P299" s="1307"/>
      <c r="Q299" s="1307"/>
      <c r="R299" s="1307"/>
      <c r="S299" s="1307"/>
      <c r="T299" s="1307"/>
      <c r="U299" s="1307"/>
      <c r="V299" s="1307"/>
      <c r="W299" s="1307"/>
      <c r="X299" s="1308"/>
      <c r="Y299" s="1295"/>
      <c r="Z299" s="1292"/>
      <c r="AA299" s="1292"/>
      <c r="AB299" s="1293"/>
      <c r="AC299" s="3203"/>
      <c r="AD299" s="3202"/>
      <c r="AE299" s="3202"/>
      <c r="AF299" s="3201"/>
      <c r="AG299" s="3056"/>
      <c r="AH299" s="3056"/>
      <c r="AI299" s="3056" t="str">
        <f>"26:field163:" &amp; IF(I299="■",1,IF(M299="■",2,0))</f>
        <v>26:field163:0</v>
      </c>
      <c r="AJ299" s="3056"/>
    </row>
    <row r="300" spans="1:36" ht="18.75" hidden="1" customHeight="1">
      <c r="A300" s="735"/>
      <c r="B300" s="1407"/>
      <c r="C300" s="1303"/>
      <c r="D300" s="1304"/>
      <c r="E300" s="1275"/>
      <c r="F300" s="1289"/>
      <c r="G300" s="1275"/>
      <c r="H300" s="1409" t="s">
        <v>1318</v>
      </c>
      <c r="I300" s="3137" t="s">
        <v>121</v>
      </c>
      <c r="J300" s="1298" t="s">
        <v>1230</v>
      </c>
      <c r="K300" s="1299"/>
      <c r="L300" s="3065" t="s">
        <v>121</v>
      </c>
      <c r="M300" s="1298" t="s">
        <v>1248</v>
      </c>
      <c r="N300" s="1307"/>
      <c r="O300" s="1307"/>
      <c r="P300" s="1307"/>
      <c r="Q300" s="1299"/>
      <c r="R300" s="1307"/>
      <c r="S300" s="1307"/>
      <c r="T300" s="1307"/>
      <c r="U300" s="1307"/>
      <c r="V300" s="1307"/>
      <c r="W300" s="1307"/>
      <c r="X300" s="1308"/>
      <c r="Y300" s="1295"/>
      <c r="Z300" s="1292"/>
      <c r="AA300" s="1292"/>
      <c r="AB300" s="1293"/>
      <c r="AC300" s="3203"/>
      <c r="AD300" s="3202"/>
      <c r="AE300" s="3202"/>
      <c r="AF300" s="3201"/>
      <c r="AG300" s="3056"/>
      <c r="AH300" s="3056"/>
      <c r="AI300" s="3056" t="str">
        <f>"26:jyakuninti_uke_code:" &amp; IF(I300="■",1,IF(L300="■",2,0))</f>
        <v>26:jyakuninti_uke_code:0</v>
      </c>
      <c r="AJ300" s="3056"/>
    </row>
    <row r="301" spans="1:36" ht="18.75" hidden="1" customHeight="1">
      <c r="A301" s="735"/>
      <c r="B301" s="1407"/>
      <c r="C301" s="1303"/>
      <c r="D301" s="1304"/>
      <c r="E301" s="1275"/>
      <c r="F301" s="1289"/>
      <c r="G301" s="1275"/>
      <c r="H301" s="1409" t="s">
        <v>1324</v>
      </c>
      <c r="I301" s="3137" t="s">
        <v>121</v>
      </c>
      <c r="J301" s="1298" t="s">
        <v>1239</v>
      </c>
      <c r="K301" s="1299"/>
      <c r="L301" s="1300"/>
      <c r="M301" s="3065" t="s">
        <v>121</v>
      </c>
      <c r="N301" s="1298" t="s">
        <v>1240</v>
      </c>
      <c r="O301" s="1307"/>
      <c r="P301" s="1307"/>
      <c r="Q301" s="1299"/>
      <c r="R301" s="1307"/>
      <c r="S301" s="1307"/>
      <c r="T301" s="1307"/>
      <c r="U301" s="1307"/>
      <c r="V301" s="1307"/>
      <c r="W301" s="1307"/>
      <c r="X301" s="1308"/>
      <c r="Y301" s="1295"/>
      <c r="Z301" s="1292"/>
      <c r="AA301" s="1292"/>
      <c r="AB301" s="1293"/>
      <c r="AC301" s="3203"/>
      <c r="AD301" s="3202"/>
      <c r="AE301" s="3202"/>
      <c r="AF301" s="3201"/>
      <c r="AG301" s="3056"/>
      <c r="AH301" s="3056"/>
      <c r="AI301" s="3056" t="str">
        <f>"26:sougei_code:" &amp; IF(I301="■",1,IF(M301="■",2,0))</f>
        <v>26:sougei_code:0</v>
      </c>
      <c r="AJ301" s="3056"/>
    </row>
    <row r="302" spans="1:36" ht="19.5" hidden="1" customHeight="1">
      <c r="A302" s="735"/>
      <c r="B302" s="1407"/>
      <c r="C302" s="1303"/>
      <c r="D302" s="1304"/>
      <c r="E302" s="1275"/>
      <c r="F302" s="3069" t="s">
        <v>121</v>
      </c>
      <c r="G302" s="1275" t="s">
        <v>2408</v>
      </c>
      <c r="H302" s="1306" t="s">
        <v>1325</v>
      </c>
      <c r="I302" s="3137" t="s">
        <v>121</v>
      </c>
      <c r="J302" s="1298" t="s">
        <v>1230</v>
      </c>
      <c r="K302" s="1298"/>
      <c r="L302" s="3065" t="s">
        <v>121</v>
      </c>
      <c r="M302" s="1298" t="s">
        <v>1248</v>
      </c>
      <c r="N302" s="1298"/>
      <c r="O302" s="1307"/>
      <c r="P302" s="1298"/>
      <c r="Q302" s="1307"/>
      <c r="R302" s="1307"/>
      <c r="S302" s="1307"/>
      <c r="T302" s="1307"/>
      <c r="U302" s="1307"/>
      <c r="V302" s="1307"/>
      <c r="W302" s="1307"/>
      <c r="X302" s="1308"/>
      <c r="Y302" s="1292"/>
      <c r="Z302" s="1292"/>
      <c r="AA302" s="1292"/>
      <c r="AB302" s="1293"/>
      <c r="AC302" s="3203"/>
      <c r="AD302" s="3202"/>
      <c r="AE302" s="3202"/>
      <c r="AF302" s="3201"/>
      <c r="AG302" s="3056"/>
      <c r="AH302" s="3056"/>
      <c r="AI302" s="3056" t="str">
        <f>"26:field224:" &amp; IF(I302="■",1,IF(L302="■",2,0))</f>
        <v>26:field224:0</v>
      </c>
      <c r="AJ302" s="3056"/>
    </row>
    <row r="303" spans="1:36" ht="18.75" hidden="1" customHeight="1">
      <c r="A303" s="735"/>
      <c r="B303" s="1407"/>
      <c r="C303" s="1303"/>
      <c r="D303" s="1304"/>
      <c r="E303" s="1275"/>
      <c r="F303" s="1289"/>
      <c r="G303" s="1275" t="s">
        <v>2407</v>
      </c>
      <c r="H303" s="1409" t="s">
        <v>145</v>
      </c>
      <c r="I303" s="3137" t="s">
        <v>121</v>
      </c>
      <c r="J303" s="1298" t="s">
        <v>1230</v>
      </c>
      <c r="K303" s="1299"/>
      <c r="L303" s="3065" t="s">
        <v>121</v>
      </c>
      <c r="M303" s="1298" t="s">
        <v>1248</v>
      </c>
      <c r="N303" s="1307"/>
      <c r="O303" s="1307"/>
      <c r="P303" s="1307"/>
      <c r="Q303" s="1299"/>
      <c r="R303" s="1307"/>
      <c r="S303" s="1307"/>
      <c r="T303" s="1307"/>
      <c r="U303" s="1307"/>
      <c r="V303" s="1307"/>
      <c r="W303" s="1307"/>
      <c r="X303" s="1308"/>
      <c r="Y303" s="1295"/>
      <c r="Z303" s="1292"/>
      <c r="AA303" s="1292"/>
      <c r="AB303" s="1293"/>
      <c r="AC303" s="3203"/>
      <c r="AD303" s="3202"/>
      <c r="AE303" s="3202"/>
      <c r="AF303" s="3201"/>
      <c r="AG303" s="3056"/>
      <c r="AH303" s="3056"/>
      <c r="AI303" s="3056" t="str">
        <f>"26:ryouyoushoku_code:" &amp; IF(I303="■",1,IF(L303="■",2,0))</f>
        <v>26:ryouyoushoku_code:0</v>
      </c>
      <c r="AJ303" s="3056"/>
    </row>
    <row r="304" spans="1:36" ht="18.75" hidden="1" customHeight="1">
      <c r="A304" s="3069" t="s">
        <v>121</v>
      </c>
      <c r="B304" s="1407">
        <v>26</v>
      </c>
      <c r="C304" s="1303" t="s">
        <v>1340</v>
      </c>
      <c r="D304" s="3069" t="s">
        <v>121</v>
      </c>
      <c r="E304" s="1275" t="s">
        <v>2406</v>
      </c>
      <c r="F304" s="3069" t="s">
        <v>121</v>
      </c>
      <c r="G304" s="1275" t="s">
        <v>2405</v>
      </c>
      <c r="H304" s="1409" t="s">
        <v>1326</v>
      </c>
      <c r="I304" s="3137" t="s">
        <v>121</v>
      </c>
      <c r="J304" s="1298" t="s">
        <v>1230</v>
      </c>
      <c r="K304" s="1298"/>
      <c r="L304" s="3065" t="s">
        <v>121</v>
      </c>
      <c r="M304" s="1298" t="s">
        <v>1256</v>
      </c>
      <c r="N304" s="1298"/>
      <c r="O304" s="3065" t="s">
        <v>121</v>
      </c>
      <c r="P304" s="1298" t="s">
        <v>1257</v>
      </c>
      <c r="Q304" s="1307"/>
      <c r="R304" s="1307"/>
      <c r="S304" s="1307"/>
      <c r="T304" s="1307"/>
      <c r="U304" s="1307"/>
      <c r="V304" s="1307"/>
      <c r="W304" s="1307"/>
      <c r="X304" s="1308"/>
      <c r="Y304" s="1295"/>
      <c r="Z304" s="1292"/>
      <c r="AA304" s="1292"/>
      <c r="AB304" s="1293"/>
      <c r="AC304" s="3203"/>
      <c r="AD304" s="3202"/>
      <c r="AE304" s="3202"/>
      <c r="AF304" s="3201"/>
      <c r="AG304" s="3056"/>
      <c r="AH304" s="3056"/>
      <c r="AI304" s="3056" t="str">
        <f>"26:ninti_senmoncare_code:" &amp; IF(I304="■",1,IF(O304="■",3,IF(L304="■",2,0)))</f>
        <v>26:ninti_senmoncare_code:0</v>
      </c>
      <c r="AJ304" s="3056"/>
    </row>
    <row r="305" spans="1:36" ht="18.75" hidden="1" customHeight="1">
      <c r="A305" s="735"/>
      <c r="B305" s="1407"/>
      <c r="C305" s="1303"/>
      <c r="D305" s="1304"/>
      <c r="E305" s="1275"/>
      <c r="F305" s="1289"/>
      <c r="G305" s="1275" t="s">
        <v>2404</v>
      </c>
      <c r="H305" s="1541" t="s">
        <v>2412</v>
      </c>
      <c r="I305" s="3137" t="s">
        <v>121</v>
      </c>
      <c r="J305" s="1290" t="s">
        <v>1273</v>
      </c>
      <c r="K305" s="1290"/>
      <c r="L305" s="1314"/>
      <c r="M305" s="1314"/>
      <c r="N305" s="1314"/>
      <c r="O305" s="1314"/>
      <c r="P305" s="3136" t="s">
        <v>121</v>
      </c>
      <c r="Q305" s="1290" t="s">
        <v>1274</v>
      </c>
      <c r="R305" s="1314"/>
      <c r="S305" s="1314"/>
      <c r="T305" s="1314"/>
      <c r="U305" s="1314"/>
      <c r="V305" s="1314"/>
      <c r="W305" s="1314"/>
      <c r="X305" s="1315"/>
      <c r="Y305" s="1295"/>
      <c r="Z305" s="1292"/>
      <c r="AA305" s="1292"/>
      <c r="AB305" s="1293"/>
      <c r="AC305" s="3203"/>
      <c r="AD305" s="3202"/>
      <c r="AE305" s="3202"/>
      <c r="AF305" s="3201"/>
      <c r="AG305" s="3056"/>
      <c r="AH305" s="3056"/>
      <c r="AI305" s="3056" t="str">
        <f>"26:" &amp; IF(AND(I305="□",P305="□",I306="□"),"tokusin_jyusho_code:0:tokusin_yakuzai_code:0:shuudan_comu_code:0",IF(I305="■","tokusin_jyusho_code:2","tokusin_jyusho_code:1")
&amp;IF(P305="■",":tokusin_yakuzai_code:2",":tokusin_yakuzai_code:1")
&amp;IF(I306="■",":shuudan_comu_code:2",":shuudan_comu_code:1"))</f>
        <v>26:tokusin_jyusho_code:0:tokusin_yakuzai_code:0:shuudan_comu_code:0</v>
      </c>
      <c r="AJ305" s="3056"/>
    </row>
    <row r="306" spans="1:36" ht="18.75" hidden="1" customHeight="1">
      <c r="A306" s="735"/>
      <c r="B306" s="1407"/>
      <c r="C306" s="1303"/>
      <c r="D306" s="1304"/>
      <c r="E306" s="1275"/>
      <c r="F306" s="3069" t="s">
        <v>121</v>
      </c>
      <c r="G306" s="1275" t="s">
        <v>2403</v>
      </c>
      <c r="H306" s="1542"/>
      <c r="I306" s="3069" t="s">
        <v>121</v>
      </c>
      <c r="J306" s="1296" t="s">
        <v>2318</v>
      </c>
      <c r="K306" s="1330"/>
      <c r="L306" s="1330"/>
      <c r="M306" s="1330"/>
      <c r="N306" s="1330"/>
      <c r="O306" s="1330"/>
      <c r="P306" s="1330"/>
      <c r="Q306" s="1403"/>
      <c r="R306" s="1330"/>
      <c r="S306" s="1330"/>
      <c r="T306" s="1330"/>
      <c r="U306" s="1330"/>
      <c r="V306" s="1330"/>
      <c r="W306" s="1330"/>
      <c r="X306" s="1356"/>
      <c r="Y306" s="1295"/>
      <c r="Z306" s="1292"/>
      <c r="AA306" s="1292"/>
      <c r="AB306" s="1293"/>
      <c r="AC306" s="3203"/>
      <c r="AD306" s="3202"/>
      <c r="AE306" s="3202"/>
      <c r="AF306" s="3201"/>
      <c r="AG306" s="3056"/>
      <c r="AH306" s="3056"/>
      <c r="AI306" s="3056"/>
      <c r="AJ306" s="3056"/>
    </row>
    <row r="307" spans="1:36" ht="18.75" hidden="1" customHeight="1">
      <c r="A307" s="735"/>
      <c r="B307" s="1407"/>
      <c r="C307" s="1303"/>
      <c r="D307" s="1304"/>
      <c r="E307" s="1275"/>
      <c r="F307" s="1289"/>
      <c r="G307" s="1275" t="s">
        <v>2402</v>
      </c>
      <c r="H307" s="1313" t="s">
        <v>1265</v>
      </c>
      <c r="I307" s="3137" t="s">
        <v>121</v>
      </c>
      <c r="J307" s="1298" t="s">
        <v>1230</v>
      </c>
      <c r="K307" s="1298"/>
      <c r="L307" s="3065" t="s">
        <v>121</v>
      </c>
      <c r="M307" s="1298" t="s">
        <v>1256</v>
      </c>
      <c r="N307" s="1298"/>
      <c r="O307" s="3065" t="s">
        <v>121</v>
      </c>
      <c r="P307" s="1298" t="s">
        <v>1257</v>
      </c>
      <c r="Q307" s="1307"/>
      <c r="R307" s="1307"/>
      <c r="S307" s="1307"/>
      <c r="T307" s="1307"/>
      <c r="U307" s="1314"/>
      <c r="V307" s="1314"/>
      <c r="W307" s="1314"/>
      <c r="X307" s="1315"/>
      <c r="Y307" s="1295"/>
      <c r="Z307" s="1292"/>
      <c r="AA307" s="1292"/>
      <c r="AB307" s="1293"/>
      <c r="AC307" s="3203"/>
      <c r="AD307" s="3202"/>
      <c r="AE307" s="3202"/>
      <c r="AF307" s="3201"/>
      <c r="AG307" s="3056"/>
      <c r="AH307" s="3056"/>
      <c r="AI307" s="3056" t="str">
        <f>"26:field225:" &amp; IF(I307="■",1,IF(L307="■",2,IF(O307="■",3,0)))</f>
        <v>26:field225:0</v>
      </c>
      <c r="AJ307" s="3056"/>
    </row>
    <row r="308" spans="1:36" ht="18.75" hidden="1" customHeight="1">
      <c r="A308" s="1304"/>
      <c r="B308" s="1407"/>
      <c r="C308" s="1303"/>
      <c r="D308" s="1304"/>
      <c r="E308" s="1275"/>
      <c r="F308" s="1289"/>
      <c r="G308" s="1275"/>
      <c r="H308" s="1541" t="s">
        <v>1280</v>
      </c>
      <c r="I308" s="3137" t="s">
        <v>121</v>
      </c>
      <c r="J308" s="1290" t="s">
        <v>2317</v>
      </c>
      <c r="K308" s="1328"/>
      <c r="L308" s="1329"/>
      <c r="M308" s="3136" t="s">
        <v>121</v>
      </c>
      <c r="N308" s="1290" t="s">
        <v>2316</v>
      </c>
      <c r="O308" s="1314"/>
      <c r="P308" s="1314"/>
      <c r="Q308" s="3136" t="s">
        <v>121</v>
      </c>
      <c r="R308" s="1290" t="s">
        <v>2315</v>
      </c>
      <c r="S308" s="1314"/>
      <c r="T308" s="1314"/>
      <c r="U308" s="1314"/>
      <c r="V308" s="1314"/>
      <c r="W308" s="1314"/>
      <c r="X308" s="1315"/>
      <c r="Y308" s="1295"/>
      <c r="Z308" s="1292"/>
      <c r="AA308" s="1292"/>
      <c r="AB308" s="1293"/>
      <c r="AC308" s="3203"/>
      <c r="AD308" s="3202"/>
      <c r="AE308" s="3202"/>
      <c r="AF308" s="3201"/>
      <c r="AG308" s="3056"/>
      <c r="AH308" s="3056"/>
      <c r="AI308" s="3056" t="str">
        <f>"26:"&amp;IF(AND(I308="□",M308="□",Q308="□",I309="□",Q309="□"),"koriha_rryoho1_code:0:koriha_sryoho_code:0:koriha_gengo_code:0:riha_seisin_code:0:koriha_other_code:0",IF(I308="■","koriha_rryoho1_code:2","koriha_rryoho1_code:1")
&amp;IF(M308="■",":koriha_sryoho_code:2",":koriha_sryoho_code:1")
&amp;IF(Q308="■",":koriha_gengo_code:2",":koriha_gengo_code:1")
&amp;IF(I309="■",":riha_seisin_code:2",":riha_seisin_code:1")
&amp;IF(Q309="■",":koriha_other_code:2",":koriha_other_code:1"))</f>
        <v>26:koriha_rryoho1_code:0:koriha_sryoho_code:0:koriha_gengo_code:0:riha_seisin_code:0:koriha_other_code:0</v>
      </c>
      <c r="AJ308" s="3056"/>
    </row>
    <row r="309" spans="1:36" ht="18.75" hidden="1" customHeight="1">
      <c r="A309" s="735"/>
      <c r="B309" s="1407"/>
      <c r="C309" s="1303"/>
      <c r="D309" s="1304"/>
      <c r="E309" s="1275"/>
      <c r="F309" s="1289"/>
      <c r="G309" s="1275"/>
      <c r="H309" s="1542"/>
      <c r="I309" s="3069" t="s">
        <v>121</v>
      </c>
      <c r="J309" s="1296" t="s">
        <v>2314</v>
      </c>
      <c r="K309" s="1330"/>
      <c r="L309" s="1330"/>
      <c r="M309" s="1330"/>
      <c r="N309" s="1330"/>
      <c r="O309" s="1330"/>
      <c r="P309" s="1330"/>
      <c r="Q309" s="3062" t="s">
        <v>121</v>
      </c>
      <c r="R309" s="1296" t="s">
        <v>2313</v>
      </c>
      <c r="S309" s="1403"/>
      <c r="T309" s="1330"/>
      <c r="U309" s="1330"/>
      <c r="V309" s="1330"/>
      <c r="W309" s="1330"/>
      <c r="X309" s="1356"/>
      <c r="Y309" s="1295"/>
      <c r="Z309" s="1292"/>
      <c r="AA309" s="1292"/>
      <c r="AB309" s="1293"/>
      <c r="AC309" s="3203"/>
      <c r="AD309" s="3202"/>
      <c r="AE309" s="3202"/>
      <c r="AF309" s="3201"/>
      <c r="AG309" s="3056"/>
      <c r="AH309" s="3056"/>
      <c r="AI309" s="3056"/>
      <c r="AJ309" s="3056"/>
    </row>
    <row r="310" spans="1:36" ht="18.75" hidden="1" customHeight="1">
      <c r="A310" s="735"/>
      <c r="B310" s="1407"/>
      <c r="C310" s="1303"/>
      <c r="D310" s="1304"/>
      <c r="E310" s="1275"/>
      <c r="F310" s="1289"/>
      <c r="G310" s="1275"/>
      <c r="H310" s="1409" t="s">
        <v>1266</v>
      </c>
      <c r="I310" s="3137" t="s">
        <v>121</v>
      </c>
      <c r="J310" s="1298" t="s">
        <v>1230</v>
      </c>
      <c r="K310" s="1298"/>
      <c r="L310" s="3065" t="s">
        <v>121</v>
      </c>
      <c r="M310" s="1298" t="s">
        <v>1267</v>
      </c>
      <c r="N310" s="1298"/>
      <c r="O310" s="3065" t="s">
        <v>121</v>
      </c>
      <c r="P310" s="1298" t="s">
        <v>1268</v>
      </c>
      <c r="Q310" s="1326"/>
      <c r="R310" s="3065" t="s">
        <v>121</v>
      </c>
      <c r="S310" s="1298" t="s">
        <v>1269</v>
      </c>
      <c r="T310" s="1326"/>
      <c r="U310" s="1326"/>
      <c r="V310" s="1326"/>
      <c r="W310" s="1326"/>
      <c r="X310" s="1327"/>
      <c r="Y310" s="1295"/>
      <c r="Z310" s="1292"/>
      <c r="AA310" s="1292"/>
      <c r="AB310" s="1293"/>
      <c r="AC310" s="3203"/>
      <c r="AD310" s="3202"/>
      <c r="AE310" s="3202"/>
      <c r="AF310" s="3201"/>
      <c r="AG310" s="3056"/>
      <c r="AH310" s="3056"/>
      <c r="AI310" s="3056" t="str">
        <f>"26:serteikyo_kyoka_code:" &amp; IF(I310="■",1,IF(L310="■",6,IF(O310="■",5,IF(R310="■",7,0))))</f>
        <v>26:serteikyo_kyoka_code:0</v>
      </c>
      <c r="AJ310" s="3056"/>
    </row>
    <row r="311" spans="1:36" ht="18.75" hidden="1" customHeight="1">
      <c r="A311" s="1304"/>
      <c r="B311" s="1407"/>
      <c r="C311" s="1303"/>
      <c r="D311" s="1304"/>
      <c r="E311" s="1275"/>
      <c r="F311" s="1289"/>
      <c r="G311" s="1275"/>
      <c r="H311" s="1539" t="s">
        <v>2390</v>
      </c>
      <c r="I311" s="3160" t="s">
        <v>121</v>
      </c>
      <c r="J311" s="3161" t="s">
        <v>1230</v>
      </c>
      <c r="K311" s="3161"/>
      <c r="L311" s="3160" t="s">
        <v>121</v>
      </c>
      <c r="M311" s="3161" t="s">
        <v>1248</v>
      </c>
      <c r="N311" s="3161"/>
      <c r="O311" s="1402"/>
      <c r="P311" s="1402"/>
      <c r="Q311" s="1402"/>
      <c r="R311" s="1402"/>
      <c r="S311" s="1402"/>
      <c r="T311" s="1402"/>
      <c r="U311" s="1402"/>
      <c r="V311" s="1402"/>
      <c r="W311" s="1402"/>
      <c r="X311" s="1291"/>
      <c r="Y311" s="1295"/>
      <c r="Z311" s="1292"/>
      <c r="AA311" s="1292"/>
      <c r="AB311" s="1293"/>
      <c r="AC311" s="3203"/>
      <c r="AD311" s="3202"/>
      <c r="AE311" s="3202"/>
      <c r="AF311" s="3201"/>
      <c r="AG311" s="3056"/>
      <c r="AH311" s="3056"/>
      <c r="AI311" s="3056" t="str">
        <f>"26:field221:" &amp; IF(I311="■",1,IF(L311="■",2,0))</f>
        <v>26:field221:0</v>
      </c>
      <c r="AJ311" s="3056"/>
    </row>
    <row r="312" spans="1:36" ht="18.75" hidden="1" customHeight="1">
      <c r="A312" s="735"/>
      <c r="B312" s="1407"/>
      <c r="C312" s="1303"/>
      <c r="D312" s="1304"/>
      <c r="E312" s="1275"/>
      <c r="F312" s="1289"/>
      <c r="G312" s="1275"/>
      <c r="H312" s="1540"/>
      <c r="I312" s="3160"/>
      <c r="J312" s="3161"/>
      <c r="K312" s="3161"/>
      <c r="L312" s="3160"/>
      <c r="M312" s="3161"/>
      <c r="N312" s="3161"/>
      <c r="O312" s="1403"/>
      <c r="P312" s="1403"/>
      <c r="Q312" s="1403"/>
      <c r="R312" s="1403"/>
      <c r="S312" s="1403"/>
      <c r="T312" s="1403"/>
      <c r="U312" s="1403"/>
      <c r="V312" s="1403"/>
      <c r="W312" s="1403"/>
      <c r="X312" s="1297"/>
      <c r="Y312" s="1295"/>
      <c r="Z312" s="1292"/>
      <c r="AA312" s="1292"/>
      <c r="AB312" s="1293"/>
      <c r="AC312" s="3203"/>
      <c r="AD312" s="3202"/>
      <c r="AE312" s="3202"/>
      <c r="AF312" s="3201"/>
    </row>
    <row r="313" spans="1:36" ht="18.75" hidden="1" customHeight="1">
      <c r="A313" s="736"/>
      <c r="B313" s="1316"/>
      <c r="C313" s="1346"/>
      <c r="D313" s="1348"/>
      <c r="E313" s="1317"/>
      <c r="F313" s="1318"/>
      <c r="G313" s="1361"/>
      <c r="H313" s="3134" t="s">
        <v>2288</v>
      </c>
      <c r="I313" s="3060" t="s">
        <v>121</v>
      </c>
      <c r="J313" s="3130" t="s">
        <v>1230</v>
      </c>
      <c r="K313" s="3130"/>
      <c r="L313" s="3059" t="s">
        <v>121</v>
      </c>
      <c r="M313" s="3130" t="s">
        <v>2287</v>
      </c>
      <c r="N313" s="3133"/>
      <c r="O313" s="3059" t="s">
        <v>121</v>
      </c>
      <c r="P313" s="3132" t="s">
        <v>2286</v>
      </c>
      <c r="Q313" s="3131"/>
      <c r="R313" s="3059" t="s">
        <v>121</v>
      </c>
      <c r="S313" s="3130" t="s">
        <v>2285</v>
      </c>
      <c r="T313" s="3131"/>
      <c r="U313" s="3059" t="s">
        <v>121</v>
      </c>
      <c r="V313" s="3130" t="s">
        <v>2284</v>
      </c>
      <c r="W313" s="3129"/>
      <c r="X313" s="3128"/>
      <c r="Y313" s="1323"/>
      <c r="Z313" s="1323"/>
      <c r="AA313" s="1323"/>
      <c r="AB313" s="1324"/>
      <c r="AC313" s="3200"/>
      <c r="AD313" s="3199"/>
      <c r="AE313" s="3199"/>
      <c r="AF313" s="3198"/>
      <c r="AG313" s="3056"/>
      <c r="AH313" s="3056"/>
      <c r="AI313" s="3056" t="str">
        <f>"26:shoguukaizen_code:"&amp;IF(I313="■",1,IF(L313="■",7,IF(O313="■",8,IF(R313="■",9,IF(U313="■","A",0)))))</f>
        <v>26:shoguukaizen_code:0</v>
      </c>
    </row>
    <row r="314" spans="1:36" ht="18.75" hidden="1" customHeight="1">
      <c r="A314" s="1276"/>
      <c r="B314" s="1405"/>
      <c r="C314" s="1333"/>
      <c r="D314" s="1335"/>
      <c r="E314" s="1351"/>
      <c r="F314" s="1335"/>
      <c r="G314" s="1272"/>
      <c r="H314" s="1545" t="s">
        <v>2399</v>
      </c>
      <c r="I314" s="3119" t="s">
        <v>121</v>
      </c>
      <c r="J314" s="1270" t="s">
        <v>1227</v>
      </c>
      <c r="K314" s="3139"/>
      <c r="L314" s="1337"/>
      <c r="M314" s="3138" t="s">
        <v>121</v>
      </c>
      <c r="N314" s="1270" t="s">
        <v>2306</v>
      </c>
      <c r="O314" s="1334"/>
      <c r="P314" s="1334"/>
      <c r="Q314" s="3138" t="s">
        <v>121</v>
      </c>
      <c r="R314" s="1270" t="s">
        <v>2305</v>
      </c>
      <c r="S314" s="1334"/>
      <c r="T314" s="1334"/>
      <c r="U314" s="3138" t="s">
        <v>121</v>
      </c>
      <c r="V314" s="1270" t="s">
        <v>2304</v>
      </c>
      <c r="W314" s="1334"/>
      <c r="X314" s="1336"/>
      <c r="Y314" s="3119" t="s">
        <v>121</v>
      </c>
      <c r="Z314" s="1270" t="s">
        <v>1229</v>
      </c>
      <c r="AA314" s="1270"/>
      <c r="AB314" s="1286"/>
      <c r="AC314" s="1530"/>
      <c r="AD314" s="1531"/>
      <c r="AE314" s="1531"/>
      <c r="AF314" s="1532"/>
      <c r="AG314" s="3056" t="str">
        <f>"ser_code = '" &amp; IF(A325="■","2B","") &amp; "'"</f>
        <v>ser_code = ''</v>
      </c>
      <c r="AH314" s="3056" t="str">
        <f>"2B:jininkbn_code:"&amp;IF(F324="■",1,IF(F325="■",2,IF(F326="■",3,0)))</f>
        <v>2B:jininkbn_code:0</v>
      </c>
      <c r="AI314" s="3056" t="str">
        <f>"2B:yakan_kinmu_code:" &amp; IF(I314="■",1,IF(M314="■",2,IF(Q314="■",3,IF(U314="■",7,IF(I315="■",5,IF(M315="■",6,0))))))</f>
        <v>2B:yakan_kinmu_code:0</v>
      </c>
      <c r="AJ314" s="3056" t="str">
        <f>"2B:field203:" &amp; IF(Y314="■",1,IF(Y315="■",2,0))</f>
        <v>2B:field203:0</v>
      </c>
    </row>
    <row r="315" spans="1:36" ht="18.75" hidden="1" customHeight="1">
      <c r="A315" s="735"/>
      <c r="B315" s="1407"/>
      <c r="C315" s="1303"/>
      <c r="D315" s="1304"/>
      <c r="E315" s="1305"/>
      <c r="F315" s="1304"/>
      <c r="G315" s="1275"/>
      <c r="H315" s="1542"/>
      <c r="I315" s="3069" t="s">
        <v>121</v>
      </c>
      <c r="J315" s="1296" t="s">
        <v>2303</v>
      </c>
      <c r="K315" s="1309"/>
      <c r="L315" s="1355"/>
      <c r="M315" s="3062" t="s">
        <v>121</v>
      </c>
      <c r="N315" s="1296" t="s">
        <v>1228</v>
      </c>
      <c r="O315" s="1403"/>
      <c r="P315" s="1403"/>
      <c r="Q315" s="1403"/>
      <c r="R315" s="1403"/>
      <c r="S315" s="1403"/>
      <c r="T315" s="1403"/>
      <c r="U315" s="1403"/>
      <c r="V315" s="1403"/>
      <c r="W315" s="1403"/>
      <c r="X315" s="1297"/>
      <c r="Y315" s="3122" t="s">
        <v>121</v>
      </c>
      <c r="Z315" s="1273" t="s">
        <v>1234</v>
      </c>
      <c r="AA315" s="1292"/>
      <c r="AB315" s="1293"/>
      <c r="AC315" s="1533"/>
      <c r="AD315" s="1534"/>
      <c r="AE315" s="1534"/>
      <c r="AF315" s="1535"/>
      <c r="AG315" s="3056" t="str">
        <f>"2B:sisetukbn_code:"&amp;IF(D325="■","1",0)</f>
        <v>2B:sisetukbn_code:0</v>
      </c>
      <c r="AH315" s="3056"/>
      <c r="AI315" s="3056"/>
      <c r="AJ315" s="3056"/>
    </row>
    <row r="316" spans="1:36" ht="18.75" hidden="1" customHeight="1">
      <c r="A316" s="735"/>
      <c r="B316" s="1407"/>
      <c r="C316" s="1303"/>
      <c r="D316" s="1304"/>
      <c r="E316" s="1305"/>
      <c r="F316" s="1304"/>
      <c r="G316" s="1275"/>
      <c r="H316" s="1541" t="s">
        <v>90</v>
      </c>
      <c r="I316" s="3137" t="s">
        <v>121</v>
      </c>
      <c r="J316" s="1290" t="s">
        <v>1230</v>
      </c>
      <c r="K316" s="1290"/>
      <c r="L316" s="1329"/>
      <c r="M316" s="3136" t="s">
        <v>121</v>
      </c>
      <c r="N316" s="1290" t="s">
        <v>1231</v>
      </c>
      <c r="O316" s="1290"/>
      <c r="P316" s="1329"/>
      <c r="Q316" s="3136" t="s">
        <v>121</v>
      </c>
      <c r="R316" s="1402" t="s">
        <v>2302</v>
      </c>
      <c r="S316" s="1402"/>
      <c r="T316" s="1402"/>
      <c r="U316" s="1314"/>
      <c r="V316" s="1329"/>
      <c r="W316" s="1402"/>
      <c r="X316" s="1315"/>
      <c r="Y316" s="1295"/>
      <c r="Z316" s="1292"/>
      <c r="AA316" s="1292"/>
      <c r="AB316" s="1293"/>
      <c r="AC316" s="1533"/>
      <c r="AD316" s="1534"/>
      <c r="AE316" s="1534"/>
      <c r="AF316" s="1535"/>
      <c r="AG316" s="3056"/>
      <c r="AH316" s="3056"/>
      <c r="AI316" s="3056" t="str">
        <f>"2B:"&amp;IF(AND(I316="□",M316="□",Q316="□",I317="□",M317="□"),"ketu_doctor_code:0",IF(I316="■","ketu_doctor_code:1:field197:1:ketu_kangos_code:1:ketu_kshoku_code:1",IF(M316="■","ketu_doctor_code:2","ketu_doctor_code:1")
&amp;IF(Q316="■",":field197:2",":field197:1")
&amp;IF(I317="■",":ketu_kangos_code:2",":ketu_kangos_code:1")
&amp;IF(M317="■",":ketu_kshoku_code:2",":ketu_kshoku_code:1")))</f>
        <v>2B:ketu_doctor_code:0</v>
      </c>
      <c r="AJ316" s="3056"/>
    </row>
    <row r="317" spans="1:36" ht="18.75" hidden="1" customHeight="1">
      <c r="A317" s="735"/>
      <c r="B317" s="1407"/>
      <c r="C317" s="1303"/>
      <c r="D317" s="1304"/>
      <c r="E317" s="1305"/>
      <c r="F317" s="1304"/>
      <c r="G317" s="1275"/>
      <c r="H317" s="1542"/>
      <c r="I317" s="3069" t="s">
        <v>121</v>
      </c>
      <c r="J317" s="1403" t="s">
        <v>2301</v>
      </c>
      <c r="K317" s="1403"/>
      <c r="L317" s="1403"/>
      <c r="M317" s="3062" t="s">
        <v>121</v>
      </c>
      <c r="N317" s="1403" t="s">
        <v>2300</v>
      </c>
      <c r="O317" s="1355"/>
      <c r="P317" s="1403"/>
      <c r="Q317" s="1403"/>
      <c r="R317" s="1355"/>
      <c r="S317" s="1403"/>
      <c r="T317" s="1403"/>
      <c r="U317" s="1330"/>
      <c r="V317" s="1355"/>
      <c r="W317" s="1403"/>
      <c r="X317" s="1356"/>
      <c r="Y317" s="1295"/>
      <c r="Z317" s="1292"/>
      <c r="AA317" s="1292"/>
      <c r="AB317" s="1293"/>
      <c r="AC317" s="1533"/>
      <c r="AD317" s="1534"/>
      <c r="AE317" s="1534"/>
      <c r="AF317" s="1535"/>
    </row>
    <row r="318" spans="1:36" s="3056" customFormat="1" ht="18.75" hidden="1" customHeight="1">
      <c r="A318" s="735"/>
      <c r="B318" s="1407"/>
      <c r="C318" s="1287"/>
      <c r="D318" s="1288"/>
      <c r="E318" s="1275"/>
      <c r="F318" s="1289"/>
      <c r="G318" s="1305"/>
      <c r="H318" s="3193" t="s">
        <v>1241</v>
      </c>
      <c r="I318" s="3096" t="s">
        <v>121</v>
      </c>
      <c r="J318" s="3091" t="s">
        <v>1242</v>
      </c>
      <c r="K318" s="3095"/>
      <c r="L318" s="3094"/>
      <c r="M318" s="3093" t="s">
        <v>121</v>
      </c>
      <c r="N318" s="3091" t="s">
        <v>1243</v>
      </c>
      <c r="O318" s="3095"/>
      <c r="P318" s="3192"/>
      <c r="Q318" s="3192"/>
      <c r="R318" s="3192"/>
      <c r="S318" s="3192"/>
      <c r="T318" s="3192"/>
      <c r="U318" s="3192"/>
      <c r="V318" s="3192"/>
      <c r="W318" s="3192"/>
      <c r="X318" s="3191"/>
      <c r="Y318" s="1295"/>
      <c r="Z318" s="1292"/>
      <c r="AA318" s="1292"/>
      <c r="AB318" s="1293"/>
      <c r="AC318" s="1533"/>
      <c r="AD318" s="1534"/>
      <c r="AE318" s="1534"/>
      <c r="AF318" s="1535"/>
      <c r="AI318" s="3056" t="str">
        <f>"2B:sintaikousoku_code:" &amp; IF(I318="■",1,IF(M318="■",2,0))</f>
        <v>2B:sintaikousoku_code:0</v>
      </c>
    </row>
    <row r="319" spans="1:36" ht="19.5" hidden="1" customHeight="1">
      <c r="A319" s="735"/>
      <c r="B319" s="1407"/>
      <c r="C319" s="1303"/>
      <c r="D319" s="1304"/>
      <c r="E319" s="1275"/>
      <c r="F319" s="1289"/>
      <c r="G319" s="1305"/>
      <c r="H319" s="1306" t="s">
        <v>1244</v>
      </c>
      <c r="I319" s="3137" t="s">
        <v>121</v>
      </c>
      <c r="J319" s="1298" t="s">
        <v>1242</v>
      </c>
      <c r="K319" s="1299"/>
      <c r="L319" s="1300"/>
      <c r="M319" s="3065" t="s">
        <v>121</v>
      </c>
      <c r="N319" s="1298" t="s">
        <v>1245</v>
      </c>
      <c r="O319" s="1298"/>
      <c r="P319" s="1298"/>
      <c r="Q319" s="1307"/>
      <c r="R319" s="1307"/>
      <c r="S319" s="1307"/>
      <c r="T319" s="1307"/>
      <c r="U319" s="1307"/>
      <c r="V319" s="1307"/>
      <c r="W319" s="1307"/>
      <c r="X319" s="1308"/>
      <c r="Y319" s="1292"/>
      <c r="Z319" s="1292"/>
      <c r="AA319" s="1292"/>
      <c r="AB319" s="1293"/>
      <c r="AC319" s="1533"/>
      <c r="AD319" s="1534"/>
      <c r="AE319" s="1534"/>
      <c r="AF319" s="1535"/>
      <c r="AI319" s="3056" t="str">
        <f>"2B:field223:" &amp; IF(I319="■",1,IF(M319="■",2,0))</f>
        <v>2B:field223:0</v>
      </c>
    </row>
    <row r="320" spans="1:36" ht="19.5" hidden="1" customHeight="1">
      <c r="A320" s="735"/>
      <c r="B320" s="1407"/>
      <c r="C320" s="1303"/>
      <c r="D320" s="1304"/>
      <c r="E320" s="1275"/>
      <c r="F320" s="1289"/>
      <c r="G320" s="1305"/>
      <c r="H320" s="1306" t="s">
        <v>1246</v>
      </c>
      <c r="I320" s="3137" t="s">
        <v>121</v>
      </c>
      <c r="J320" s="1298" t="s">
        <v>1242</v>
      </c>
      <c r="K320" s="1299"/>
      <c r="L320" s="1300"/>
      <c r="M320" s="3065" t="s">
        <v>121</v>
      </c>
      <c r="N320" s="1298" t="s">
        <v>1245</v>
      </c>
      <c r="O320" s="1298"/>
      <c r="P320" s="1298"/>
      <c r="Q320" s="1307"/>
      <c r="R320" s="1307"/>
      <c r="S320" s="1307"/>
      <c r="T320" s="1307"/>
      <c r="U320" s="1307"/>
      <c r="V320" s="1307"/>
      <c r="W320" s="1307"/>
      <c r="X320" s="1308"/>
      <c r="Y320" s="1292"/>
      <c r="Z320" s="1292"/>
      <c r="AA320" s="1292"/>
      <c r="AB320" s="1293"/>
      <c r="AC320" s="1533"/>
      <c r="AD320" s="1534"/>
      <c r="AE320" s="1534"/>
      <c r="AF320" s="1535"/>
      <c r="AI320" s="3056" t="str">
        <f>"2B:field232:" &amp; IF(I320="■",1,IF(M320="■",2,0))</f>
        <v>2B:field232:0</v>
      </c>
    </row>
    <row r="321" spans="1:35" ht="18.75" hidden="1" customHeight="1">
      <c r="A321" s="735"/>
      <c r="B321" s="1407"/>
      <c r="C321" s="1303"/>
      <c r="D321" s="1304"/>
      <c r="E321" s="1305"/>
      <c r="F321" s="1304"/>
      <c r="G321" s="1275"/>
      <c r="H321" s="1409" t="s">
        <v>2295</v>
      </c>
      <c r="I321" s="3137" t="s">
        <v>121</v>
      </c>
      <c r="J321" s="1298" t="s">
        <v>1227</v>
      </c>
      <c r="K321" s="1299"/>
      <c r="L321" s="1300"/>
      <c r="M321" s="3065" t="s">
        <v>121</v>
      </c>
      <c r="N321" s="1298" t="s">
        <v>2291</v>
      </c>
      <c r="O321" s="1307"/>
      <c r="P321" s="1307"/>
      <c r="Q321" s="1307"/>
      <c r="R321" s="1307"/>
      <c r="S321" s="1307"/>
      <c r="T321" s="1307"/>
      <c r="U321" s="1307"/>
      <c r="V321" s="1307"/>
      <c r="W321" s="1307"/>
      <c r="X321" s="1308"/>
      <c r="Y321" s="1295"/>
      <c r="Z321" s="1292"/>
      <c r="AA321" s="1292"/>
      <c r="AB321" s="1293"/>
      <c r="AC321" s="1533"/>
      <c r="AD321" s="1534"/>
      <c r="AE321" s="1534"/>
      <c r="AF321" s="1535"/>
      <c r="AI321" s="3056" t="str">
        <f>"2B:field190:" &amp; IF(I321="■",1,IF(M321="■",2,0))</f>
        <v>2B:field190:0</v>
      </c>
    </row>
    <row r="322" spans="1:35" ht="18.75" hidden="1" customHeight="1">
      <c r="A322" s="735"/>
      <c r="B322" s="1407"/>
      <c r="C322" s="1303"/>
      <c r="D322" s="1304"/>
      <c r="E322" s="1305"/>
      <c r="F322" s="1304"/>
      <c r="G322" s="1275"/>
      <c r="H322" s="1409" t="s">
        <v>2293</v>
      </c>
      <c r="I322" s="3137" t="s">
        <v>121</v>
      </c>
      <c r="J322" s="1298" t="s">
        <v>1227</v>
      </c>
      <c r="K322" s="1299"/>
      <c r="L322" s="1300"/>
      <c r="M322" s="3065" t="s">
        <v>121</v>
      </c>
      <c r="N322" s="1298" t="s">
        <v>2291</v>
      </c>
      <c r="O322" s="1307"/>
      <c r="P322" s="1307"/>
      <c r="Q322" s="1307"/>
      <c r="R322" s="1307"/>
      <c r="S322" s="1307"/>
      <c r="T322" s="1307"/>
      <c r="U322" s="1307"/>
      <c r="V322" s="1307"/>
      <c r="W322" s="1307"/>
      <c r="X322" s="1308"/>
      <c r="Y322" s="1295"/>
      <c r="Z322" s="1292"/>
      <c r="AA322" s="1292"/>
      <c r="AB322" s="1293"/>
      <c r="AC322" s="1533"/>
      <c r="AD322" s="1534"/>
      <c r="AE322" s="1534"/>
      <c r="AF322" s="1535"/>
      <c r="AI322" s="3056" t="str">
        <f>"2B:field191:" &amp; IF(I322="■",1,IF(M322="■",2,0))</f>
        <v>2B:field191:0</v>
      </c>
    </row>
    <row r="323" spans="1:35" ht="18.75" hidden="1" customHeight="1">
      <c r="A323" s="735"/>
      <c r="B323" s="1407"/>
      <c r="C323" s="1303"/>
      <c r="D323" s="1304"/>
      <c r="E323" s="1305"/>
      <c r="F323" s="1304"/>
      <c r="G323" s="1275"/>
      <c r="H323" s="1409" t="s">
        <v>1318</v>
      </c>
      <c r="I323" s="3137" t="s">
        <v>121</v>
      </c>
      <c r="J323" s="1298" t="s">
        <v>1230</v>
      </c>
      <c r="K323" s="1299"/>
      <c r="L323" s="3065" t="s">
        <v>121</v>
      </c>
      <c r="M323" s="1298" t="s">
        <v>1248</v>
      </c>
      <c r="N323" s="1307"/>
      <c r="O323" s="1307"/>
      <c r="P323" s="1307"/>
      <c r="Q323" s="1299"/>
      <c r="R323" s="1307"/>
      <c r="S323" s="1307"/>
      <c r="T323" s="1307"/>
      <c r="U323" s="1307"/>
      <c r="V323" s="1307"/>
      <c r="W323" s="1307"/>
      <c r="X323" s="1308"/>
      <c r="Y323" s="1295"/>
      <c r="Z323" s="1292"/>
      <c r="AA323" s="1292"/>
      <c r="AB323" s="1293"/>
      <c r="AC323" s="1533"/>
      <c r="AD323" s="1534"/>
      <c r="AE323" s="1534"/>
      <c r="AF323" s="1535"/>
      <c r="AI323" s="3056" t="str">
        <f>"2B:jyakuninti_uke_code:" &amp; IF(I323="■",1,IF(L323="■",2,0))</f>
        <v>2B:jyakuninti_uke_code:0</v>
      </c>
    </row>
    <row r="324" spans="1:35" ht="18.75" hidden="1" customHeight="1">
      <c r="A324" s="735"/>
      <c r="B324" s="1407"/>
      <c r="C324" s="1303"/>
      <c r="D324" s="1304"/>
      <c r="E324" s="1305"/>
      <c r="F324" s="3069" t="s">
        <v>121</v>
      </c>
      <c r="G324" s="1275" t="s">
        <v>2501</v>
      </c>
      <c r="H324" s="1409" t="s">
        <v>1324</v>
      </c>
      <c r="I324" s="3137" t="s">
        <v>121</v>
      </c>
      <c r="J324" s="1298" t="s">
        <v>1239</v>
      </c>
      <c r="K324" s="1299"/>
      <c r="L324" s="1300"/>
      <c r="M324" s="3065" t="s">
        <v>121</v>
      </c>
      <c r="N324" s="1298" t="s">
        <v>1240</v>
      </c>
      <c r="O324" s="1307"/>
      <c r="P324" s="1307"/>
      <c r="Q324" s="1299"/>
      <c r="R324" s="1307"/>
      <c r="S324" s="1307"/>
      <c r="T324" s="1307"/>
      <c r="U324" s="1307"/>
      <c r="V324" s="1307"/>
      <c r="W324" s="1307"/>
      <c r="X324" s="1308"/>
      <c r="Y324" s="1295"/>
      <c r="Z324" s="1292"/>
      <c r="AA324" s="1292"/>
      <c r="AB324" s="1293"/>
      <c r="AC324" s="1533"/>
      <c r="AD324" s="1534"/>
      <c r="AE324" s="1534"/>
      <c r="AF324" s="1535"/>
      <c r="AI324" s="3056" t="str">
        <f>"2B:sougei_code:" &amp; IF(I324="■",1,IF(M324="■",2,0))</f>
        <v>2B:sougei_code:0</v>
      </c>
    </row>
    <row r="325" spans="1:35" ht="19.5" hidden="1" customHeight="1">
      <c r="A325" s="3069" t="s">
        <v>121</v>
      </c>
      <c r="B325" s="1407" t="s">
        <v>2494</v>
      </c>
      <c r="C325" s="1303" t="s">
        <v>542</v>
      </c>
      <c r="D325" s="3069" t="s">
        <v>121</v>
      </c>
      <c r="E325" s="1305" t="s">
        <v>2500</v>
      </c>
      <c r="F325" s="3069" t="s">
        <v>121</v>
      </c>
      <c r="G325" s="1275" t="s">
        <v>2322</v>
      </c>
      <c r="H325" s="1306" t="s">
        <v>1325</v>
      </c>
      <c r="I325" s="3137" t="s">
        <v>121</v>
      </c>
      <c r="J325" s="1298" t="s">
        <v>1230</v>
      </c>
      <c r="K325" s="1298"/>
      <c r="L325" s="3065" t="s">
        <v>121</v>
      </c>
      <c r="M325" s="1298" t="s">
        <v>1248</v>
      </c>
      <c r="N325" s="1298"/>
      <c r="O325" s="1307"/>
      <c r="P325" s="1298"/>
      <c r="Q325" s="1307"/>
      <c r="R325" s="1307"/>
      <c r="S325" s="1307"/>
      <c r="T325" s="1307"/>
      <c r="U325" s="1307"/>
      <c r="V325" s="1307"/>
      <c r="W325" s="1307"/>
      <c r="X325" s="1308"/>
      <c r="Y325" s="1292"/>
      <c r="Z325" s="1292"/>
      <c r="AA325" s="1292"/>
      <c r="AB325" s="1293"/>
      <c r="AC325" s="1533"/>
      <c r="AD325" s="1534"/>
      <c r="AE325" s="1534"/>
      <c r="AF325" s="1535"/>
      <c r="AI325" s="3056" t="str">
        <f>"2B:field224:" &amp; IF(I325="■",1,IF(L325="■",2,0))</f>
        <v>2B:field224:0</v>
      </c>
    </row>
    <row r="326" spans="1:35" ht="18.75" hidden="1" customHeight="1">
      <c r="A326" s="735"/>
      <c r="B326" s="1407"/>
      <c r="C326" s="1303"/>
      <c r="D326" s="1304"/>
      <c r="E326" s="1305"/>
      <c r="F326" s="3069" t="s">
        <v>121</v>
      </c>
      <c r="G326" s="1275" t="s">
        <v>2397</v>
      </c>
      <c r="H326" s="1409" t="s">
        <v>145</v>
      </c>
      <c r="I326" s="3137" t="s">
        <v>121</v>
      </c>
      <c r="J326" s="1298" t="s">
        <v>1230</v>
      </c>
      <c r="K326" s="1299"/>
      <c r="L326" s="3065" t="s">
        <v>121</v>
      </c>
      <c r="M326" s="1298" t="s">
        <v>1248</v>
      </c>
      <c r="N326" s="1307"/>
      <c r="O326" s="1307"/>
      <c r="P326" s="1307"/>
      <c r="Q326" s="1299"/>
      <c r="R326" s="1307"/>
      <c r="S326" s="1307"/>
      <c r="T326" s="1307"/>
      <c r="U326" s="1307"/>
      <c r="V326" s="1307"/>
      <c r="W326" s="1307"/>
      <c r="X326" s="1308"/>
      <c r="Y326" s="1295"/>
      <c r="Z326" s="1292"/>
      <c r="AA326" s="1292"/>
      <c r="AB326" s="1293"/>
      <c r="AC326" s="1533"/>
      <c r="AD326" s="1534"/>
      <c r="AE326" s="1534"/>
      <c r="AF326" s="1535"/>
      <c r="AI326" s="3056" t="str">
        <f>"2B:ryouyoushoku_code:" &amp; IF(I326="■",1,IF(L326="■",2,0))</f>
        <v>2B:ryouyoushoku_code:0</v>
      </c>
    </row>
    <row r="327" spans="1:35" ht="18.75" hidden="1" customHeight="1">
      <c r="A327" s="735"/>
      <c r="B327" s="1407"/>
      <c r="C327" s="1303"/>
      <c r="D327" s="1304"/>
      <c r="E327" s="1305"/>
      <c r="F327" s="1304"/>
      <c r="G327" s="1275"/>
      <c r="H327" s="1409" t="s">
        <v>1260</v>
      </c>
      <c r="I327" s="3137" t="s">
        <v>121</v>
      </c>
      <c r="J327" s="1298" t="s">
        <v>1230</v>
      </c>
      <c r="K327" s="1298"/>
      <c r="L327" s="3065" t="s">
        <v>121</v>
      </c>
      <c r="M327" s="1298" t="s">
        <v>1256</v>
      </c>
      <c r="N327" s="1298"/>
      <c r="O327" s="3065" t="s">
        <v>121</v>
      </c>
      <c r="P327" s="1298" t="s">
        <v>1257</v>
      </c>
      <c r="Q327" s="1307"/>
      <c r="R327" s="1307"/>
      <c r="S327" s="1307"/>
      <c r="T327" s="1307"/>
      <c r="U327" s="1307"/>
      <c r="V327" s="1307"/>
      <c r="W327" s="1307"/>
      <c r="X327" s="1308"/>
      <c r="Y327" s="1295"/>
      <c r="Z327" s="1292"/>
      <c r="AA327" s="1292"/>
      <c r="AB327" s="1293"/>
      <c r="AC327" s="1533"/>
      <c r="AD327" s="1534"/>
      <c r="AE327" s="1534"/>
      <c r="AF327" s="1535"/>
      <c r="AI327" s="3056" t="str">
        <f>"2B:ninti_senmoncare_code:" &amp; IF(I327="■",1,IF(O327="■",3,IF(L327="■",2,0)))</f>
        <v>2B:ninti_senmoncare_code:0</v>
      </c>
    </row>
    <row r="328" spans="1:35" ht="18.75" hidden="1" customHeight="1">
      <c r="A328" s="735"/>
      <c r="B328" s="1407"/>
      <c r="C328" s="1303"/>
      <c r="D328" s="1304"/>
      <c r="E328" s="1305"/>
      <c r="F328" s="1304"/>
      <c r="G328" s="1275"/>
      <c r="H328" s="1541" t="s">
        <v>2393</v>
      </c>
      <c r="I328" s="3137" t="s">
        <v>121</v>
      </c>
      <c r="J328" s="1290" t="s">
        <v>1273</v>
      </c>
      <c r="K328" s="1290"/>
      <c r="L328" s="1314"/>
      <c r="M328" s="1314"/>
      <c r="N328" s="1314"/>
      <c r="O328" s="1314"/>
      <c r="P328" s="3136" t="s">
        <v>121</v>
      </c>
      <c r="Q328" s="1290" t="s">
        <v>1274</v>
      </c>
      <c r="R328" s="1314"/>
      <c r="S328" s="1314"/>
      <c r="T328" s="1314"/>
      <c r="U328" s="1314"/>
      <c r="V328" s="1314"/>
      <c r="W328" s="1314"/>
      <c r="X328" s="1315"/>
      <c r="Y328" s="1295"/>
      <c r="Z328" s="1292"/>
      <c r="AA328" s="1292"/>
      <c r="AB328" s="1293"/>
      <c r="AC328" s="1533"/>
      <c r="AD328" s="1534"/>
      <c r="AE328" s="1534"/>
      <c r="AF328" s="1535"/>
      <c r="AI328" s="3056" t="str">
        <f>"2B:" &amp; IF(AND(I328="□",P328="□",I329="□"),"tokusin_jyusho_code:0:tokusin_yakuzai_code:0:shuudan_comu_code:0",IF(I328="■","tokusin_jyusho_code:2","tokusin_jyusho_code:1")
&amp;IF(P328="■",":tokusin_yakuzai_code:2",":tokusin_yakuzai_code:1")
&amp;IF(I329="■",":shuudan_comu_code:2",":shuudan_comu_code:1"))</f>
        <v>2B:tokusin_jyusho_code:0:tokusin_yakuzai_code:0:shuudan_comu_code:0</v>
      </c>
    </row>
    <row r="329" spans="1:35" ht="18.75" hidden="1" customHeight="1">
      <c r="A329" s="735"/>
      <c r="B329" s="1407"/>
      <c r="C329" s="1303"/>
      <c r="D329" s="1304"/>
      <c r="E329" s="1305"/>
      <c r="F329" s="1304"/>
      <c r="G329" s="1275"/>
      <c r="H329" s="1542"/>
      <c r="I329" s="3069" t="s">
        <v>121</v>
      </c>
      <c r="J329" s="1296" t="s">
        <v>2318</v>
      </c>
      <c r="K329" s="1330"/>
      <c r="L329" s="1330"/>
      <c r="M329" s="1330"/>
      <c r="N329" s="1330"/>
      <c r="O329" s="1330"/>
      <c r="P329" s="1330"/>
      <c r="Q329" s="1403"/>
      <c r="R329" s="1330"/>
      <c r="S329" s="1330"/>
      <c r="T329" s="1330"/>
      <c r="U329" s="1330"/>
      <c r="V329" s="1330"/>
      <c r="W329" s="1330"/>
      <c r="X329" s="1356"/>
      <c r="Y329" s="1295"/>
      <c r="Z329" s="1292"/>
      <c r="AA329" s="1292"/>
      <c r="AB329" s="1293"/>
      <c r="AC329" s="1533"/>
      <c r="AD329" s="1534"/>
      <c r="AE329" s="1534"/>
      <c r="AF329" s="1535"/>
      <c r="AI329" s="3056"/>
    </row>
    <row r="330" spans="1:35" ht="18.75" hidden="1" customHeight="1">
      <c r="A330" s="735"/>
      <c r="B330" s="1407"/>
      <c r="C330" s="1303"/>
      <c r="D330" s="1304"/>
      <c r="E330" s="1305"/>
      <c r="F330" s="1304"/>
      <c r="G330" s="1275"/>
      <c r="H330" s="1541" t="s">
        <v>1280</v>
      </c>
      <c r="I330" s="3137" t="s">
        <v>121</v>
      </c>
      <c r="J330" s="1290" t="s">
        <v>2317</v>
      </c>
      <c r="K330" s="1328"/>
      <c r="L330" s="1329"/>
      <c r="M330" s="3136" t="s">
        <v>121</v>
      </c>
      <c r="N330" s="1290" t="s">
        <v>2316</v>
      </c>
      <c r="O330" s="1314"/>
      <c r="P330" s="1314"/>
      <c r="Q330" s="3136" t="s">
        <v>121</v>
      </c>
      <c r="R330" s="1290" t="s">
        <v>2315</v>
      </c>
      <c r="S330" s="1314"/>
      <c r="T330" s="1314"/>
      <c r="U330" s="1314"/>
      <c r="V330" s="1314"/>
      <c r="W330" s="1314"/>
      <c r="X330" s="1315"/>
      <c r="Y330" s="1295"/>
      <c r="Z330" s="1292"/>
      <c r="AA330" s="1292"/>
      <c r="AB330" s="1293"/>
      <c r="AC330" s="1533"/>
      <c r="AD330" s="1534"/>
      <c r="AE330" s="1534"/>
      <c r="AF330" s="1535"/>
      <c r="AI330" s="3056" t="str">
        <f>"2B:"&amp;IF(AND(I330="□",M330="□",Q330="□",I331="□",Q331="□"),"koriha_rryoho1_code:0:koriha_sryoho_code:0:koriha_gengo_code:0:riha_seisin_code:0:koriha_other_code:0",IF(I330="■","koriha_rryoho1_code:2","koriha_rryoho1_code:1")
&amp;IF(M330="■",":koriha_sryoho_code:2",":koriha_sryoho_code:1")
&amp;IF(Q330="■",":koriha_gengo_code:2",":koriha_gengo_code:1")
&amp;IF(I331="■",":riha_seisin_code:2",":riha_seisin_code:1")
&amp;IF(Q331="■",":koriha_other_code:2",":koriha_other_code:1"))</f>
        <v>2B:koriha_rryoho1_code:0:koriha_sryoho_code:0:koriha_gengo_code:0:riha_seisin_code:0:koriha_other_code:0</v>
      </c>
    </row>
    <row r="331" spans="1:35" ht="18.75" hidden="1" customHeight="1">
      <c r="A331" s="735"/>
      <c r="B331" s="1407"/>
      <c r="C331" s="1303"/>
      <c r="D331" s="1304"/>
      <c r="E331" s="1305"/>
      <c r="F331" s="1304"/>
      <c r="G331" s="1275"/>
      <c r="H331" s="1542"/>
      <c r="I331" s="3069" t="s">
        <v>121</v>
      </c>
      <c r="J331" s="1296" t="s">
        <v>2314</v>
      </c>
      <c r="K331" s="1330"/>
      <c r="L331" s="1330"/>
      <c r="M331" s="1330"/>
      <c r="N331" s="1330"/>
      <c r="O331" s="1330"/>
      <c r="P331" s="1330"/>
      <c r="Q331" s="3062" t="s">
        <v>121</v>
      </c>
      <c r="R331" s="1296" t="s">
        <v>2313</v>
      </c>
      <c r="S331" s="1403"/>
      <c r="T331" s="1330"/>
      <c r="U331" s="1330"/>
      <c r="V331" s="1330"/>
      <c r="W331" s="1330"/>
      <c r="X331" s="1356"/>
      <c r="Y331" s="1295"/>
      <c r="Z331" s="1292"/>
      <c r="AA331" s="1292"/>
      <c r="AB331" s="1293"/>
      <c r="AC331" s="1533"/>
      <c r="AD331" s="1534"/>
      <c r="AE331" s="1534"/>
      <c r="AF331" s="1535"/>
      <c r="AI331" s="3056"/>
    </row>
    <row r="332" spans="1:35" ht="18.75" hidden="1" customHeight="1">
      <c r="A332" s="735"/>
      <c r="B332" s="1407"/>
      <c r="C332" s="1303"/>
      <c r="D332" s="1304"/>
      <c r="E332" s="1305"/>
      <c r="F332" s="1304"/>
      <c r="G332" s="1275"/>
      <c r="H332" s="1313" t="s">
        <v>1265</v>
      </c>
      <c r="I332" s="3137" t="s">
        <v>121</v>
      </c>
      <c r="J332" s="1298" t="s">
        <v>1230</v>
      </c>
      <c r="K332" s="1298"/>
      <c r="L332" s="3065" t="s">
        <v>121</v>
      </c>
      <c r="M332" s="1298" t="s">
        <v>1256</v>
      </c>
      <c r="N332" s="1298"/>
      <c r="O332" s="3065" t="s">
        <v>121</v>
      </c>
      <c r="P332" s="1298" t="s">
        <v>1257</v>
      </c>
      <c r="Q332" s="1307"/>
      <c r="R332" s="1307"/>
      <c r="S332" s="1307"/>
      <c r="T332" s="1307"/>
      <c r="U332" s="1314"/>
      <c r="V332" s="1314"/>
      <c r="W332" s="1314"/>
      <c r="X332" s="1315"/>
      <c r="Y332" s="1295"/>
      <c r="Z332" s="1292"/>
      <c r="AA332" s="1292"/>
      <c r="AB332" s="1293"/>
      <c r="AC332" s="1533"/>
      <c r="AD332" s="1534"/>
      <c r="AE332" s="1534"/>
      <c r="AF332" s="1535"/>
      <c r="AI332" s="3056" t="str">
        <f>"2B:field225:" &amp; IF(I332="■",1,IF(L332="■",2,IF(O332="■",3,0)))</f>
        <v>2B:field225:0</v>
      </c>
    </row>
    <row r="333" spans="1:35" ht="18.75" hidden="1" customHeight="1">
      <c r="A333" s="735"/>
      <c r="B333" s="1407"/>
      <c r="C333" s="1303"/>
      <c r="D333" s="1304"/>
      <c r="E333" s="1305"/>
      <c r="F333" s="1304"/>
      <c r="G333" s="1275"/>
      <c r="H333" s="1409" t="s">
        <v>1266</v>
      </c>
      <c r="I333" s="3137" t="s">
        <v>121</v>
      </c>
      <c r="J333" s="1298" t="s">
        <v>1230</v>
      </c>
      <c r="K333" s="1298"/>
      <c r="L333" s="3065" t="s">
        <v>121</v>
      </c>
      <c r="M333" s="1298" t="s">
        <v>1267</v>
      </c>
      <c r="N333" s="1298"/>
      <c r="O333" s="3065" t="s">
        <v>121</v>
      </c>
      <c r="P333" s="1298" t="s">
        <v>1268</v>
      </c>
      <c r="Q333" s="1326"/>
      <c r="R333" s="3065" t="s">
        <v>121</v>
      </c>
      <c r="S333" s="1298" t="s">
        <v>1269</v>
      </c>
      <c r="T333" s="1326"/>
      <c r="U333" s="1326"/>
      <c r="V333" s="1326"/>
      <c r="W333" s="1326"/>
      <c r="X333" s="1327"/>
      <c r="Y333" s="1295"/>
      <c r="Z333" s="1292"/>
      <c r="AA333" s="1292"/>
      <c r="AB333" s="1293"/>
      <c r="AC333" s="1533"/>
      <c r="AD333" s="1534"/>
      <c r="AE333" s="1534"/>
      <c r="AF333" s="1535"/>
      <c r="AI333" s="3056" t="str">
        <f>"2B:serteikyo_kyoka_code:" &amp; IF(I333="■",1,IF(L333="■",6,IF(O333="■",5,IF(R333="■",7,0))))</f>
        <v>2B:serteikyo_kyoka_code:0</v>
      </c>
    </row>
    <row r="334" spans="1:35" ht="18.75" hidden="1" customHeight="1">
      <c r="A334" s="735"/>
      <c r="B334" s="1407"/>
      <c r="C334" s="1303"/>
      <c r="D334" s="1304"/>
      <c r="E334" s="1305"/>
      <c r="F334" s="1304"/>
      <c r="G334" s="1275"/>
      <c r="H334" s="1539" t="s">
        <v>2390</v>
      </c>
      <c r="I334" s="3160" t="s">
        <v>121</v>
      </c>
      <c r="J334" s="3161" t="s">
        <v>1230</v>
      </c>
      <c r="K334" s="3161"/>
      <c r="L334" s="3160" t="s">
        <v>121</v>
      </c>
      <c r="M334" s="3161" t="s">
        <v>1248</v>
      </c>
      <c r="N334" s="3161"/>
      <c r="O334" s="1402"/>
      <c r="P334" s="1402"/>
      <c r="Q334" s="1402"/>
      <c r="R334" s="1402"/>
      <c r="S334" s="1402"/>
      <c r="T334" s="1402"/>
      <c r="U334" s="1402"/>
      <c r="V334" s="1402"/>
      <c r="W334" s="1402"/>
      <c r="X334" s="1291"/>
      <c r="Y334" s="1295"/>
      <c r="Z334" s="1292"/>
      <c r="AA334" s="1292"/>
      <c r="AB334" s="1293"/>
      <c r="AC334" s="1533"/>
      <c r="AD334" s="1534"/>
      <c r="AE334" s="1534"/>
      <c r="AF334" s="1535"/>
      <c r="AI334" s="3056" t="str">
        <f>"2B:field221:" &amp; IF(I334="■",1,IF(L334="■",2,0))</f>
        <v>2B:field221:0</v>
      </c>
    </row>
    <row r="335" spans="1:35" ht="18.75" hidden="1" customHeight="1">
      <c r="A335" s="735"/>
      <c r="B335" s="1407"/>
      <c r="C335" s="1303"/>
      <c r="D335" s="1304"/>
      <c r="E335" s="1305"/>
      <c r="F335" s="1304"/>
      <c r="G335" s="1275"/>
      <c r="H335" s="1540"/>
      <c r="I335" s="3160"/>
      <c r="J335" s="3161"/>
      <c r="K335" s="3161"/>
      <c r="L335" s="3160"/>
      <c r="M335" s="3161"/>
      <c r="N335" s="3161"/>
      <c r="O335" s="1403"/>
      <c r="P335" s="1403"/>
      <c r="Q335" s="1403"/>
      <c r="R335" s="1403"/>
      <c r="S335" s="1403"/>
      <c r="T335" s="1403"/>
      <c r="U335" s="1403"/>
      <c r="V335" s="1403"/>
      <c r="W335" s="1403"/>
      <c r="X335" s="1297"/>
      <c r="Y335" s="1295"/>
      <c r="Z335" s="1292"/>
      <c r="AA335" s="1292"/>
      <c r="AB335" s="1293"/>
      <c r="AC335" s="1533"/>
      <c r="AD335" s="1534"/>
      <c r="AE335" s="1534"/>
      <c r="AF335" s="1535"/>
    </row>
    <row r="336" spans="1:35" ht="18.75" hidden="1" customHeight="1">
      <c r="A336" s="736"/>
      <c r="B336" s="1407"/>
      <c r="C336" s="1346"/>
      <c r="D336" s="1348"/>
      <c r="E336" s="1317"/>
      <c r="F336" s="1318"/>
      <c r="G336" s="1361"/>
      <c r="H336" s="3134" t="s">
        <v>2288</v>
      </c>
      <c r="I336" s="3137" t="s">
        <v>121</v>
      </c>
      <c r="J336" s="3130" t="s">
        <v>1230</v>
      </c>
      <c r="K336" s="3130"/>
      <c r="L336" s="3059" t="s">
        <v>121</v>
      </c>
      <c r="M336" s="3130" t="s">
        <v>2287</v>
      </c>
      <c r="N336" s="3133"/>
      <c r="O336" s="3059" t="s">
        <v>121</v>
      </c>
      <c r="P336" s="3132" t="s">
        <v>2286</v>
      </c>
      <c r="Q336" s="3131"/>
      <c r="R336" s="3059" t="s">
        <v>121</v>
      </c>
      <c r="S336" s="3130" t="s">
        <v>2285</v>
      </c>
      <c r="T336" s="3131"/>
      <c r="U336" s="3059" t="s">
        <v>121</v>
      </c>
      <c r="V336" s="3130" t="s">
        <v>2284</v>
      </c>
      <c r="W336" s="3129"/>
      <c r="X336" s="3128"/>
      <c r="Y336" s="1323"/>
      <c r="Z336" s="1323"/>
      <c r="AA336" s="1323"/>
      <c r="AB336" s="1324"/>
      <c r="AC336" s="1533"/>
      <c r="AD336" s="1534"/>
      <c r="AE336" s="1534"/>
      <c r="AF336" s="1535"/>
      <c r="AG336" s="3056"/>
      <c r="AH336" s="3056"/>
      <c r="AI336" s="3056" t="str">
        <f>"2B:shoguukaizen_code:"&amp;IF(I336="■",1,IF(L336="■",7,IF(O336="■",8,IF(R336="■",9,IF(U336="■","A",0)))))</f>
        <v>2B:shoguukaizen_code:0</v>
      </c>
    </row>
    <row r="337" spans="1:36" ht="18.75" hidden="1" customHeight="1">
      <c r="A337" s="1276"/>
      <c r="B337" s="1405"/>
      <c r="C337" s="1333"/>
      <c r="D337" s="1335"/>
      <c r="E337" s="1351"/>
      <c r="F337" s="1335"/>
      <c r="G337" s="1272"/>
      <c r="H337" s="1545" t="s">
        <v>1226</v>
      </c>
      <c r="I337" s="3137" t="s">
        <v>121</v>
      </c>
      <c r="J337" s="1270" t="s">
        <v>1227</v>
      </c>
      <c r="K337" s="3139"/>
      <c r="L337" s="1337"/>
      <c r="M337" s="3138" t="s">
        <v>121</v>
      </c>
      <c r="N337" s="1270" t="s">
        <v>2306</v>
      </c>
      <c r="O337" s="1334"/>
      <c r="P337" s="1334"/>
      <c r="Q337" s="3138" t="s">
        <v>121</v>
      </c>
      <c r="R337" s="1270" t="s">
        <v>2305</v>
      </c>
      <c r="S337" s="1334"/>
      <c r="T337" s="1334"/>
      <c r="U337" s="3138" t="s">
        <v>121</v>
      </c>
      <c r="V337" s="1270" t="s">
        <v>2304</v>
      </c>
      <c r="W337" s="1334"/>
      <c r="X337" s="1336"/>
      <c r="Y337" s="3138" t="s">
        <v>121</v>
      </c>
      <c r="Z337" s="1270" t="s">
        <v>1229</v>
      </c>
      <c r="AA337" s="1270"/>
      <c r="AB337" s="1286"/>
      <c r="AC337" s="1530"/>
      <c r="AD337" s="1531"/>
      <c r="AE337" s="1531"/>
      <c r="AF337" s="1532"/>
      <c r="AG337" s="3056" t="str">
        <f>"ser_code = '" &amp; IF(A348="■","2B","") &amp; "'"</f>
        <v>ser_code = ''</v>
      </c>
      <c r="AH337" s="3056" t="str">
        <f>"2B:jininkbn_code:"&amp;IF(F347="■",1,IF(F348="■",2,IF(F349="■",3,0)))</f>
        <v>2B:jininkbn_code:0</v>
      </c>
      <c r="AI337" s="3056" t="str">
        <f>"2B:yakan_kinmu_code:" &amp; IF(I337="■",1,IF(M337="■",2,IF(Q337="■",3,IF(U337="■",7,IF(I338="■",5,IF(M338="■",6,0))))))</f>
        <v>2B:yakan_kinmu_code:0</v>
      </c>
      <c r="AJ337" s="3056" t="str">
        <f>"2B:field203:" &amp; IF(Y337="■",1,IF(Y338="■",2,0))</f>
        <v>2B:field203:0</v>
      </c>
    </row>
    <row r="338" spans="1:36" ht="18.75" hidden="1" customHeight="1">
      <c r="A338" s="735"/>
      <c r="B338" s="1407"/>
      <c r="C338" s="1303"/>
      <c r="D338" s="1304"/>
      <c r="E338" s="1305"/>
      <c r="F338" s="1304"/>
      <c r="G338" s="1275"/>
      <c r="H338" s="1542"/>
      <c r="I338" s="3069" t="s">
        <v>121</v>
      </c>
      <c r="J338" s="1296" t="s">
        <v>2303</v>
      </c>
      <c r="K338" s="1309"/>
      <c r="L338" s="1355"/>
      <c r="M338" s="3062" t="s">
        <v>121</v>
      </c>
      <c r="N338" s="1296" t="s">
        <v>1228</v>
      </c>
      <c r="O338" s="1403"/>
      <c r="P338" s="1403"/>
      <c r="Q338" s="3280"/>
      <c r="R338" s="1403"/>
      <c r="S338" s="1403"/>
      <c r="T338" s="1403"/>
      <c r="U338" s="1403"/>
      <c r="V338" s="1403"/>
      <c r="W338" s="1403"/>
      <c r="X338" s="1297"/>
      <c r="Y338" s="3122" t="s">
        <v>121</v>
      </c>
      <c r="Z338" s="1273" t="s">
        <v>1234</v>
      </c>
      <c r="AA338" s="1292"/>
      <c r="AB338" s="1293"/>
      <c r="AC338" s="1533"/>
      <c r="AD338" s="1534"/>
      <c r="AE338" s="1534"/>
      <c r="AF338" s="1535"/>
      <c r="AG338" s="3056" t="str">
        <f>"2B:sisetukbn_code:"&amp;IF(D348="■","2",0)</f>
        <v>2B:sisetukbn_code:0</v>
      </c>
      <c r="AH338" s="3056"/>
      <c r="AI338" s="3056"/>
      <c r="AJ338" s="3056"/>
    </row>
    <row r="339" spans="1:36" ht="18.75" hidden="1" customHeight="1">
      <c r="A339" s="735"/>
      <c r="B339" s="1407"/>
      <c r="C339" s="1303"/>
      <c r="D339" s="1304"/>
      <c r="E339" s="1305"/>
      <c r="F339" s="1304"/>
      <c r="G339" s="1275"/>
      <c r="H339" s="1541" t="s">
        <v>90</v>
      </c>
      <c r="I339" s="3137" t="s">
        <v>121</v>
      </c>
      <c r="J339" s="1290" t="s">
        <v>1230</v>
      </c>
      <c r="K339" s="1290"/>
      <c r="L339" s="1329"/>
      <c r="M339" s="3136" t="s">
        <v>121</v>
      </c>
      <c r="N339" s="1290" t="s">
        <v>1231</v>
      </c>
      <c r="O339" s="1290"/>
      <c r="P339" s="1329"/>
      <c r="Q339" s="3136" t="s">
        <v>121</v>
      </c>
      <c r="R339" s="1402" t="s">
        <v>2302</v>
      </c>
      <c r="S339" s="1402"/>
      <c r="T339" s="1402"/>
      <c r="U339" s="1314"/>
      <c r="V339" s="1329"/>
      <c r="W339" s="1402"/>
      <c r="X339" s="1315"/>
      <c r="Y339" s="1295"/>
      <c r="Z339" s="1292"/>
      <c r="AA339" s="1292"/>
      <c r="AB339" s="1293"/>
      <c r="AC339" s="1533"/>
      <c r="AD339" s="1534"/>
      <c r="AE339" s="1534"/>
      <c r="AF339" s="1535"/>
      <c r="AG339" s="3056"/>
      <c r="AH339" s="3056"/>
      <c r="AI339" s="3056" t="str">
        <f>"2B:"&amp;IF(AND(I339="□",M339="□",Q339="□",I340="□",M340="□"),"ketu_doctor_code:0",IF(I339="■","ketu_doctor_code:1:field197:1:ketu_kangos_code:1:ketu_kshoku_code:1",IF(M339="■","ketu_doctor_code:2","ketu_doctor_code:1")
&amp;IF(Q339="■",":field197:2",":field197:1")
&amp;IF(I340="■",":ketu_kangos_code:2",":ketu_kangos_code:1")
&amp;IF(M340="■",":ketu_kshoku_code:2",":ketu_kshoku_code:1")))</f>
        <v>2B:ketu_doctor_code:0</v>
      </c>
      <c r="AJ339" s="3056"/>
    </row>
    <row r="340" spans="1:36" ht="18.75" hidden="1" customHeight="1">
      <c r="A340" s="735"/>
      <c r="B340" s="1407"/>
      <c r="C340" s="1303"/>
      <c r="D340" s="1304"/>
      <c r="E340" s="1305"/>
      <c r="F340" s="1304"/>
      <c r="G340" s="1275"/>
      <c r="H340" s="1542"/>
      <c r="I340" s="3069" t="s">
        <v>121</v>
      </c>
      <c r="J340" s="1403" t="s">
        <v>2301</v>
      </c>
      <c r="K340" s="1403"/>
      <c r="L340" s="1403"/>
      <c r="M340" s="3062" t="s">
        <v>121</v>
      </c>
      <c r="N340" s="1403" t="s">
        <v>2300</v>
      </c>
      <c r="O340" s="1355"/>
      <c r="P340" s="1403"/>
      <c r="Q340" s="1403"/>
      <c r="R340" s="1355"/>
      <c r="S340" s="1403"/>
      <c r="T340" s="1403"/>
      <c r="U340" s="1330"/>
      <c r="V340" s="1355"/>
      <c r="W340" s="1403"/>
      <c r="X340" s="1356"/>
      <c r="Y340" s="1295"/>
      <c r="Z340" s="1292"/>
      <c r="AA340" s="1292"/>
      <c r="AB340" s="1293"/>
      <c r="AC340" s="1533"/>
      <c r="AD340" s="1534"/>
      <c r="AE340" s="1534"/>
      <c r="AF340" s="1535"/>
      <c r="AG340" s="3056"/>
      <c r="AH340" s="3056"/>
      <c r="AI340" s="3056"/>
      <c r="AJ340" s="3056"/>
    </row>
    <row r="341" spans="1:36" s="3056" customFormat="1" ht="18.75" hidden="1" customHeight="1">
      <c r="A341" s="735"/>
      <c r="B341" s="1407"/>
      <c r="C341" s="1287"/>
      <c r="D341" s="1288"/>
      <c r="E341" s="1275"/>
      <c r="F341" s="1289"/>
      <c r="G341" s="1305"/>
      <c r="H341" s="3193" t="s">
        <v>1241</v>
      </c>
      <c r="I341" s="3096" t="s">
        <v>121</v>
      </c>
      <c r="J341" s="3091" t="s">
        <v>1242</v>
      </c>
      <c r="K341" s="3095"/>
      <c r="L341" s="3094"/>
      <c r="M341" s="3093" t="s">
        <v>121</v>
      </c>
      <c r="N341" s="3091" t="s">
        <v>1243</v>
      </c>
      <c r="O341" s="3095"/>
      <c r="P341" s="3192"/>
      <c r="Q341" s="3192"/>
      <c r="R341" s="3192"/>
      <c r="S341" s="3192"/>
      <c r="T341" s="3192"/>
      <c r="U341" s="3192"/>
      <c r="V341" s="3192"/>
      <c r="W341" s="3192"/>
      <c r="X341" s="3191"/>
      <c r="Y341" s="1295"/>
      <c r="Z341" s="1292"/>
      <c r="AA341" s="1292"/>
      <c r="AB341" s="1293"/>
      <c r="AC341" s="1533"/>
      <c r="AD341" s="1534"/>
      <c r="AE341" s="1534"/>
      <c r="AF341" s="1535"/>
      <c r="AI341" s="3056" t="str">
        <f>"2B:sintaikousoku_code:" &amp; IF(I341="■",1,IF(M341="■",2,0))</f>
        <v>2B:sintaikousoku_code:0</v>
      </c>
    </row>
    <row r="342" spans="1:36" ht="19.5" hidden="1" customHeight="1">
      <c r="A342" s="735"/>
      <c r="B342" s="1407"/>
      <c r="C342" s="1303"/>
      <c r="D342" s="1304"/>
      <c r="E342" s="1275"/>
      <c r="F342" s="1289"/>
      <c r="G342" s="1305"/>
      <c r="H342" s="1306" t="s">
        <v>1244</v>
      </c>
      <c r="I342" s="3137" t="s">
        <v>121</v>
      </c>
      <c r="J342" s="1298" t="s">
        <v>1242</v>
      </c>
      <c r="K342" s="1299"/>
      <c r="L342" s="1300"/>
      <c r="M342" s="3065" t="s">
        <v>121</v>
      </c>
      <c r="N342" s="1298" t="s">
        <v>1245</v>
      </c>
      <c r="O342" s="1298"/>
      <c r="P342" s="1298"/>
      <c r="Q342" s="1307"/>
      <c r="R342" s="1307"/>
      <c r="S342" s="1307"/>
      <c r="T342" s="1307"/>
      <c r="U342" s="1307"/>
      <c r="V342" s="1307"/>
      <c r="W342" s="1307"/>
      <c r="X342" s="1308"/>
      <c r="Y342" s="1292"/>
      <c r="Z342" s="1292"/>
      <c r="AA342" s="1292"/>
      <c r="AB342" s="1293"/>
      <c r="AC342" s="1533"/>
      <c r="AD342" s="1534"/>
      <c r="AE342" s="1534"/>
      <c r="AF342" s="1535"/>
      <c r="AI342" s="3056" t="str">
        <f>"2B:field223:" &amp; IF(I342="■",1,IF(M342="■",2,0))</f>
        <v>2B:field223:0</v>
      </c>
    </row>
    <row r="343" spans="1:36" ht="19.5" hidden="1" customHeight="1">
      <c r="A343" s="735"/>
      <c r="B343" s="1407"/>
      <c r="C343" s="1303"/>
      <c r="D343" s="1304"/>
      <c r="E343" s="1275"/>
      <c r="F343" s="1289"/>
      <c r="G343" s="1305"/>
      <c r="H343" s="1306" t="s">
        <v>1246</v>
      </c>
      <c r="I343" s="3137" t="s">
        <v>121</v>
      </c>
      <c r="J343" s="1298" t="s">
        <v>1242</v>
      </c>
      <c r="K343" s="1299"/>
      <c r="L343" s="1300"/>
      <c r="M343" s="3065" t="s">
        <v>121</v>
      </c>
      <c r="N343" s="1298" t="s">
        <v>1245</v>
      </c>
      <c r="O343" s="1298"/>
      <c r="P343" s="1298"/>
      <c r="Q343" s="1307"/>
      <c r="R343" s="1307"/>
      <c r="S343" s="1307"/>
      <c r="T343" s="1307"/>
      <c r="U343" s="1307"/>
      <c r="V343" s="1307"/>
      <c r="W343" s="1307"/>
      <c r="X343" s="1308"/>
      <c r="Y343" s="1292"/>
      <c r="Z343" s="1292"/>
      <c r="AA343" s="1292"/>
      <c r="AB343" s="1293"/>
      <c r="AC343" s="1533"/>
      <c r="AD343" s="1534"/>
      <c r="AE343" s="1534"/>
      <c r="AF343" s="1535"/>
      <c r="AI343" s="3056" t="str">
        <f>"2B:field232:" &amp; IF(I343="■",1,IF(M343="■",2,0))</f>
        <v>2B:field232:0</v>
      </c>
    </row>
    <row r="344" spans="1:36" ht="18.75" hidden="1" customHeight="1">
      <c r="A344" s="735"/>
      <c r="B344" s="1407"/>
      <c r="C344" s="1303"/>
      <c r="D344" s="1304"/>
      <c r="E344" s="1305"/>
      <c r="F344" s="1304"/>
      <c r="G344" s="1275"/>
      <c r="H344" s="1409" t="s">
        <v>2295</v>
      </c>
      <c r="I344" s="3137" t="s">
        <v>121</v>
      </c>
      <c r="J344" s="1298" t="s">
        <v>1227</v>
      </c>
      <c r="K344" s="1299"/>
      <c r="L344" s="1300"/>
      <c r="M344" s="3065" t="s">
        <v>121</v>
      </c>
      <c r="N344" s="1298" t="s">
        <v>2291</v>
      </c>
      <c r="O344" s="1307"/>
      <c r="P344" s="1307"/>
      <c r="Q344" s="1307"/>
      <c r="R344" s="1307"/>
      <c r="S344" s="1307"/>
      <c r="T344" s="1307"/>
      <c r="U344" s="1307"/>
      <c r="V344" s="1307"/>
      <c r="W344" s="1307"/>
      <c r="X344" s="1308"/>
      <c r="Y344" s="1295"/>
      <c r="Z344" s="1292"/>
      <c r="AA344" s="1292"/>
      <c r="AB344" s="1293"/>
      <c r="AC344" s="1533"/>
      <c r="AD344" s="1534"/>
      <c r="AE344" s="1534"/>
      <c r="AF344" s="1535"/>
      <c r="AI344" s="3056" t="str">
        <f>"2B:field190:" &amp; IF(I344="■",1,IF(M344="■",2,0))</f>
        <v>2B:field190:0</v>
      </c>
    </row>
    <row r="345" spans="1:36" ht="18.75" hidden="1" customHeight="1">
      <c r="A345" s="735"/>
      <c r="B345" s="1407"/>
      <c r="C345" s="1303"/>
      <c r="D345" s="1304"/>
      <c r="E345" s="1305"/>
      <c r="F345" s="1304"/>
      <c r="G345" s="1275"/>
      <c r="H345" s="1409" t="s">
        <v>2293</v>
      </c>
      <c r="I345" s="3137" t="s">
        <v>121</v>
      </c>
      <c r="J345" s="1298" t="s">
        <v>1227</v>
      </c>
      <c r="K345" s="1299"/>
      <c r="L345" s="1300"/>
      <c r="M345" s="3065" t="s">
        <v>121</v>
      </c>
      <c r="N345" s="1298" t="s">
        <v>2291</v>
      </c>
      <c r="O345" s="1307"/>
      <c r="P345" s="1307"/>
      <c r="Q345" s="1307"/>
      <c r="R345" s="1307"/>
      <c r="S345" s="1307"/>
      <c r="T345" s="1307"/>
      <c r="U345" s="1307"/>
      <c r="V345" s="1307"/>
      <c r="W345" s="1307"/>
      <c r="X345" s="1308"/>
      <c r="Y345" s="1295"/>
      <c r="Z345" s="1292"/>
      <c r="AA345" s="1292"/>
      <c r="AB345" s="1293"/>
      <c r="AC345" s="1533"/>
      <c r="AD345" s="1534"/>
      <c r="AE345" s="1534"/>
      <c r="AF345" s="1535"/>
      <c r="AI345" s="3056" t="str">
        <f>"2B:field191:" &amp; IF(I345="■",1,IF(M345="■",2,0))</f>
        <v>2B:field191:0</v>
      </c>
    </row>
    <row r="346" spans="1:36" s="1418" customFormat="1" ht="19.5" hidden="1" customHeight="1">
      <c r="A346" s="625"/>
      <c r="B346" s="1416"/>
      <c r="C346" s="629"/>
      <c r="D346" s="1417"/>
      <c r="E346" s="1420"/>
      <c r="F346" s="1415"/>
      <c r="G346" s="617"/>
      <c r="H346" s="3148" t="s">
        <v>2328</v>
      </c>
      <c r="I346" s="3279" t="s">
        <v>121</v>
      </c>
      <c r="J346" s="3144" t="s">
        <v>2326</v>
      </c>
      <c r="K346" s="3147"/>
      <c r="L346" s="3146"/>
      <c r="M346" s="3278" t="s">
        <v>121</v>
      </c>
      <c r="N346" s="3144" t="s">
        <v>2325</v>
      </c>
      <c r="O346" s="3145"/>
      <c r="P346" s="3144"/>
      <c r="Q346" s="3143"/>
      <c r="R346" s="3143"/>
      <c r="S346" s="3143"/>
      <c r="T346" s="3143"/>
      <c r="U346" s="3143"/>
      <c r="V346" s="3143"/>
      <c r="W346" s="3143"/>
      <c r="X346" s="3142"/>
      <c r="Y346" s="1421"/>
      <c r="Z346" s="2"/>
      <c r="AA346" s="626"/>
      <c r="AB346" s="627"/>
      <c r="AC346" s="1533"/>
      <c r="AD346" s="1534"/>
      <c r="AE346" s="1534"/>
      <c r="AF346" s="1535"/>
      <c r="AI346" s="3056" t="str">
        <f>"2B:field242:" &amp; IF(I346="■",1,IF(M346="■",2,0))</f>
        <v>2B:field242:0</v>
      </c>
    </row>
    <row r="347" spans="1:36" ht="18.75" hidden="1" customHeight="1">
      <c r="A347" s="735"/>
      <c r="B347" s="1407"/>
      <c r="C347" s="1303"/>
      <c r="D347" s="1304"/>
      <c r="E347" s="1305"/>
      <c r="F347" s="3069" t="s">
        <v>121</v>
      </c>
      <c r="G347" s="1275" t="s">
        <v>2499</v>
      </c>
      <c r="H347" s="1409" t="s">
        <v>1318</v>
      </c>
      <c r="I347" s="3137" t="s">
        <v>121</v>
      </c>
      <c r="J347" s="1298" t="s">
        <v>1230</v>
      </c>
      <c r="K347" s="1299"/>
      <c r="L347" s="3065" t="s">
        <v>121</v>
      </c>
      <c r="M347" s="1298" t="s">
        <v>1248</v>
      </c>
      <c r="N347" s="1307"/>
      <c r="O347" s="1307"/>
      <c r="P347" s="1307"/>
      <c r="Q347" s="1307"/>
      <c r="R347" s="1307"/>
      <c r="S347" s="1307"/>
      <c r="T347" s="1307"/>
      <c r="U347" s="1307"/>
      <c r="V347" s="1307"/>
      <c r="W347" s="1307"/>
      <c r="X347" s="1308"/>
      <c r="Y347" s="1295"/>
      <c r="Z347" s="1292"/>
      <c r="AA347" s="1292"/>
      <c r="AB347" s="1293"/>
      <c r="AC347" s="1533"/>
      <c r="AD347" s="1534"/>
      <c r="AE347" s="1534"/>
      <c r="AF347" s="1535"/>
      <c r="AI347" s="3056" t="str">
        <f>"2B:jyakuninti_uke_code:" &amp; IF(I347="■",1,IF(L347="■",2,0))</f>
        <v>2B:jyakuninti_uke_code:0</v>
      </c>
    </row>
    <row r="348" spans="1:36" ht="18.75" hidden="1" customHeight="1">
      <c r="A348" s="3069" t="s">
        <v>121</v>
      </c>
      <c r="B348" s="1407" t="s">
        <v>2494</v>
      </c>
      <c r="C348" s="1303" t="s">
        <v>542</v>
      </c>
      <c r="D348" s="3069" t="s">
        <v>121</v>
      </c>
      <c r="E348" s="1305" t="s">
        <v>2498</v>
      </c>
      <c r="F348" s="3069" t="s">
        <v>121</v>
      </c>
      <c r="G348" s="1275" t="s">
        <v>2331</v>
      </c>
      <c r="H348" s="1409" t="s">
        <v>1324</v>
      </c>
      <c r="I348" s="3137" t="s">
        <v>121</v>
      </c>
      <c r="J348" s="1298" t="s">
        <v>1239</v>
      </c>
      <c r="K348" s="1299"/>
      <c r="L348" s="1300"/>
      <c r="M348" s="3065" t="s">
        <v>121</v>
      </c>
      <c r="N348" s="1298" t="s">
        <v>1240</v>
      </c>
      <c r="O348" s="1307"/>
      <c r="P348" s="1307"/>
      <c r="Q348" s="1307"/>
      <c r="R348" s="1307"/>
      <c r="S348" s="1307"/>
      <c r="T348" s="1307"/>
      <c r="U348" s="1307"/>
      <c r="V348" s="1307"/>
      <c r="W348" s="1307"/>
      <c r="X348" s="1308"/>
      <c r="Y348" s="1295"/>
      <c r="Z348" s="1292"/>
      <c r="AA348" s="1292"/>
      <c r="AB348" s="1293"/>
      <c r="AC348" s="1533"/>
      <c r="AD348" s="1534"/>
      <c r="AE348" s="1534"/>
      <c r="AF348" s="1535"/>
      <c r="AI348" s="3056" t="str">
        <f>"2B:sougei_code:" &amp; IF(I348="■",1,IF(M348="■",2,0))</f>
        <v>2B:sougei_code:0</v>
      </c>
    </row>
    <row r="349" spans="1:36" ht="19.5" hidden="1" customHeight="1">
      <c r="A349" s="735"/>
      <c r="B349" s="1407"/>
      <c r="C349" s="1303"/>
      <c r="D349" s="1304"/>
      <c r="E349" s="1305"/>
      <c r="F349" s="3069" t="s">
        <v>121</v>
      </c>
      <c r="G349" s="1275" t="s">
        <v>2330</v>
      </c>
      <c r="H349" s="1306" t="s">
        <v>1325</v>
      </c>
      <c r="I349" s="3137" t="s">
        <v>121</v>
      </c>
      <c r="J349" s="1298" t="s">
        <v>1230</v>
      </c>
      <c r="K349" s="1298"/>
      <c r="L349" s="3065" t="s">
        <v>121</v>
      </c>
      <c r="M349" s="1298" t="s">
        <v>1248</v>
      </c>
      <c r="N349" s="1298"/>
      <c r="O349" s="1307"/>
      <c r="P349" s="1298"/>
      <c r="Q349" s="1307"/>
      <c r="R349" s="1307"/>
      <c r="S349" s="1307"/>
      <c r="T349" s="1307"/>
      <c r="U349" s="1307"/>
      <c r="V349" s="1307"/>
      <c r="W349" s="1307"/>
      <c r="X349" s="1308"/>
      <c r="Y349" s="1292"/>
      <c r="Z349" s="1292"/>
      <c r="AA349" s="1292"/>
      <c r="AB349" s="1293"/>
      <c r="AC349" s="1533"/>
      <c r="AD349" s="1534"/>
      <c r="AE349" s="1534"/>
      <c r="AF349" s="1535"/>
      <c r="AI349" s="3056" t="str">
        <f>"2B:field224:" &amp; IF(I349="■",1,IF(L349="■",2,0))</f>
        <v>2B:field224:0</v>
      </c>
    </row>
    <row r="350" spans="1:36" ht="18.75" hidden="1" customHeight="1">
      <c r="A350" s="735"/>
      <c r="B350" s="1407"/>
      <c r="C350" s="1303"/>
      <c r="D350" s="1304"/>
      <c r="E350" s="1305"/>
      <c r="F350" s="1304"/>
      <c r="G350" s="1275"/>
      <c r="H350" s="1409" t="s">
        <v>145</v>
      </c>
      <c r="I350" s="3137" t="s">
        <v>121</v>
      </c>
      <c r="J350" s="1298" t="s">
        <v>1230</v>
      </c>
      <c r="K350" s="1299"/>
      <c r="L350" s="3065" t="s">
        <v>121</v>
      </c>
      <c r="M350" s="1298" t="s">
        <v>1248</v>
      </c>
      <c r="N350" s="1307"/>
      <c r="O350" s="1307"/>
      <c r="P350" s="1307"/>
      <c r="Q350" s="1307"/>
      <c r="R350" s="1307"/>
      <c r="S350" s="1307"/>
      <c r="T350" s="1307"/>
      <c r="U350" s="1307"/>
      <c r="V350" s="1307"/>
      <c r="W350" s="1307"/>
      <c r="X350" s="1308"/>
      <c r="Y350" s="1295"/>
      <c r="Z350" s="1292"/>
      <c r="AA350" s="1292"/>
      <c r="AB350" s="1293"/>
      <c r="AC350" s="1533"/>
      <c r="AD350" s="1534"/>
      <c r="AE350" s="1534"/>
      <c r="AF350" s="1535"/>
      <c r="AI350" s="3056" t="str">
        <f>"2B:ryouyoushoku_code:" &amp; IF(I350="■",1,IF(L350="■",2,0))</f>
        <v>2B:ryouyoushoku_code:0</v>
      </c>
    </row>
    <row r="351" spans="1:36" ht="18.75" hidden="1" customHeight="1">
      <c r="A351" s="735"/>
      <c r="B351" s="1407"/>
      <c r="C351" s="1303"/>
      <c r="D351" s="1304"/>
      <c r="E351" s="1305"/>
      <c r="F351" s="1304"/>
      <c r="G351" s="1275"/>
      <c r="H351" s="1409" t="s">
        <v>1260</v>
      </c>
      <c r="I351" s="3137" t="s">
        <v>121</v>
      </c>
      <c r="J351" s="1298" t="s">
        <v>1230</v>
      </c>
      <c r="K351" s="1298"/>
      <c r="L351" s="3065" t="s">
        <v>121</v>
      </c>
      <c r="M351" s="1298" t="s">
        <v>1256</v>
      </c>
      <c r="N351" s="1298"/>
      <c r="O351" s="3065" t="s">
        <v>121</v>
      </c>
      <c r="P351" s="1298" t="s">
        <v>1257</v>
      </c>
      <c r="Q351" s="1307"/>
      <c r="R351" s="1307"/>
      <c r="S351" s="1307"/>
      <c r="T351" s="1307"/>
      <c r="U351" s="1307"/>
      <c r="V351" s="1307"/>
      <c r="W351" s="1307"/>
      <c r="X351" s="1308"/>
      <c r="Y351" s="1295"/>
      <c r="Z351" s="1292"/>
      <c r="AA351" s="1292"/>
      <c r="AB351" s="1293"/>
      <c r="AC351" s="1533"/>
      <c r="AD351" s="1534"/>
      <c r="AE351" s="1534"/>
      <c r="AF351" s="1535"/>
      <c r="AI351" s="3056" t="str">
        <f>"2B:ninti_senmoncare_code:" &amp; IF(I351="■",1,IF(O351="■",3,IF(L351="■",2,0)))</f>
        <v>2B:ninti_senmoncare_code:0</v>
      </c>
    </row>
    <row r="352" spans="1:36" ht="18.75" hidden="1" customHeight="1">
      <c r="A352" s="735"/>
      <c r="B352" s="1407"/>
      <c r="C352" s="1303"/>
      <c r="D352" s="1304"/>
      <c r="E352" s="1305"/>
      <c r="F352" s="1304"/>
      <c r="G352" s="1275"/>
      <c r="H352" s="1541" t="s">
        <v>2393</v>
      </c>
      <c r="I352" s="3137" t="s">
        <v>121</v>
      </c>
      <c r="J352" s="1290" t="s">
        <v>1273</v>
      </c>
      <c r="K352" s="1290"/>
      <c r="L352" s="1314"/>
      <c r="M352" s="1314"/>
      <c r="N352" s="1314"/>
      <c r="O352" s="1314"/>
      <c r="P352" s="3136" t="s">
        <v>121</v>
      </c>
      <c r="Q352" s="1290" t="s">
        <v>1274</v>
      </c>
      <c r="R352" s="1314"/>
      <c r="S352" s="1314"/>
      <c r="T352" s="1314"/>
      <c r="U352" s="1314"/>
      <c r="V352" s="1314"/>
      <c r="W352" s="1314"/>
      <c r="X352" s="1315"/>
      <c r="Y352" s="1295"/>
      <c r="Z352" s="1292"/>
      <c r="AA352" s="1292"/>
      <c r="AB352" s="1293"/>
      <c r="AC352" s="1533"/>
      <c r="AD352" s="1534"/>
      <c r="AE352" s="1534"/>
      <c r="AF352" s="1535"/>
      <c r="AI352" s="3056" t="str">
        <f>"2B:" &amp; IF(AND(I352="□",P352="□",I353="□"),"tokusin_jyusho_code:0:tokusin_yakuzai_code:0:shuudan_comu_code:0",IF(I352="■","tokusin_jyusho_code:2","tokusin_jyusho_code:1")
&amp;IF(P352="■",":tokusin_yakuzai_code:2",":tokusin_yakuzai_code:1")
&amp;IF(I353="■",":shuudan_comu_code:2",":shuudan_comu_code:1"))</f>
        <v>2B:tokusin_jyusho_code:0:tokusin_yakuzai_code:0:shuudan_comu_code:0</v>
      </c>
    </row>
    <row r="353" spans="1:36" ht="18.75" hidden="1" customHeight="1">
      <c r="A353" s="735"/>
      <c r="B353" s="1407"/>
      <c r="C353" s="1303"/>
      <c r="D353" s="1304"/>
      <c r="E353" s="1305"/>
      <c r="F353" s="1304"/>
      <c r="G353" s="1275"/>
      <c r="H353" s="1542"/>
      <c r="I353" s="3069" t="s">
        <v>121</v>
      </c>
      <c r="J353" s="1296" t="s">
        <v>2318</v>
      </c>
      <c r="K353" s="1330"/>
      <c r="L353" s="1330"/>
      <c r="M353" s="1330"/>
      <c r="N353" s="1330"/>
      <c r="O353" s="1330"/>
      <c r="P353" s="1330"/>
      <c r="Q353" s="1403"/>
      <c r="R353" s="1330"/>
      <c r="S353" s="1330"/>
      <c r="T353" s="1330"/>
      <c r="U353" s="1330"/>
      <c r="V353" s="1330"/>
      <c r="W353" s="1330"/>
      <c r="X353" s="1356"/>
      <c r="Y353" s="1295"/>
      <c r="Z353" s="1292"/>
      <c r="AA353" s="1292"/>
      <c r="AB353" s="1293"/>
      <c r="AC353" s="1533"/>
      <c r="AD353" s="1534"/>
      <c r="AE353" s="1534"/>
      <c r="AF353" s="1535"/>
      <c r="AI353" s="3056"/>
    </row>
    <row r="354" spans="1:36" ht="18.75" hidden="1" customHeight="1">
      <c r="A354" s="735"/>
      <c r="B354" s="1407"/>
      <c r="C354" s="1303"/>
      <c r="D354" s="1304"/>
      <c r="E354" s="1305"/>
      <c r="F354" s="1304"/>
      <c r="G354" s="1275"/>
      <c r="H354" s="1541" t="s">
        <v>1280</v>
      </c>
      <c r="I354" s="3137" t="s">
        <v>121</v>
      </c>
      <c r="J354" s="1290" t="s">
        <v>2317</v>
      </c>
      <c r="K354" s="1328"/>
      <c r="L354" s="1329"/>
      <c r="M354" s="3136" t="s">
        <v>121</v>
      </c>
      <c r="N354" s="1290" t="s">
        <v>2316</v>
      </c>
      <c r="O354" s="1314"/>
      <c r="P354" s="1314"/>
      <c r="Q354" s="3136" t="s">
        <v>121</v>
      </c>
      <c r="R354" s="1290" t="s">
        <v>2315</v>
      </c>
      <c r="S354" s="1314"/>
      <c r="T354" s="1314"/>
      <c r="U354" s="1314"/>
      <c r="V354" s="1314"/>
      <c r="W354" s="1314"/>
      <c r="X354" s="1315"/>
      <c r="Y354" s="1295"/>
      <c r="Z354" s="1292"/>
      <c r="AA354" s="1292"/>
      <c r="AB354" s="1293"/>
      <c r="AC354" s="1533"/>
      <c r="AD354" s="1534"/>
      <c r="AE354" s="1534"/>
      <c r="AF354" s="1535"/>
      <c r="AI354" s="3056" t="str">
        <f>"2B:"&amp;IF(AND(I354="□",M354="□",Q354="□",I355="□",Q355="□"),"koriha_rryoho1_code:0:koriha_sryoho_code:0:koriha_gengo_code:0:riha_seisin_code:0:koriha_other_code:0",IF(I354="■","koriha_rryoho1_code:2","koriha_rryoho1_code:1")
&amp;IF(M354="■",":koriha_sryoho_code:2",":koriha_sryoho_code:1")
&amp;IF(Q354="■",":koriha_gengo_code:2",":koriha_gengo_code:1")
&amp;IF(I355="■",":riha_seisin_code:2",":riha_seisin_code:1")
&amp;IF(Q355="■",":koriha_other_code:2",":koriha_other_code:1"))</f>
        <v>2B:koriha_rryoho1_code:0:koriha_sryoho_code:0:koriha_gengo_code:0:riha_seisin_code:0:koriha_other_code:0</v>
      </c>
    </row>
    <row r="355" spans="1:36" ht="18.75" hidden="1" customHeight="1">
      <c r="A355" s="735"/>
      <c r="B355" s="1407"/>
      <c r="C355" s="1303"/>
      <c r="D355" s="1304"/>
      <c r="E355" s="1305"/>
      <c r="F355" s="1304"/>
      <c r="G355" s="1275"/>
      <c r="H355" s="1542"/>
      <c r="I355" s="3069" t="s">
        <v>121</v>
      </c>
      <c r="J355" s="1296" t="s">
        <v>2314</v>
      </c>
      <c r="K355" s="1330"/>
      <c r="L355" s="1330"/>
      <c r="M355" s="1330"/>
      <c r="N355" s="1330"/>
      <c r="O355" s="1330"/>
      <c r="P355" s="1330"/>
      <c r="Q355" s="3062" t="s">
        <v>121</v>
      </c>
      <c r="R355" s="1296" t="s">
        <v>2313</v>
      </c>
      <c r="S355" s="1403"/>
      <c r="T355" s="1330"/>
      <c r="U355" s="1330"/>
      <c r="V355" s="1330"/>
      <c r="W355" s="1330"/>
      <c r="X355" s="1356"/>
      <c r="Y355" s="1295"/>
      <c r="Z355" s="1292"/>
      <c r="AA355" s="1292"/>
      <c r="AB355" s="1293"/>
      <c r="AC355" s="1533"/>
      <c r="AD355" s="1534"/>
      <c r="AE355" s="1534"/>
      <c r="AF355" s="1535"/>
      <c r="AI355" s="3056"/>
    </row>
    <row r="356" spans="1:36" ht="18.75" hidden="1" customHeight="1">
      <c r="A356" s="735"/>
      <c r="B356" s="1407"/>
      <c r="C356" s="1303"/>
      <c r="D356" s="1304"/>
      <c r="E356" s="1305"/>
      <c r="F356" s="1304"/>
      <c r="G356" s="1275"/>
      <c r="H356" s="1313" t="s">
        <v>1265</v>
      </c>
      <c r="I356" s="3137" t="s">
        <v>121</v>
      </c>
      <c r="J356" s="1298" t="s">
        <v>1230</v>
      </c>
      <c r="K356" s="1298"/>
      <c r="L356" s="3065" t="s">
        <v>121</v>
      </c>
      <c r="M356" s="1298" t="s">
        <v>1256</v>
      </c>
      <c r="N356" s="1298"/>
      <c r="O356" s="3065" t="s">
        <v>121</v>
      </c>
      <c r="P356" s="1298" t="s">
        <v>1257</v>
      </c>
      <c r="Q356" s="1307"/>
      <c r="R356" s="1307"/>
      <c r="S356" s="1307"/>
      <c r="T356" s="1307"/>
      <c r="U356" s="1314"/>
      <c r="V356" s="1314"/>
      <c r="W356" s="1314"/>
      <c r="X356" s="1315"/>
      <c r="Y356" s="1295"/>
      <c r="Z356" s="1292"/>
      <c r="AA356" s="1292"/>
      <c r="AB356" s="1293"/>
      <c r="AC356" s="1533"/>
      <c r="AD356" s="1534"/>
      <c r="AE356" s="1534"/>
      <c r="AF356" s="1535"/>
      <c r="AI356" s="3056" t="str">
        <f>"2B:field225:" &amp; IF(I356="■",1,IF(L356="■",2,IF(O356="■",3,0)))</f>
        <v>2B:field225:0</v>
      </c>
    </row>
    <row r="357" spans="1:36" ht="18.75" hidden="1" customHeight="1">
      <c r="A357" s="735"/>
      <c r="B357" s="1407"/>
      <c r="C357" s="1303"/>
      <c r="D357" s="1304"/>
      <c r="E357" s="1305"/>
      <c r="F357" s="1304"/>
      <c r="G357" s="1275"/>
      <c r="H357" s="1409" t="s">
        <v>1266</v>
      </c>
      <c r="I357" s="3137" t="s">
        <v>121</v>
      </c>
      <c r="J357" s="1298" t="s">
        <v>1230</v>
      </c>
      <c r="K357" s="1298"/>
      <c r="L357" s="3065" t="s">
        <v>121</v>
      </c>
      <c r="M357" s="1298" t="s">
        <v>1267</v>
      </c>
      <c r="N357" s="1298"/>
      <c r="O357" s="3065" t="s">
        <v>121</v>
      </c>
      <c r="P357" s="1298" t="s">
        <v>1268</v>
      </c>
      <c r="Q357" s="1326"/>
      <c r="R357" s="3065" t="s">
        <v>121</v>
      </c>
      <c r="S357" s="1298" t="s">
        <v>1269</v>
      </c>
      <c r="T357" s="1326"/>
      <c r="U357" s="1326"/>
      <c r="V357" s="1326"/>
      <c r="W357" s="1326"/>
      <c r="X357" s="1327"/>
      <c r="Y357" s="1295"/>
      <c r="Z357" s="1292"/>
      <c r="AA357" s="1292"/>
      <c r="AB357" s="1293"/>
      <c r="AC357" s="1533"/>
      <c r="AD357" s="1534"/>
      <c r="AE357" s="1534"/>
      <c r="AF357" s="1535"/>
      <c r="AI357" s="3056" t="str">
        <f>"2B:serteikyo_kyoka_code:" &amp; IF(I357="■",1,IF(L357="■",6,IF(O357="■",5,IF(R357="■",7,0))))</f>
        <v>2B:serteikyo_kyoka_code:0</v>
      </c>
    </row>
    <row r="358" spans="1:36" ht="18.75" hidden="1" customHeight="1">
      <c r="A358" s="735"/>
      <c r="B358" s="1407"/>
      <c r="C358" s="1303"/>
      <c r="D358" s="1304"/>
      <c r="E358" s="1305"/>
      <c r="F358" s="1304"/>
      <c r="G358" s="1275"/>
      <c r="H358" s="1539" t="s">
        <v>2390</v>
      </c>
      <c r="I358" s="3160" t="s">
        <v>121</v>
      </c>
      <c r="J358" s="3161" t="s">
        <v>1230</v>
      </c>
      <c r="K358" s="3161"/>
      <c r="L358" s="3160" t="s">
        <v>121</v>
      </c>
      <c r="M358" s="3161" t="s">
        <v>1248</v>
      </c>
      <c r="N358" s="3161"/>
      <c r="O358" s="1402"/>
      <c r="P358" s="1402"/>
      <c r="Q358" s="1402"/>
      <c r="R358" s="1402"/>
      <c r="S358" s="1402"/>
      <c r="T358" s="1402"/>
      <c r="U358" s="1402"/>
      <c r="V358" s="1402"/>
      <c r="W358" s="1402"/>
      <c r="X358" s="1291"/>
      <c r="Y358" s="1295"/>
      <c r="Z358" s="1292"/>
      <c r="AA358" s="1292"/>
      <c r="AB358" s="1293"/>
      <c r="AC358" s="1533"/>
      <c r="AD358" s="1534"/>
      <c r="AE358" s="1534"/>
      <c r="AF358" s="1535"/>
      <c r="AI358" s="3056" t="str">
        <f>"2B:field221:" &amp; IF(I358="■",1,IF(L358="■",2,0))</f>
        <v>2B:field221:0</v>
      </c>
    </row>
    <row r="359" spans="1:36" ht="18.75" hidden="1" customHeight="1">
      <c r="A359" s="735"/>
      <c r="B359" s="1407"/>
      <c r="C359" s="1303"/>
      <c r="D359" s="1304"/>
      <c r="E359" s="1305"/>
      <c r="F359" s="1304"/>
      <c r="G359" s="1275"/>
      <c r="H359" s="1540"/>
      <c r="I359" s="3160"/>
      <c r="J359" s="3161"/>
      <c r="K359" s="3161"/>
      <c r="L359" s="3160"/>
      <c r="M359" s="3161"/>
      <c r="N359" s="3161"/>
      <c r="O359" s="1403"/>
      <c r="P359" s="1403"/>
      <c r="Q359" s="1403"/>
      <c r="R359" s="1403"/>
      <c r="S359" s="1403"/>
      <c r="T359" s="1403"/>
      <c r="U359" s="1403"/>
      <c r="V359" s="1403"/>
      <c r="W359" s="1403"/>
      <c r="X359" s="1297"/>
      <c r="Y359" s="1295"/>
      <c r="Z359" s="1292"/>
      <c r="AA359" s="1292"/>
      <c r="AB359" s="1293"/>
      <c r="AC359" s="1533"/>
      <c r="AD359" s="1534"/>
      <c r="AE359" s="1534"/>
      <c r="AF359" s="1535"/>
    </row>
    <row r="360" spans="1:36" ht="18.75" hidden="1" customHeight="1">
      <c r="A360" s="736"/>
      <c r="B360" s="1316"/>
      <c r="C360" s="1346"/>
      <c r="D360" s="1348"/>
      <c r="E360" s="1317"/>
      <c r="F360" s="1318"/>
      <c r="G360" s="1361"/>
      <c r="H360" s="3134" t="s">
        <v>2288</v>
      </c>
      <c r="I360" s="3060" t="s">
        <v>121</v>
      </c>
      <c r="J360" s="3130" t="s">
        <v>1230</v>
      </c>
      <c r="K360" s="3130"/>
      <c r="L360" s="3059" t="s">
        <v>121</v>
      </c>
      <c r="M360" s="3130" t="s">
        <v>2287</v>
      </c>
      <c r="N360" s="3133"/>
      <c r="O360" s="3059" t="s">
        <v>121</v>
      </c>
      <c r="P360" s="3132" t="s">
        <v>2286</v>
      </c>
      <c r="Q360" s="3131"/>
      <c r="R360" s="3059" t="s">
        <v>121</v>
      </c>
      <c r="S360" s="3130" t="s">
        <v>2285</v>
      </c>
      <c r="T360" s="3131"/>
      <c r="U360" s="3059" t="s">
        <v>121</v>
      </c>
      <c r="V360" s="3130" t="s">
        <v>2284</v>
      </c>
      <c r="W360" s="3129"/>
      <c r="X360" s="3128"/>
      <c r="Y360" s="1323"/>
      <c r="Z360" s="1323"/>
      <c r="AA360" s="1323"/>
      <c r="AB360" s="1324"/>
      <c r="AC360" s="1536"/>
      <c r="AD360" s="1537"/>
      <c r="AE360" s="1537"/>
      <c r="AF360" s="1538"/>
      <c r="AG360" s="3056"/>
      <c r="AH360" s="3056"/>
      <c r="AI360" s="3056" t="str">
        <f>"2B:shoguukaizen_code:"&amp;IF(I360="■",1,IF(L360="■",7,IF(O360="■",8,IF(R360="■",9,IF(U360="■","A",0)))))</f>
        <v>2B:shoguukaizen_code:0</v>
      </c>
    </row>
    <row r="361" spans="1:36" ht="18.75" hidden="1" customHeight="1">
      <c r="A361" s="1276"/>
      <c r="B361" s="1405"/>
      <c r="C361" s="1333"/>
      <c r="D361" s="1335"/>
      <c r="E361" s="1351"/>
      <c r="F361" s="1335"/>
      <c r="G361" s="1272"/>
      <c r="H361" s="1545" t="s">
        <v>1226</v>
      </c>
      <c r="I361" s="3119" t="s">
        <v>121</v>
      </c>
      <c r="J361" s="1270" t="s">
        <v>1227</v>
      </c>
      <c r="K361" s="3139"/>
      <c r="L361" s="1337"/>
      <c r="M361" s="3138" t="s">
        <v>121</v>
      </c>
      <c r="N361" s="1270" t="s">
        <v>2306</v>
      </c>
      <c r="O361" s="1334"/>
      <c r="P361" s="1334"/>
      <c r="Q361" s="3138" t="s">
        <v>121</v>
      </c>
      <c r="R361" s="1270" t="s">
        <v>2305</v>
      </c>
      <c r="S361" s="1334"/>
      <c r="T361" s="1334"/>
      <c r="U361" s="3138" t="s">
        <v>121</v>
      </c>
      <c r="V361" s="1270" t="s">
        <v>2304</v>
      </c>
      <c r="W361" s="1334"/>
      <c r="X361" s="1336"/>
      <c r="Y361" s="3119" t="s">
        <v>121</v>
      </c>
      <c r="Z361" s="1270" t="s">
        <v>1229</v>
      </c>
      <c r="AA361" s="1270"/>
      <c r="AB361" s="1286"/>
      <c r="AC361" s="1530"/>
      <c r="AD361" s="1531"/>
      <c r="AE361" s="1531"/>
      <c r="AF361" s="1532"/>
      <c r="AG361" s="3056" t="str">
        <f>"ser_code = '" &amp; IF(A370="■","2B","") &amp; "'"</f>
        <v>ser_code = ''</v>
      </c>
      <c r="AH361" s="3056" t="str">
        <f>"2B:jininkbn_code:"&amp;IF(F370="■",1,0)</f>
        <v>2B:jininkbn_code:0</v>
      </c>
      <c r="AI361" s="3056" t="str">
        <f>"2B:yakan_kinmu_code:" &amp; IF(I361="■",1,IF(M361="■",2,IF(Q361="■",3,IF(U361="■",7,IF(I362="■",5,IF(M362="■",6,0))))))</f>
        <v>2B:yakan_kinmu_code:0</v>
      </c>
      <c r="AJ361" s="3056" t="str">
        <f>"2B:field203:" &amp; IF(Y361="■",1,IF(Y362="■",2,0))</f>
        <v>2B:field203:0</v>
      </c>
    </row>
    <row r="362" spans="1:36" ht="18.75" hidden="1" customHeight="1">
      <c r="A362" s="735"/>
      <c r="B362" s="1407"/>
      <c r="C362" s="1303"/>
      <c r="D362" s="1304"/>
      <c r="E362" s="1305"/>
      <c r="F362" s="1304"/>
      <c r="G362" s="1275"/>
      <c r="H362" s="1542"/>
      <c r="I362" s="3069" t="s">
        <v>121</v>
      </c>
      <c r="J362" s="1296" t="s">
        <v>2303</v>
      </c>
      <c r="K362" s="1309"/>
      <c r="L362" s="1355"/>
      <c r="M362" s="3062" t="s">
        <v>121</v>
      </c>
      <c r="N362" s="1296" t="s">
        <v>1228</v>
      </c>
      <c r="O362" s="1403"/>
      <c r="P362" s="1403"/>
      <c r="Q362" s="1403"/>
      <c r="R362" s="1403"/>
      <c r="S362" s="1403"/>
      <c r="T362" s="1403"/>
      <c r="U362" s="1403"/>
      <c r="V362" s="1403"/>
      <c r="W362" s="1403"/>
      <c r="X362" s="1297"/>
      <c r="Y362" s="3122" t="s">
        <v>121</v>
      </c>
      <c r="Z362" s="1273" t="s">
        <v>1234</v>
      </c>
      <c r="AA362" s="1292"/>
      <c r="AB362" s="1293"/>
      <c r="AC362" s="1533"/>
      <c r="AD362" s="1534"/>
      <c r="AE362" s="1534"/>
      <c r="AF362" s="1535"/>
      <c r="AG362" s="3056" t="str">
        <f>"2B:sisetukbn_code:"&amp;IF(D370="■","3",0)</f>
        <v>2B:sisetukbn_code:0</v>
      </c>
      <c r="AH362" s="3056"/>
      <c r="AI362" s="3056"/>
      <c r="AJ362" s="3056"/>
    </row>
    <row r="363" spans="1:36" ht="18.75" hidden="1" customHeight="1">
      <c r="A363" s="735"/>
      <c r="B363" s="1407"/>
      <c r="C363" s="1303"/>
      <c r="D363" s="1304"/>
      <c r="E363" s="1305"/>
      <c r="F363" s="1304"/>
      <c r="G363" s="1275"/>
      <c r="H363" s="1541" t="s">
        <v>90</v>
      </c>
      <c r="I363" s="3137" t="s">
        <v>121</v>
      </c>
      <c r="J363" s="1290" t="s">
        <v>1230</v>
      </c>
      <c r="K363" s="1290"/>
      <c r="L363" s="1329"/>
      <c r="M363" s="3136" t="s">
        <v>121</v>
      </c>
      <c r="N363" s="1290" t="s">
        <v>1231</v>
      </c>
      <c r="O363" s="1290"/>
      <c r="P363" s="1329"/>
      <c r="Q363" s="3136" t="s">
        <v>121</v>
      </c>
      <c r="R363" s="1402" t="s">
        <v>2302</v>
      </c>
      <c r="S363" s="1402"/>
      <c r="T363" s="1402"/>
      <c r="U363" s="1314"/>
      <c r="V363" s="1329"/>
      <c r="W363" s="1402"/>
      <c r="X363" s="1315"/>
      <c r="Y363" s="1295"/>
      <c r="Z363" s="1292"/>
      <c r="AA363" s="1292"/>
      <c r="AB363" s="1293"/>
      <c r="AC363" s="1533"/>
      <c r="AD363" s="1534"/>
      <c r="AE363" s="1534"/>
      <c r="AF363" s="1535"/>
      <c r="AG363" s="3056"/>
      <c r="AH363" s="3056"/>
      <c r="AI363" s="3056" t="str">
        <f>"2B:"&amp;IF(AND(I363="□",M363="□",Q363="□",I364="□",M364="□"),"ketu_doctor_code:0",IF(I363="■","ketu_doctor_code:1:field197:1:ketu_kangos_code:1:ketu_kshoku_code:1",IF(M363="■","ketu_doctor_code:2","ketu_doctor_code:1")
&amp;IF(Q363="■",":field197:2",":field197:1")
&amp;IF(I364="■",":ketu_kangos_code:2",":ketu_kangos_code:1")
&amp;IF(M364="■",":ketu_kshoku_code:2",":ketu_kshoku_code:1")))</f>
        <v>2B:ketu_doctor_code:0</v>
      </c>
      <c r="AJ363" s="3056"/>
    </row>
    <row r="364" spans="1:36" ht="18.75" hidden="1" customHeight="1">
      <c r="A364" s="735"/>
      <c r="B364" s="1407"/>
      <c r="C364" s="1303"/>
      <c r="D364" s="1304"/>
      <c r="E364" s="1305"/>
      <c r="F364" s="1304"/>
      <c r="G364" s="1275"/>
      <c r="H364" s="1542"/>
      <c r="I364" s="3069" t="s">
        <v>121</v>
      </c>
      <c r="J364" s="1403" t="s">
        <v>2301</v>
      </c>
      <c r="K364" s="1403"/>
      <c r="L364" s="1403"/>
      <c r="M364" s="3062" t="s">
        <v>121</v>
      </c>
      <c r="N364" s="1403" t="s">
        <v>2300</v>
      </c>
      <c r="O364" s="1355"/>
      <c r="P364" s="1403"/>
      <c r="Q364" s="1403"/>
      <c r="R364" s="1355"/>
      <c r="S364" s="1403"/>
      <c r="T364" s="1403"/>
      <c r="U364" s="1330"/>
      <c r="V364" s="1355"/>
      <c r="W364" s="1403"/>
      <c r="X364" s="1356"/>
      <c r="Y364" s="1295"/>
      <c r="Z364" s="1292"/>
      <c r="AA364" s="1292"/>
      <c r="AB364" s="1293"/>
      <c r="AC364" s="1533"/>
      <c r="AD364" s="1534"/>
      <c r="AE364" s="1534"/>
      <c r="AF364" s="1535"/>
    </row>
    <row r="365" spans="1:36" s="3056" customFormat="1" ht="18.75" hidden="1" customHeight="1">
      <c r="A365" s="735"/>
      <c r="B365" s="1407"/>
      <c r="C365" s="1287"/>
      <c r="D365" s="1288"/>
      <c r="E365" s="1275"/>
      <c r="F365" s="1289"/>
      <c r="G365" s="1305"/>
      <c r="H365" s="3193" t="s">
        <v>1241</v>
      </c>
      <c r="I365" s="3096" t="s">
        <v>121</v>
      </c>
      <c r="J365" s="3091" t="s">
        <v>1242</v>
      </c>
      <c r="K365" s="3095"/>
      <c r="L365" s="3094"/>
      <c r="M365" s="3093" t="s">
        <v>121</v>
      </c>
      <c r="N365" s="3091" t="s">
        <v>1243</v>
      </c>
      <c r="O365" s="3095"/>
      <c r="P365" s="3192"/>
      <c r="Q365" s="3192"/>
      <c r="R365" s="3192"/>
      <c r="S365" s="3192"/>
      <c r="T365" s="3192"/>
      <c r="U365" s="3192"/>
      <c r="V365" s="3192"/>
      <c r="W365" s="3192"/>
      <c r="X365" s="3191"/>
      <c r="Y365" s="1295"/>
      <c r="Z365" s="1292"/>
      <c r="AA365" s="1292"/>
      <c r="AB365" s="1293"/>
      <c r="AC365" s="1533"/>
      <c r="AD365" s="1534"/>
      <c r="AE365" s="1534"/>
      <c r="AF365" s="1535"/>
      <c r="AI365" s="3056" t="str">
        <f>"2B:sintaikousoku_code:" &amp; IF(I365="■",1,IF(M365="■",2,0))</f>
        <v>2B:sintaikousoku_code:0</v>
      </c>
    </row>
    <row r="366" spans="1:36" ht="19.5" hidden="1" customHeight="1">
      <c r="A366" s="735"/>
      <c r="B366" s="1407"/>
      <c r="C366" s="1303"/>
      <c r="D366" s="1304"/>
      <c r="E366" s="1275"/>
      <c r="F366" s="1289"/>
      <c r="G366" s="1305"/>
      <c r="H366" s="1306" t="s">
        <v>1244</v>
      </c>
      <c r="I366" s="3137" t="s">
        <v>121</v>
      </c>
      <c r="J366" s="1298" t="s">
        <v>1242</v>
      </c>
      <c r="K366" s="1299"/>
      <c r="L366" s="1300"/>
      <c r="M366" s="3065" t="s">
        <v>121</v>
      </c>
      <c r="N366" s="1298" t="s">
        <v>1245</v>
      </c>
      <c r="O366" s="1307"/>
      <c r="P366" s="1298"/>
      <c r="Q366" s="1307"/>
      <c r="R366" s="1307"/>
      <c r="S366" s="1307"/>
      <c r="T366" s="1307"/>
      <c r="U366" s="1307"/>
      <c r="V366" s="1307"/>
      <c r="W366" s="1307"/>
      <c r="X366" s="1308"/>
      <c r="Y366" s="1292"/>
      <c r="Z366" s="1292"/>
      <c r="AA366" s="1292"/>
      <c r="AB366" s="1293"/>
      <c r="AC366" s="1533"/>
      <c r="AD366" s="1534"/>
      <c r="AE366" s="1534"/>
      <c r="AF366" s="1535"/>
      <c r="AI366" s="3056" t="str">
        <f>"2B:field223:" &amp; IF(I366="■",1,IF(M366="■",2,0))</f>
        <v>2B:field223:0</v>
      </c>
    </row>
    <row r="367" spans="1:36" ht="19.5" hidden="1" customHeight="1">
      <c r="A367" s="735"/>
      <c r="B367" s="1407"/>
      <c r="C367" s="1303"/>
      <c r="D367" s="1304"/>
      <c r="E367" s="1275"/>
      <c r="F367" s="1289"/>
      <c r="G367" s="1305"/>
      <c r="H367" s="1306" t="s">
        <v>1246</v>
      </c>
      <c r="I367" s="3137" t="s">
        <v>121</v>
      </c>
      <c r="J367" s="1298" t="s">
        <v>1242</v>
      </c>
      <c r="K367" s="1299"/>
      <c r="L367" s="1300"/>
      <c r="M367" s="3065" t="s">
        <v>121</v>
      </c>
      <c r="N367" s="1298" t="s">
        <v>1245</v>
      </c>
      <c r="O367" s="1307"/>
      <c r="P367" s="1298"/>
      <c r="Q367" s="1307"/>
      <c r="R367" s="1307"/>
      <c r="S367" s="1307"/>
      <c r="T367" s="1307"/>
      <c r="U367" s="1307"/>
      <c r="V367" s="1307"/>
      <c r="W367" s="1307"/>
      <c r="X367" s="1308"/>
      <c r="Y367" s="1292"/>
      <c r="Z367" s="1292"/>
      <c r="AA367" s="1292"/>
      <c r="AB367" s="1293"/>
      <c r="AC367" s="1533"/>
      <c r="AD367" s="1534"/>
      <c r="AE367" s="1534"/>
      <c r="AF367" s="1535"/>
      <c r="AI367" s="3056" t="str">
        <f>"2B:field232:" &amp; IF(I367="■",1,IF(M367="■",2,0))</f>
        <v>2B:field232:0</v>
      </c>
    </row>
    <row r="368" spans="1:36" ht="18.75" hidden="1" customHeight="1">
      <c r="A368" s="735"/>
      <c r="B368" s="1407"/>
      <c r="C368" s="1303"/>
      <c r="D368" s="1304"/>
      <c r="E368" s="1305"/>
      <c r="F368" s="1304"/>
      <c r="G368" s="1275"/>
      <c r="H368" s="1409" t="s">
        <v>2295</v>
      </c>
      <c r="I368" s="3137" t="s">
        <v>121</v>
      </c>
      <c r="J368" s="1298" t="s">
        <v>1227</v>
      </c>
      <c r="K368" s="1299"/>
      <c r="L368" s="1300"/>
      <c r="M368" s="3065" t="s">
        <v>121</v>
      </c>
      <c r="N368" s="1298" t="s">
        <v>2291</v>
      </c>
      <c r="O368" s="1307"/>
      <c r="P368" s="1307"/>
      <c r="Q368" s="1307"/>
      <c r="R368" s="1307"/>
      <c r="S368" s="1307"/>
      <c r="T368" s="1307"/>
      <c r="U368" s="1307"/>
      <c r="V368" s="1307"/>
      <c r="W368" s="1307"/>
      <c r="X368" s="1308"/>
      <c r="Y368" s="1295"/>
      <c r="Z368" s="1292"/>
      <c r="AA368" s="1292"/>
      <c r="AB368" s="1293"/>
      <c r="AC368" s="1533"/>
      <c r="AD368" s="1534"/>
      <c r="AE368" s="1534"/>
      <c r="AF368" s="1535"/>
      <c r="AI368" s="3056" t="str">
        <f>"2B:field190:" &amp; IF(I368="■",1,IF(M368="■",2,0))</f>
        <v>2B:field190:0</v>
      </c>
    </row>
    <row r="369" spans="1:36" ht="18.75" hidden="1" customHeight="1">
      <c r="A369" s="735"/>
      <c r="B369" s="1407"/>
      <c r="C369" s="1303"/>
      <c r="D369" s="1304"/>
      <c r="E369" s="1305"/>
      <c r="F369" s="1304"/>
      <c r="G369" s="1275"/>
      <c r="H369" s="1409" t="s">
        <v>2293</v>
      </c>
      <c r="I369" s="3137" t="s">
        <v>121</v>
      </c>
      <c r="J369" s="1298" t="s">
        <v>1227</v>
      </c>
      <c r="K369" s="1299"/>
      <c r="L369" s="1300"/>
      <c r="M369" s="3065" t="s">
        <v>121</v>
      </c>
      <c r="N369" s="1298" t="s">
        <v>2291</v>
      </c>
      <c r="O369" s="1307"/>
      <c r="P369" s="1307"/>
      <c r="Q369" s="1307"/>
      <c r="R369" s="1307"/>
      <c r="S369" s="1307"/>
      <c r="T369" s="1307"/>
      <c r="U369" s="1307"/>
      <c r="V369" s="1307"/>
      <c r="W369" s="1307"/>
      <c r="X369" s="1308"/>
      <c r="Y369" s="1295"/>
      <c r="Z369" s="1292"/>
      <c r="AA369" s="1292"/>
      <c r="AB369" s="1293"/>
      <c r="AC369" s="1533"/>
      <c r="AD369" s="1534"/>
      <c r="AE369" s="1534"/>
      <c r="AF369" s="1535"/>
      <c r="AI369" s="3056" t="str">
        <f>"2B:field191:" &amp; IF(I369="■",1,IF(M369="■",2,0))</f>
        <v>2B:field191:0</v>
      </c>
    </row>
    <row r="370" spans="1:36" ht="18.75" hidden="1" customHeight="1">
      <c r="A370" s="3069" t="s">
        <v>121</v>
      </c>
      <c r="B370" s="1407" t="s">
        <v>2494</v>
      </c>
      <c r="C370" s="1303" t="s">
        <v>542</v>
      </c>
      <c r="D370" s="3069" t="s">
        <v>121</v>
      </c>
      <c r="E370" s="1305" t="s">
        <v>2497</v>
      </c>
      <c r="F370" s="3069" t="s">
        <v>121</v>
      </c>
      <c r="G370" s="1275" t="s">
        <v>2296</v>
      </c>
      <c r="H370" s="1409" t="s">
        <v>1318</v>
      </c>
      <c r="I370" s="3137" t="s">
        <v>121</v>
      </c>
      <c r="J370" s="1298" t="s">
        <v>1230</v>
      </c>
      <c r="K370" s="1299"/>
      <c r="L370" s="3065" t="s">
        <v>121</v>
      </c>
      <c r="M370" s="1298" t="s">
        <v>1248</v>
      </c>
      <c r="N370" s="1307"/>
      <c r="O370" s="1307"/>
      <c r="P370" s="1307"/>
      <c r="Q370" s="1307"/>
      <c r="R370" s="1307"/>
      <c r="S370" s="1307"/>
      <c r="T370" s="1307"/>
      <c r="U370" s="1307"/>
      <c r="V370" s="1307"/>
      <c r="W370" s="1307"/>
      <c r="X370" s="1308"/>
      <c r="Y370" s="1295"/>
      <c r="Z370" s="1292"/>
      <c r="AA370" s="1292"/>
      <c r="AB370" s="1293"/>
      <c r="AC370" s="1533"/>
      <c r="AD370" s="1534"/>
      <c r="AE370" s="1534"/>
      <c r="AF370" s="1535"/>
      <c r="AI370" s="3056" t="str">
        <f>"2B:jyakuninti_uke_code:" &amp; IF(I370="■",1,IF(L370="■",2,0))</f>
        <v>2B:jyakuninti_uke_code:0</v>
      </c>
    </row>
    <row r="371" spans="1:36" ht="18.75" hidden="1" customHeight="1">
      <c r="A371" s="1304"/>
      <c r="B371" s="1407"/>
      <c r="C371" s="1303"/>
      <c r="D371" s="1304"/>
      <c r="E371" s="1305"/>
      <c r="F371" s="1304"/>
      <c r="G371" s="1275"/>
      <c r="H371" s="1409" t="s">
        <v>1324</v>
      </c>
      <c r="I371" s="3137" t="s">
        <v>121</v>
      </c>
      <c r="J371" s="1298" t="s">
        <v>1239</v>
      </c>
      <c r="K371" s="1299"/>
      <c r="L371" s="1300"/>
      <c r="M371" s="3065" t="s">
        <v>121</v>
      </c>
      <c r="N371" s="1298" t="s">
        <v>1240</v>
      </c>
      <c r="O371" s="1307"/>
      <c r="P371" s="1307"/>
      <c r="Q371" s="1307"/>
      <c r="R371" s="1307"/>
      <c r="S371" s="1307"/>
      <c r="T371" s="1307"/>
      <c r="U371" s="1307"/>
      <c r="V371" s="1307"/>
      <c r="W371" s="1307"/>
      <c r="X371" s="1308"/>
      <c r="Y371" s="1295"/>
      <c r="Z371" s="1292"/>
      <c r="AA371" s="1292"/>
      <c r="AB371" s="1293"/>
      <c r="AC371" s="1533"/>
      <c r="AD371" s="1534"/>
      <c r="AE371" s="1534"/>
      <c r="AF371" s="1535"/>
      <c r="AI371" s="3056" t="str">
        <f>"2B:sougei_code:" &amp; IF(I371="■",1,IF(M371="■",2,0))</f>
        <v>2B:sougei_code:0</v>
      </c>
    </row>
    <row r="372" spans="1:36" ht="19.5" hidden="1" customHeight="1">
      <c r="A372" s="735"/>
      <c r="B372" s="1407"/>
      <c r="C372" s="1303"/>
      <c r="D372" s="1304"/>
      <c r="E372" s="1305"/>
      <c r="F372" s="1304"/>
      <c r="G372" s="1275"/>
      <c r="H372" s="1306" t="s">
        <v>1325</v>
      </c>
      <c r="I372" s="3137" t="s">
        <v>121</v>
      </c>
      <c r="J372" s="1298" t="s">
        <v>1230</v>
      </c>
      <c r="K372" s="1298"/>
      <c r="L372" s="3065" t="s">
        <v>121</v>
      </c>
      <c r="M372" s="1298" t="s">
        <v>1248</v>
      </c>
      <c r="N372" s="1298"/>
      <c r="O372" s="1307"/>
      <c r="P372" s="1298"/>
      <c r="Q372" s="1307"/>
      <c r="R372" s="1307"/>
      <c r="S372" s="1307"/>
      <c r="T372" s="1307"/>
      <c r="U372" s="1307"/>
      <c r="V372" s="1307"/>
      <c r="W372" s="1307"/>
      <c r="X372" s="1308"/>
      <c r="Y372" s="1292"/>
      <c r="Z372" s="1292"/>
      <c r="AA372" s="1292"/>
      <c r="AB372" s="1293"/>
      <c r="AC372" s="1533"/>
      <c r="AD372" s="1534"/>
      <c r="AE372" s="1534"/>
      <c r="AF372" s="1535"/>
      <c r="AI372" s="3056" t="str">
        <f>"2B:field224:" &amp; IF(I372="■",1,IF(L372="■",2,0))</f>
        <v>2B:field224:0</v>
      </c>
    </row>
    <row r="373" spans="1:36" ht="18.75" hidden="1" customHeight="1">
      <c r="A373" s="735"/>
      <c r="B373" s="1407"/>
      <c r="C373" s="1303"/>
      <c r="D373" s="1304"/>
      <c r="E373" s="1305"/>
      <c r="F373" s="1304"/>
      <c r="G373" s="1275"/>
      <c r="H373" s="1409" t="s">
        <v>145</v>
      </c>
      <c r="I373" s="3137" t="s">
        <v>121</v>
      </c>
      <c r="J373" s="1298" t="s">
        <v>1230</v>
      </c>
      <c r="K373" s="1299"/>
      <c r="L373" s="3065" t="s">
        <v>121</v>
      </c>
      <c r="M373" s="1298" t="s">
        <v>1248</v>
      </c>
      <c r="N373" s="1307"/>
      <c r="O373" s="1307"/>
      <c r="P373" s="1307"/>
      <c r="Q373" s="1307"/>
      <c r="R373" s="1307"/>
      <c r="S373" s="1307"/>
      <c r="T373" s="1307"/>
      <c r="U373" s="1307"/>
      <c r="V373" s="1307"/>
      <c r="W373" s="1307"/>
      <c r="X373" s="1308"/>
      <c r="Y373" s="1295"/>
      <c r="Z373" s="1292"/>
      <c r="AA373" s="1292"/>
      <c r="AB373" s="1293"/>
      <c r="AC373" s="1533"/>
      <c r="AD373" s="1534"/>
      <c r="AE373" s="1534"/>
      <c r="AF373" s="1535"/>
      <c r="AI373" s="3056" t="str">
        <f>"2B:ryouyoushoku_code:" &amp; IF(I373="■",1,IF(L373="■",2,0))</f>
        <v>2B:ryouyoushoku_code:0</v>
      </c>
    </row>
    <row r="374" spans="1:36" ht="18.75" hidden="1" customHeight="1">
      <c r="A374" s="735"/>
      <c r="B374" s="1407"/>
      <c r="C374" s="1303"/>
      <c r="D374" s="1304"/>
      <c r="E374" s="1305"/>
      <c r="F374" s="1304"/>
      <c r="G374" s="1275"/>
      <c r="H374" s="1409" t="s">
        <v>1260</v>
      </c>
      <c r="I374" s="3137" t="s">
        <v>121</v>
      </c>
      <c r="J374" s="1298" t="s">
        <v>1230</v>
      </c>
      <c r="K374" s="1298"/>
      <c r="L374" s="3065" t="s">
        <v>121</v>
      </c>
      <c r="M374" s="1298" t="s">
        <v>1256</v>
      </c>
      <c r="N374" s="1298"/>
      <c r="O374" s="3065" t="s">
        <v>121</v>
      </c>
      <c r="P374" s="1298" t="s">
        <v>1257</v>
      </c>
      <c r="Q374" s="1307"/>
      <c r="R374" s="1307"/>
      <c r="S374" s="1307"/>
      <c r="T374" s="1307"/>
      <c r="U374" s="1307"/>
      <c r="V374" s="1307"/>
      <c r="W374" s="1307"/>
      <c r="X374" s="1308"/>
      <c r="Y374" s="1295"/>
      <c r="Z374" s="1292"/>
      <c r="AA374" s="1292"/>
      <c r="AB374" s="1293"/>
      <c r="AC374" s="1533"/>
      <c r="AD374" s="1534"/>
      <c r="AE374" s="1534"/>
      <c r="AF374" s="1535"/>
      <c r="AI374" s="3056" t="str">
        <f>"2B:ninti_senmoncare_code:" &amp; IF(I374="■",1,IF(O374="■",3,IF(L374="■",2,0)))</f>
        <v>2B:ninti_senmoncare_code:0</v>
      </c>
    </row>
    <row r="375" spans="1:36" ht="18.75" hidden="1" customHeight="1">
      <c r="A375" s="1304"/>
      <c r="B375" s="1407"/>
      <c r="C375" s="1303"/>
      <c r="D375" s="1304"/>
      <c r="E375" s="1305"/>
      <c r="F375" s="1304"/>
      <c r="G375" s="1275"/>
      <c r="H375" s="1313" t="s">
        <v>1265</v>
      </c>
      <c r="I375" s="3137" t="s">
        <v>121</v>
      </c>
      <c r="J375" s="1298" t="s">
        <v>1230</v>
      </c>
      <c r="K375" s="1298"/>
      <c r="L375" s="3065" t="s">
        <v>121</v>
      </c>
      <c r="M375" s="1298" t="s">
        <v>1256</v>
      </c>
      <c r="N375" s="1298"/>
      <c r="O375" s="3065" t="s">
        <v>121</v>
      </c>
      <c r="P375" s="1298" t="s">
        <v>1257</v>
      </c>
      <c r="Q375" s="1307"/>
      <c r="R375" s="1307"/>
      <c r="S375" s="1307"/>
      <c r="T375" s="1307"/>
      <c r="U375" s="1314"/>
      <c r="V375" s="1314"/>
      <c r="W375" s="1314"/>
      <c r="X375" s="1315"/>
      <c r="Y375" s="1295"/>
      <c r="Z375" s="1292"/>
      <c r="AA375" s="1292"/>
      <c r="AB375" s="1293"/>
      <c r="AC375" s="1533"/>
      <c r="AD375" s="1534"/>
      <c r="AE375" s="1534"/>
      <c r="AF375" s="1535"/>
      <c r="AI375" s="3056" t="str">
        <f>"2B:field225:" &amp; IF(I375="■",1,IF(L375="■",2,IF(O375="■",3,0)))</f>
        <v>2B:field225:0</v>
      </c>
    </row>
    <row r="376" spans="1:36" ht="18.75" hidden="1" customHeight="1">
      <c r="A376" s="735"/>
      <c r="B376" s="1407"/>
      <c r="C376" s="1303"/>
      <c r="D376" s="1304"/>
      <c r="E376" s="1305"/>
      <c r="F376" s="1304"/>
      <c r="G376" s="1275"/>
      <c r="H376" s="1409" t="s">
        <v>1266</v>
      </c>
      <c r="I376" s="3137" t="s">
        <v>121</v>
      </c>
      <c r="J376" s="1298" t="s">
        <v>1230</v>
      </c>
      <c r="K376" s="1298"/>
      <c r="L376" s="3065" t="s">
        <v>121</v>
      </c>
      <c r="M376" s="1298" t="s">
        <v>1267</v>
      </c>
      <c r="N376" s="1298"/>
      <c r="O376" s="3065" t="s">
        <v>121</v>
      </c>
      <c r="P376" s="1298" t="s">
        <v>1268</v>
      </c>
      <c r="Q376" s="1326"/>
      <c r="R376" s="3065" t="s">
        <v>121</v>
      </c>
      <c r="S376" s="1298" t="s">
        <v>1269</v>
      </c>
      <c r="T376" s="1326"/>
      <c r="U376" s="1326"/>
      <c r="V376" s="1326"/>
      <c r="W376" s="1326"/>
      <c r="X376" s="1327"/>
      <c r="Y376" s="1295"/>
      <c r="Z376" s="1292"/>
      <c r="AA376" s="1292"/>
      <c r="AB376" s="1293"/>
      <c r="AC376" s="1533"/>
      <c r="AD376" s="1534"/>
      <c r="AE376" s="1534"/>
      <c r="AF376" s="1535"/>
      <c r="AI376" s="3056" t="str">
        <f>"2B:serteikyo_kyoka_code:" &amp; IF(I376="■",1,IF(L376="■",6,IF(O376="■",5,IF(R376="■",7,0))))</f>
        <v>2B:serteikyo_kyoka_code:0</v>
      </c>
    </row>
    <row r="377" spans="1:36" ht="18.75" hidden="1" customHeight="1">
      <c r="A377" s="735"/>
      <c r="B377" s="1407"/>
      <c r="C377" s="1303"/>
      <c r="D377" s="1304"/>
      <c r="E377" s="1305"/>
      <c r="F377" s="1304"/>
      <c r="G377" s="1275"/>
      <c r="H377" s="1539" t="s">
        <v>2390</v>
      </c>
      <c r="I377" s="3160" t="s">
        <v>121</v>
      </c>
      <c r="J377" s="3161" t="s">
        <v>1230</v>
      </c>
      <c r="K377" s="3161"/>
      <c r="L377" s="3160" t="s">
        <v>121</v>
      </c>
      <c r="M377" s="3161" t="s">
        <v>1248</v>
      </c>
      <c r="N377" s="3161"/>
      <c r="O377" s="1402"/>
      <c r="P377" s="1402"/>
      <c r="Q377" s="1402"/>
      <c r="R377" s="1402"/>
      <c r="S377" s="1402"/>
      <c r="T377" s="1402"/>
      <c r="U377" s="1402"/>
      <c r="V377" s="1402"/>
      <c r="W377" s="1402"/>
      <c r="X377" s="1291"/>
      <c r="Y377" s="1295"/>
      <c r="Z377" s="1292"/>
      <c r="AA377" s="1292"/>
      <c r="AB377" s="1293"/>
      <c r="AC377" s="1533"/>
      <c r="AD377" s="1534"/>
      <c r="AE377" s="1534"/>
      <c r="AF377" s="1535"/>
      <c r="AI377" s="3056" t="str">
        <f>"2B:field221:" &amp; IF(I377="■",1,IF(L377="■",2,0))</f>
        <v>2B:field221:0</v>
      </c>
    </row>
    <row r="378" spans="1:36" ht="18.75" hidden="1" customHeight="1">
      <c r="A378" s="735"/>
      <c r="B378" s="1407"/>
      <c r="C378" s="1303"/>
      <c r="D378" s="1304"/>
      <c r="E378" s="1305"/>
      <c r="F378" s="1304"/>
      <c r="G378" s="1275"/>
      <c r="H378" s="1540"/>
      <c r="I378" s="3160"/>
      <c r="J378" s="3161"/>
      <c r="K378" s="3161"/>
      <c r="L378" s="3160"/>
      <c r="M378" s="3161"/>
      <c r="N378" s="3161"/>
      <c r="O378" s="1403"/>
      <c r="P378" s="1403"/>
      <c r="Q378" s="1403"/>
      <c r="R378" s="1403"/>
      <c r="S378" s="1403"/>
      <c r="T378" s="1403"/>
      <c r="U378" s="1403"/>
      <c r="V378" s="1403"/>
      <c r="W378" s="1403"/>
      <c r="X378" s="1297"/>
      <c r="Y378" s="1295"/>
      <c r="Z378" s="1292"/>
      <c r="AA378" s="1292"/>
      <c r="AB378" s="1293"/>
      <c r="AC378" s="1533"/>
      <c r="AD378" s="1534"/>
      <c r="AE378" s="1534"/>
      <c r="AF378" s="1535"/>
    </row>
    <row r="379" spans="1:36" ht="18.75" hidden="1" customHeight="1">
      <c r="A379" s="736"/>
      <c r="B379" s="1407"/>
      <c r="C379" s="1346"/>
      <c r="D379" s="1348"/>
      <c r="E379" s="1317"/>
      <c r="F379" s="1318"/>
      <c r="G379" s="1361"/>
      <c r="H379" s="3134" t="s">
        <v>2288</v>
      </c>
      <c r="I379" s="3137" t="s">
        <v>121</v>
      </c>
      <c r="J379" s="3130" t="s">
        <v>1230</v>
      </c>
      <c r="K379" s="3130"/>
      <c r="L379" s="3059" t="s">
        <v>121</v>
      </c>
      <c r="M379" s="3130" t="s">
        <v>2287</v>
      </c>
      <c r="N379" s="3133"/>
      <c r="O379" s="3059" t="s">
        <v>121</v>
      </c>
      <c r="P379" s="3132" t="s">
        <v>2286</v>
      </c>
      <c r="Q379" s="3131"/>
      <c r="R379" s="3059" t="s">
        <v>121</v>
      </c>
      <c r="S379" s="3130" t="s">
        <v>2285</v>
      </c>
      <c r="T379" s="3131"/>
      <c r="U379" s="3059" t="s">
        <v>121</v>
      </c>
      <c r="V379" s="3130" t="s">
        <v>2284</v>
      </c>
      <c r="W379" s="3129"/>
      <c r="X379" s="3128"/>
      <c r="Y379" s="1323"/>
      <c r="Z379" s="1323"/>
      <c r="AA379" s="1323"/>
      <c r="AB379" s="1324"/>
      <c r="AC379" s="1533"/>
      <c r="AD379" s="1534"/>
      <c r="AE379" s="1534"/>
      <c r="AF379" s="1535"/>
      <c r="AG379" s="3056"/>
      <c r="AH379" s="3056"/>
      <c r="AI379" s="3056" t="str">
        <f>"2B:shoguukaizen_code:"&amp;IF(I379="■",1,IF(L379="■",7,IF(O379="■",8,IF(R379="■",9,IF(U379="■","A",0)))))</f>
        <v>2B:shoguukaizen_code:0</v>
      </c>
    </row>
    <row r="380" spans="1:36" ht="18.75" hidden="1" customHeight="1">
      <c r="A380" s="1276"/>
      <c r="B380" s="1405"/>
      <c r="C380" s="1333"/>
      <c r="D380" s="1335"/>
      <c r="E380" s="1351"/>
      <c r="F380" s="1335"/>
      <c r="G380" s="1272"/>
      <c r="H380" s="1545" t="s">
        <v>1226</v>
      </c>
      <c r="I380" s="3137" t="s">
        <v>121</v>
      </c>
      <c r="J380" s="1270" t="s">
        <v>1227</v>
      </c>
      <c r="K380" s="3139"/>
      <c r="L380" s="1337"/>
      <c r="M380" s="3138" t="s">
        <v>121</v>
      </c>
      <c r="N380" s="1270" t="s">
        <v>2306</v>
      </c>
      <c r="O380" s="1334"/>
      <c r="P380" s="1334"/>
      <c r="Q380" s="3138" t="s">
        <v>121</v>
      </c>
      <c r="R380" s="1270" t="s">
        <v>2305</v>
      </c>
      <c r="S380" s="1334"/>
      <c r="T380" s="1334"/>
      <c r="U380" s="3138" t="s">
        <v>121</v>
      </c>
      <c r="V380" s="1270" t="s">
        <v>2304</v>
      </c>
      <c r="W380" s="1334"/>
      <c r="X380" s="1336"/>
      <c r="Y380" s="3119" t="s">
        <v>121</v>
      </c>
      <c r="Z380" s="1270" t="s">
        <v>1229</v>
      </c>
      <c r="AA380" s="1270"/>
      <c r="AB380" s="1286"/>
      <c r="AC380" s="1530"/>
      <c r="AD380" s="1531"/>
      <c r="AE380" s="1531"/>
      <c r="AF380" s="1532"/>
      <c r="AG380" s="3056" t="str">
        <f>"ser_code = '" &amp; IF(A389="■","2B","") &amp; "'"</f>
        <v>ser_code = ''</v>
      </c>
      <c r="AH380" s="3056" t="str">
        <f>"2B:jininkbn_code:"&amp;IF(F389="■",2,0)</f>
        <v>2B:jininkbn_code:0</v>
      </c>
      <c r="AI380" s="3056" t="str">
        <f>"2B:yakan_kinmu_code:" &amp; IF(I380="■",1,IF(M380="■",2,IF(Q380="■",3,IF(U380="■",7,IF(I381="■",5,IF(M381="■",6,0))))))</f>
        <v>2B:yakan_kinmu_code:0</v>
      </c>
      <c r="AJ380" s="3056" t="str">
        <f>"2B:field203:" &amp; IF(Y380="■",1,IF(Y381="■",2,0))</f>
        <v>2B:field203:0</v>
      </c>
    </row>
    <row r="381" spans="1:36" ht="18.75" hidden="1" customHeight="1">
      <c r="A381" s="735"/>
      <c r="B381" s="1407"/>
      <c r="C381" s="1303"/>
      <c r="D381" s="1304"/>
      <c r="E381" s="1305"/>
      <c r="F381" s="1304"/>
      <c r="G381" s="1275"/>
      <c r="H381" s="1542"/>
      <c r="I381" s="3069" t="s">
        <v>121</v>
      </c>
      <c r="J381" s="1296" t="s">
        <v>2303</v>
      </c>
      <c r="K381" s="1309"/>
      <c r="L381" s="1355"/>
      <c r="M381" s="3062" t="s">
        <v>121</v>
      </c>
      <c r="N381" s="1296" t="s">
        <v>1228</v>
      </c>
      <c r="O381" s="1403"/>
      <c r="P381" s="1403"/>
      <c r="Q381" s="1403"/>
      <c r="R381" s="1403"/>
      <c r="S381" s="1403"/>
      <c r="T381" s="1403"/>
      <c r="U381" s="1403"/>
      <c r="V381" s="1403"/>
      <c r="W381" s="1403"/>
      <c r="X381" s="1297"/>
      <c r="Y381" s="3122" t="s">
        <v>121</v>
      </c>
      <c r="Z381" s="1273" t="s">
        <v>1234</v>
      </c>
      <c r="AA381" s="1292"/>
      <c r="AB381" s="1293"/>
      <c r="AC381" s="1533"/>
      <c r="AD381" s="1534"/>
      <c r="AE381" s="1534"/>
      <c r="AF381" s="1535"/>
      <c r="AG381" s="3056" t="str">
        <f>"2B:sisetukbn_code:"&amp;IF(D389="■","3",0)</f>
        <v>2B:sisetukbn_code:0</v>
      </c>
      <c r="AH381" s="3056"/>
      <c r="AI381" s="3056"/>
      <c r="AJ381" s="3056"/>
    </row>
    <row r="382" spans="1:36" ht="18.75" hidden="1" customHeight="1">
      <c r="A382" s="735"/>
      <c r="B382" s="1407"/>
      <c r="C382" s="1303"/>
      <c r="D382" s="1304"/>
      <c r="E382" s="1305"/>
      <c r="F382" s="1304"/>
      <c r="G382" s="1275"/>
      <c r="H382" s="1541" t="s">
        <v>90</v>
      </c>
      <c r="I382" s="3137" t="s">
        <v>121</v>
      </c>
      <c r="J382" s="1290" t="s">
        <v>1230</v>
      </c>
      <c r="K382" s="1290"/>
      <c r="L382" s="1329"/>
      <c r="M382" s="3136" t="s">
        <v>121</v>
      </c>
      <c r="N382" s="1290" t="s">
        <v>1231</v>
      </c>
      <c r="O382" s="1290"/>
      <c r="P382" s="1329"/>
      <c r="Q382" s="3136" t="s">
        <v>121</v>
      </c>
      <c r="R382" s="1402" t="s">
        <v>2302</v>
      </c>
      <c r="S382" s="1402"/>
      <c r="T382" s="1402"/>
      <c r="U382" s="1314"/>
      <c r="V382" s="1329"/>
      <c r="W382" s="1402"/>
      <c r="X382" s="1315"/>
      <c r="Y382" s="1295"/>
      <c r="Z382" s="1292"/>
      <c r="AA382" s="1292"/>
      <c r="AB382" s="1293"/>
      <c r="AC382" s="1533"/>
      <c r="AD382" s="1534"/>
      <c r="AE382" s="1534"/>
      <c r="AF382" s="1535"/>
      <c r="AG382" s="3056"/>
      <c r="AH382" s="3056"/>
      <c r="AI382" s="3056" t="str">
        <f>"2B:"&amp;IF(AND(I382="□",M382="□",Q382="□",I383="□",M383="□"),"ketu_doctor_code:0",IF(I382="■","ketu_doctor_code:1:field197:1:ketu_kangos_code:1:ketu_kshoku_code:1",IF(M382="■","ketu_doctor_code:2","ketu_doctor_code:1")
&amp;IF(Q382="■",":field197:2",":field197:1")
&amp;IF(I383="■",":ketu_kangos_code:2",":ketu_kangos_code:1")
&amp;IF(M383="■",":ketu_kshoku_code:2",":ketu_kshoku_code:1")))</f>
        <v>2B:ketu_doctor_code:0</v>
      </c>
      <c r="AJ382" s="3056"/>
    </row>
    <row r="383" spans="1:36" ht="18.75" hidden="1" customHeight="1">
      <c r="A383" s="735"/>
      <c r="B383" s="1407"/>
      <c r="C383" s="1303"/>
      <c r="D383" s="1304"/>
      <c r="E383" s="1305"/>
      <c r="F383" s="1304"/>
      <c r="G383" s="1275"/>
      <c r="H383" s="1542"/>
      <c r="I383" s="3069" t="s">
        <v>121</v>
      </c>
      <c r="J383" s="1403" t="s">
        <v>2301</v>
      </c>
      <c r="K383" s="1403"/>
      <c r="L383" s="1403"/>
      <c r="M383" s="3062" t="s">
        <v>121</v>
      </c>
      <c r="N383" s="1403" t="s">
        <v>2300</v>
      </c>
      <c r="O383" s="1355"/>
      <c r="P383" s="1403"/>
      <c r="Q383" s="1403"/>
      <c r="R383" s="1355"/>
      <c r="S383" s="1403"/>
      <c r="T383" s="1403"/>
      <c r="U383" s="1330"/>
      <c r="V383" s="1355"/>
      <c r="W383" s="1403"/>
      <c r="X383" s="1356"/>
      <c r="Y383" s="1295"/>
      <c r="Z383" s="1292"/>
      <c r="AA383" s="1292"/>
      <c r="AB383" s="1293"/>
      <c r="AC383" s="1533"/>
      <c r="AD383" s="1534"/>
      <c r="AE383" s="1534"/>
      <c r="AF383" s="1535"/>
    </row>
    <row r="384" spans="1:36" s="3056" customFormat="1" ht="18.75" hidden="1" customHeight="1">
      <c r="A384" s="735"/>
      <c r="B384" s="1407"/>
      <c r="C384" s="1287"/>
      <c r="D384" s="1288"/>
      <c r="E384" s="1275"/>
      <c r="F384" s="1289"/>
      <c r="G384" s="1305"/>
      <c r="H384" s="3193" t="s">
        <v>1241</v>
      </c>
      <c r="I384" s="3096" t="s">
        <v>121</v>
      </c>
      <c r="J384" s="3091" t="s">
        <v>1242</v>
      </c>
      <c r="K384" s="3095"/>
      <c r="L384" s="3094"/>
      <c r="M384" s="3093" t="s">
        <v>121</v>
      </c>
      <c r="N384" s="3091" t="s">
        <v>1243</v>
      </c>
      <c r="O384" s="3095"/>
      <c r="P384" s="3192"/>
      <c r="Q384" s="3192"/>
      <c r="R384" s="3192"/>
      <c r="S384" s="3192"/>
      <c r="T384" s="3192"/>
      <c r="U384" s="3192"/>
      <c r="V384" s="3192"/>
      <c r="W384" s="3192"/>
      <c r="X384" s="3191"/>
      <c r="Y384" s="1295"/>
      <c r="Z384" s="1292"/>
      <c r="AA384" s="1292"/>
      <c r="AB384" s="1293"/>
      <c r="AC384" s="1533"/>
      <c r="AD384" s="1534"/>
      <c r="AE384" s="1534"/>
      <c r="AF384" s="1535"/>
      <c r="AI384" s="3056" t="str">
        <f>"2B:sintaikousoku_code:" &amp; IF(I384="■",1,IF(M384="■",2,0))</f>
        <v>2B:sintaikousoku_code:0</v>
      </c>
    </row>
    <row r="385" spans="1:36" ht="19.5" hidden="1" customHeight="1">
      <c r="A385" s="735"/>
      <c r="B385" s="1407"/>
      <c r="C385" s="1303"/>
      <c r="D385" s="1304"/>
      <c r="E385" s="1275"/>
      <c r="F385" s="1289"/>
      <c r="G385" s="1305"/>
      <c r="H385" s="1306" t="s">
        <v>1244</v>
      </c>
      <c r="I385" s="3137" t="s">
        <v>121</v>
      </c>
      <c r="J385" s="1298" t="s">
        <v>1242</v>
      </c>
      <c r="K385" s="1299"/>
      <c r="L385" s="1300"/>
      <c r="M385" s="3065" t="s">
        <v>121</v>
      </c>
      <c r="N385" s="1298" t="s">
        <v>1245</v>
      </c>
      <c r="O385" s="1307"/>
      <c r="P385" s="1298"/>
      <c r="Q385" s="1307"/>
      <c r="R385" s="1307"/>
      <c r="S385" s="1307"/>
      <c r="T385" s="1307"/>
      <c r="U385" s="1307"/>
      <c r="V385" s="1307"/>
      <c r="W385" s="1307"/>
      <c r="X385" s="1308"/>
      <c r="Y385" s="1292"/>
      <c r="Z385" s="1292"/>
      <c r="AA385" s="1292"/>
      <c r="AB385" s="1293"/>
      <c r="AC385" s="1533"/>
      <c r="AD385" s="1534"/>
      <c r="AE385" s="1534"/>
      <c r="AF385" s="1535"/>
      <c r="AI385" s="3056" t="str">
        <f>"2B:field223:" &amp; IF(I385="■",1,IF(M385="■",2,0))</f>
        <v>2B:field223:0</v>
      </c>
    </row>
    <row r="386" spans="1:36" ht="19.5" hidden="1" customHeight="1">
      <c r="A386" s="735"/>
      <c r="B386" s="1407"/>
      <c r="C386" s="1303"/>
      <c r="D386" s="1304"/>
      <c r="E386" s="1275"/>
      <c r="F386" s="1289"/>
      <c r="G386" s="1305"/>
      <c r="H386" s="1306" t="s">
        <v>1246</v>
      </c>
      <c r="I386" s="3137" t="s">
        <v>121</v>
      </c>
      <c r="J386" s="1298" t="s">
        <v>1242</v>
      </c>
      <c r="K386" s="1299"/>
      <c r="L386" s="1300"/>
      <c r="M386" s="3065" t="s">
        <v>121</v>
      </c>
      <c r="N386" s="1298" t="s">
        <v>1245</v>
      </c>
      <c r="O386" s="1307"/>
      <c r="P386" s="1298"/>
      <c r="Q386" s="1307"/>
      <c r="R386" s="1307"/>
      <c r="S386" s="1307"/>
      <c r="T386" s="1307"/>
      <c r="U386" s="1307"/>
      <c r="V386" s="1307"/>
      <c r="W386" s="1307"/>
      <c r="X386" s="1308"/>
      <c r="Y386" s="1292"/>
      <c r="Z386" s="1292"/>
      <c r="AA386" s="1292"/>
      <c r="AB386" s="1293"/>
      <c r="AC386" s="1533"/>
      <c r="AD386" s="1534"/>
      <c r="AE386" s="1534"/>
      <c r="AF386" s="1535"/>
      <c r="AI386" s="3056" t="str">
        <f>"2B:field232:" &amp; IF(I386="■",1,IF(M386="■",2,0))</f>
        <v>2B:field232:0</v>
      </c>
    </row>
    <row r="387" spans="1:36" ht="18.75" hidden="1" customHeight="1">
      <c r="A387" s="735"/>
      <c r="B387" s="1407"/>
      <c r="C387" s="1303"/>
      <c r="D387" s="1304"/>
      <c r="E387" s="1305"/>
      <c r="F387" s="1304"/>
      <c r="G387" s="1275"/>
      <c r="H387" s="1409" t="s">
        <v>2295</v>
      </c>
      <c r="I387" s="3137" t="s">
        <v>121</v>
      </c>
      <c r="J387" s="1298" t="s">
        <v>1227</v>
      </c>
      <c r="K387" s="1299"/>
      <c r="L387" s="1300"/>
      <c r="M387" s="3065" t="s">
        <v>121</v>
      </c>
      <c r="N387" s="1298" t="s">
        <v>2291</v>
      </c>
      <c r="O387" s="1307"/>
      <c r="P387" s="1307"/>
      <c r="Q387" s="1307"/>
      <c r="R387" s="1307"/>
      <c r="S387" s="1307"/>
      <c r="T387" s="1307"/>
      <c r="U387" s="1307"/>
      <c r="V387" s="1307"/>
      <c r="W387" s="1307"/>
      <c r="X387" s="1308"/>
      <c r="Y387" s="1295"/>
      <c r="Z387" s="1292"/>
      <c r="AA387" s="1292"/>
      <c r="AB387" s="1293"/>
      <c r="AC387" s="1533"/>
      <c r="AD387" s="1534"/>
      <c r="AE387" s="1534"/>
      <c r="AF387" s="1535"/>
      <c r="AI387" s="3056" t="str">
        <f>"2B:field190:" &amp; IF(I387="■",1,IF(M387="■",2,0))</f>
        <v>2B:field190:0</v>
      </c>
    </row>
    <row r="388" spans="1:36" ht="18.75" hidden="1" customHeight="1">
      <c r="A388" s="735"/>
      <c r="B388" s="1407"/>
      <c r="C388" s="1303"/>
      <c r="D388" s="1304"/>
      <c r="E388" s="1305"/>
      <c r="F388" s="1304"/>
      <c r="G388" s="1275"/>
      <c r="H388" s="1409" t="s">
        <v>2293</v>
      </c>
      <c r="I388" s="3137" t="s">
        <v>121</v>
      </c>
      <c r="J388" s="1298" t="s">
        <v>1227</v>
      </c>
      <c r="K388" s="1299"/>
      <c r="L388" s="1300"/>
      <c r="M388" s="3065" t="s">
        <v>121</v>
      </c>
      <c r="N388" s="1298" t="s">
        <v>2291</v>
      </c>
      <c r="O388" s="1307"/>
      <c r="P388" s="1307"/>
      <c r="Q388" s="1307"/>
      <c r="R388" s="1307"/>
      <c r="S388" s="1307"/>
      <c r="T388" s="1307"/>
      <c r="U388" s="1307"/>
      <c r="V388" s="1307"/>
      <c r="W388" s="1307"/>
      <c r="X388" s="1308"/>
      <c r="Y388" s="1295"/>
      <c r="Z388" s="1292"/>
      <c r="AA388" s="1292"/>
      <c r="AB388" s="1293"/>
      <c r="AC388" s="1533"/>
      <c r="AD388" s="1534"/>
      <c r="AE388" s="1534"/>
      <c r="AF388" s="1535"/>
      <c r="AI388" s="3056" t="str">
        <f>"2B:field191:" &amp; IF(I388="■",1,IF(M388="■",2,0))</f>
        <v>2B:field191:0</v>
      </c>
    </row>
    <row r="389" spans="1:36" s="1418" customFormat="1" ht="19.5" hidden="1" customHeight="1">
      <c r="A389" s="3069" t="s">
        <v>121</v>
      </c>
      <c r="B389" s="1407" t="s">
        <v>2494</v>
      </c>
      <c r="C389" s="1303" t="s">
        <v>542</v>
      </c>
      <c r="D389" s="3069" t="s">
        <v>121</v>
      </c>
      <c r="E389" s="1305" t="s">
        <v>2497</v>
      </c>
      <c r="F389" s="3069" t="s">
        <v>121</v>
      </c>
      <c r="G389" s="1275" t="s">
        <v>2294</v>
      </c>
      <c r="H389" s="3148" t="s">
        <v>2328</v>
      </c>
      <c r="I389" s="3279" t="s">
        <v>121</v>
      </c>
      <c r="J389" s="3144" t="s">
        <v>2326</v>
      </c>
      <c r="K389" s="3147"/>
      <c r="L389" s="3146"/>
      <c r="M389" s="3278" t="s">
        <v>121</v>
      </c>
      <c r="N389" s="3144" t="s">
        <v>2325</v>
      </c>
      <c r="O389" s="3145"/>
      <c r="P389" s="3144"/>
      <c r="Q389" s="3143"/>
      <c r="R389" s="3143"/>
      <c r="S389" s="3143"/>
      <c r="T389" s="3143"/>
      <c r="U389" s="3143"/>
      <c r="V389" s="3143"/>
      <c r="W389" s="3143"/>
      <c r="X389" s="3142"/>
      <c r="Y389" s="1421"/>
      <c r="Z389" s="2"/>
      <c r="AA389" s="626"/>
      <c r="AB389" s="627"/>
      <c r="AC389" s="1533"/>
      <c r="AD389" s="1534"/>
      <c r="AE389" s="1534"/>
      <c r="AF389" s="1535"/>
      <c r="AI389" s="3056" t="str">
        <f>"2B:field242:" &amp; IF(I389="■",1,IF(M389="■",2,0))</f>
        <v>2B:field242:0</v>
      </c>
    </row>
    <row r="390" spans="1:36" ht="18.75" hidden="1" customHeight="1">
      <c r="A390" s="1304"/>
      <c r="B390" s="1407"/>
      <c r="C390" s="1303"/>
      <c r="D390" s="1304"/>
      <c r="E390" s="1305"/>
      <c r="F390" s="1304"/>
      <c r="G390" s="1275"/>
      <c r="H390" s="1409" t="s">
        <v>1318</v>
      </c>
      <c r="I390" s="3137" t="s">
        <v>121</v>
      </c>
      <c r="J390" s="1298" t="s">
        <v>1230</v>
      </c>
      <c r="K390" s="1299"/>
      <c r="L390" s="3065" t="s">
        <v>121</v>
      </c>
      <c r="M390" s="1298" t="s">
        <v>1248</v>
      </c>
      <c r="N390" s="1307"/>
      <c r="O390" s="1307"/>
      <c r="P390" s="1307"/>
      <c r="Q390" s="1307"/>
      <c r="R390" s="1307"/>
      <c r="S390" s="1307"/>
      <c r="T390" s="1307"/>
      <c r="U390" s="1307"/>
      <c r="V390" s="1307"/>
      <c r="W390" s="1307"/>
      <c r="X390" s="1308"/>
      <c r="Y390" s="1295"/>
      <c r="Z390" s="1292"/>
      <c r="AA390" s="1292"/>
      <c r="AB390" s="1293"/>
      <c r="AC390" s="1533"/>
      <c r="AD390" s="1534"/>
      <c r="AE390" s="1534"/>
      <c r="AF390" s="1535"/>
      <c r="AI390" s="3056" t="str">
        <f>"2B:jyakuninti_uke_code:" &amp; IF(I390="■",1,IF(L390="■",2,0))</f>
        <v>2B:jyakuninti_uke_code:0</v>
      </c>
    </row>
    <row r="391" spans="1:36" ht="18.75" hidden="1" customHeight="1">
      <c r="A391" s="1304"/>
      <c r="B391" s="1407"/>
      <c r="C391" s="1303"/>
      <c r="D391" s="1304"/>
      <c r="E391" s="1305"/>
      <c r="F391" s="1304"/>
      <c r="G391" s="1275"/>
      <c r="H391" s="1409" t="s">
        <v>1324</v>
      </c>
      <c r="I391" s="3137" t="s">
        <v>121</v>
      </c>
      <c r="J391" s="1298" t="s">
        <v>1239</v>
      </c>
      <c r="K391" s="1299"/>
      <c r="L391" s="1300"/>
      <c r="M391" s="3065" t="s">
        <v>121</v>
      </c>
      <c r="N391" s="1298" t="s">
        <v>1240</v>
      </c>
      <c r="O391" s="1307"/>
      <c r="P391" s="1307"/>
      <c r="Q391" s="1307"/>
      <c r="R391" s="1307"/>
      <c r="S391" s="1307"/>
      <c r="T391" s="1307"/>
      <c r="U391" s="1307"/>
      <c r="V391" s="1307"/>
      <c r="W391" s="1307"/>
      <c r="X391" s="1308"/>
      <c r="Y391" s="1295"/>
      <c r="Z391" s="1292"/>
      <c r="AA391" s="1292"/>
      <c r="AB391" s="1293"/>
      <c r="AC391" s="1533"/>
      <c r="AD391" s="1534"/>
      <c r="AE391" s="1534"/>
      <c r="AF391" s="1535"/>
      <c r="AI391" s="3056" t="str">
        <f>"2B:sougei_code:" &amp; IF(I391="■",1,IF(M391="■",2,0))</f>
        <v>2B:sougei_code:0</v>
      </c>
    </row>
    <row r="392" spans="1:36" ht="19.5" hidden="1" customHeight="1">
      <c r="A392" s="735"/>
      <c r="B392" s="1407"/>
      <c r="C392" s="1303"/>
      <c r="D392" s="1304"/>
      <c r="E392" s="1305"/>
      <c r="F392" s="1304"/>
      <c r="G392" s="1275"/>
      <c r="H392" s="1306" t="s">
        <v>1325</v>
      </c>
      <c r="I392" s="3137" t="s">
        <v>121</v>
      </c>
      <c r="J392" s="1298" t="s">
        <v>1230</v>
      </c>
      <c r="K392" s="1298"/>
      <c r="L392" s="3065" t="s">
        <v>121</v>
      </c>
      <c r="M392" s="1298" t="s">
        <v>1248</v>
      </c>
      <c r="N392" s="1298"/>
      <c r="O392" s="1307"/>
      <c r="P392" s="1298"/>
      <c r="Q392" s="1307"/>
      <c r="R392" s="1307"/>
      <c r="S392" s="1307"/>
      <c r="T392" s="1307"/>
      <c r="U392" s="1307"/>
      <c r="V392" s="1307"/>
      <c r="W392" s="1307"/>
      <c r="X392" s="1308"/>
      <c r="Y392" s="1292"/>
      <c r="Z392" s="1292"/>
      <c r="AA392" s="1292"/>
      <c r="AB392" s="1293"/>
      <c r="AC392" s="1533"/>
      <c r="AD392" s="1534"/>
      <c r="AE392" s="1534"/>
      <c r="AF392" s="1535"/>
      <c r="AI392" s="3056" t="str">
        <f>"2B:field224:" &amp; IF(I392="■",1,IF(L392="■",2,0))</f>
        <v>2B:field224:0</v>
      </c>
    </row>
    <row r="393" spans="1:36" ht="18.75" hidden="1" customHeight="1">
      <c r="A393" s="735"/>
      <c r="B393" s="1407"/>
      <c r="C393" s="1303"/>
      <c r="D393" s="1304"/>
      <c r="E393" s="1305"/>
      <c r="F393" s="1304"/>
      <c r="G393" s="1275"/>
      <c r="H393" s="1409" t="s">
        <v>145</v>
      </c>
      <c r="I393" s="3137" t="s">
        <v>121</v>
      </c>
      <c r="J393" s="1298" t="s">
        <v>1230</v>
      </c>
      <c r="K393" s="1299"/>
      <c r="L393" s="3065" t="s">
        <v>121</v>
      </c>
      <c r="M393" s="1298" t="s">
        <v>1248</v>
      </c>
      <c r="N393" s="1307"/>
      <c r="O393" s="1307"/>
      <c r="P393" s="1307"/>
      <c r="Q393" s="1307"/>
      <c r="R393" s="1307"/>
      <c r="S393" s="1307"/>
      <c r="T393" s="1307"/>
      <c r="U393" s="1307"/>
      <c r="V393" s="1307"/>
      <c r="W393" s="1307"/>
      <c r="X393" s="1308"/>
      <c r="Y393" s="1295"/>
      <c r="Z393" s="1292"/>
      <c r="AA393" s="1292"/>
      <c r="AB393" s="1293"/>
      <c r="AC393" s="1533"/>
      <c r="AD393" s="1534"/>
      <c r="AE393" s="1534"/>
      <c r="AF393" s="1535"/>
      <c r="AI393" s="3056" t="str">
        <f>"2B:ryouyoushoku_code:" &amp; IF(I393="■",1,IF(L393="■",2,0))</f>
        <v>2B:ryouyoushoku_code:0</v>
      </c>
    </row>
    <row r="394" spans="1:36" ht="18.75" hidden="1" customHeight="1">
      <c r="A394" s="735"/>
      <c r="B394" s="1407"/>
      <c r="C394" s="1303"/>
      <c r="D394" s="1304"/>
      <c r="E394" s="1305"/>
      <c r="F394" s="1304"/>
      <c r="G394" s="1275"/>
      <c r="H394" s="1409" t="s">
        <v>1260</v>
      </c>
      <c r="I394" s="3137" t="s">
        <v>121</v>
      </c>
      <c r="J394" s="1298" t="s">
        <v>1230</v>
      </c>
      <c r="K394" s="1298"/>
      <c r="L394" s="3065" t="s">
        <v>121</v>
      </c>
      <c r="M394" s="1298" t="s">
        <v>1256</v>
      </c>
      <c r="N394" s="1298"/>
      <c r="O394" s="3065" t="s">
        <v>121</v>
      </c>
      <c r="P394" s="1298" t="s">
        <v>1257</v>
      </c>
      <c r="Q394" s="1307"/>
      <c r="R394" s="1307"/>
      <c r="S394" s="1307"/>
      <c r="T394" s="1307"/>
      <c r="U394" s="1307"/>
      <c r="V394" s="1307"/>
      <c r="W394" s="1307"/>
      <c r="X394" s="1308"/>
      <c r="Y394" s="1295"/>
      <c r="Z394" s="1292"/>
      <c r="AA394" s="1292"/>
      <c r="AB394" s="1293"/>
      <c r="AC394" s="1533"/>
      <c r="AD394" s="1534"/>
      <c r="AE394" s="1534"/>
      <c r="AF394" s="1535"/>
      <c r="AI394" s="3056" t="str">
        <f>"2B:ninti_senmoncare_code:" &amp; IF(I394="■",1,IF(O394="■",3,IF(L394="■",2,0)))</f>
        <v>2B:ninti_senmoncare_code:0</v>
      </c>
    </row>
    <row r="395" spans="1:36" ht="18.75" hidden="1" customHeight="1">
      <c r="A395" s="1304"/>
      <c r="B395" s="1407"/>
      <c r="C395" s="1303"/>
      <c r="D395" s="1304"/>
      <c r="E395" s="1305"/>
      <c r="F395" s="1304"/>
      <c r="G395" s="1275"/>
      <c r="H395" s="1313" t="s">
        <v>1265</v>
      </c>
      <c r="I395" s="3137" t="s">
        <v>121</v>
      </c>
      <c r="J395" s="1298" t="s">
        <v>1230</v>
      </c>
      <c r="K395" s="1298"/>
      <c r="L395" s="3065" t="s">
        <v>121</v>
      </c>
      <c r="M395" s="1298" t="s">
        <v>1256</v>
      </c>
      <c r="N395" s="1298"/>
      <c r="O395" s="3065" t="s">
        <v>121</v>
      </c>
      <c r="P395" s="1298" t="s">
        <v>1257</v>
      </c>
      <c r="Q395" s="1307"/>
      <c r="R395" s="1307"/>
      <c r="S395" s="1307"/>
      <c r="T395" s="1307"/>
      <c r="U395" s="1314"/>
      <c r="V395" s="1314"/>
      <c r="W395" s="1314"/>
      <c r="X395" s="1315"/>
      <c r="Y395" s="1295"/>
      <c r="Z395" s="1292"/>
      <c r="AA395" s="1292"/>
      <c r="AB395" s="1293"/>
      <c r="AC395" s="1533"/>
      <c r="AD395" s="1534"/>
      <c r="AE395" s="1534"/>
      <c r="AF395" s="1535"/>
      <c r="AI395" s="3056" t="str">
        <f>"2B:field225:" &amp; IF(I395="■",1,IF(L395="■",2,IF(O395="■",3,0)))</f>
        <v>2B:field225:0</v>
      </c>
    </row>
    <row r="396" spans="1:36" ht="18.75" hidden="1" customHeight="1">
      <c r="A396" s="735"/>
      <c r="B396" s="1407"/>
      <c r="C396" s="1303"/>
      <c r="D396" s="1304"/>
      <c r="E396" s="1305"/>
      <c r="F396" s="1304"/>
      <c r="G396" s="1275"/>
      <c r="H396" s="1409" t="s">
        <v>1266</v>
      </c>
      <c r="I396" s="3137" t="s">
        <v>121</v>
      </c>
      <c r="J396" s="1298" t="s">
        <v>1230</v>
      </c>
      <c r="K396" s="1298"/>
      <c r="L396" s="3065" t="s">
        <v>121</v>
      </c>
      <c r="M396" s="1298" t="s">
        <v>1267</v>
      </c>
      <c r="N396" s="1298"/>
      <c r="O396" s="3065" t="s">
        <v>121</v>
      </c>
      <c r="P396" s="1298" t="s">
        <v>1268</v>
      </c>
      <c r="Q396" s="1326"/>
      <c r="R396" s="3065" t="s">
        <v>121</v>
      </c>
      <c r="S396" s="1298" t="s">
        <v>1269</v>
      </c>
      <c r="T396" s="1326"/>
      <c r="U396" s="1326"/>
      <c r="V396" s="1326"/>
      <c r="W396" s="1326"/>
      <c r="X396" s="1327"/>
      <c r="Y396" s="1295"/>
      <c r="Z396" s="1292"/>
      <c r="AA396" s="1292"/>
      <c r="AB396" s="1293"/>
      <c r="AC396" s="1533"/>
      <c r="AD396" s="1534"/>
      <c r="AE396" s="1534"/>
      <c r="AF396" s="1535"/>
      <c r="AI396" s="3056" t="str">
        <f>"2B:serteikyo_kyoka_code:" &amp; IF(I396="■",1,IF(L396="■",6,IF(O396="■",5,IF(R396="■",7,0))))</f>
        <v>2B:serteikyo_kyoka_code:0</v>
      </c>
    </row>
    <row r="397" spans="1:36" ht="18.75" hidden="1" customHeight="1">
      <c r="A397" s="735"/>
      <c r="B397" s="1407"/>
      <c r="C397" s="1303"/>
      <c r="D397" s="1304"/>
      <c r="E397" s="1305"/>
      <c r="F397" s="1304"/>
      <c r="G397" s="1275"/>
      <c r="H397" s="1539" t="s">
        <v>2390</v>
      </c>
      <c r="I397" s="3160" t="s">
        <v>121</v>
      </c>
      <c r="J397" s="3161" t="s">
        <v>1230</v>
      </c>
      <c r="K397" s="3161"/>
      <c r="L397" s="3160" t="s">
        <v>121</v>
      </c>
      <c r="M397" s="3161" t="s">
        <v>1248</v>
      </c>
      <c r="N397" s="3161"/>
      <c r="O397" s="1402"/>
      <c r="P397" s="1402"/>
      <c r="Q397" s="1402"/>
      <c r="R397" s="1402"/>
      <c r="S397" s="1402"/>
      <c r="T397" s="1402"/>
      <c r="U397" s="1402"/>
      <c r="V397" s="1402"/>
      <c r="W397" s="1402"/>
      <c r="X397" s="1291"/>
      <c r="Y397" s="1295"/>
      <c r="Z397" s="1292"/>
      <c r="AA397" s="1292"/>
      <c r="AB397" s="1293"/>
      <c r="AC397" s="1533"/>
      <c r="AD397" s="1534"/>
      <c r="AE397" s="1534"/>
      <c r="AF397" s="1535"/>
      <c r="AI397" s="3056" t="str">
        <f>"2B:field221:" &amp; IF(I397="■",1,IF(L397="■",2,0))</f>
        <v>2B:field221:0</v>
      </c>
    </row>
    <row r="398" spans="1:36" ht="18.75" hidden="1" customHeight="1">
      <c r="A398" s="735"/>
      <c r="B398" s="1407"/>
      <c r="C398" s="1303"/>
      <c r="D398" s="1304"/>
      <c r="E398" s="1305"/>
      <c r="F398" s="1304"/>
      <c r="G398" s="1275"/>
      <c r="H398" s="1540"/>
      <c r="I398" s="3160"/>
      <c r="J398" s="3161"/>
      <c r="K398" s="3161"/>
      <c r="L398" s="3160"/>
      <c r="M398" s="3161"/>
      <c r="N398" s="3161"/>
      <c r="O398" s="1403"/>
      <c r="P398" s="1403"/>
      <c r="Q398" s="1403"/>
      <c r="R398" s="1403"/>
      <c r="S398" s="1403"/>
      <c r="T398" s="1403"/>
      <c r="U398" s="1403"/>
      <c r="V398" s="1403"/>
      <c r="W398" s="1403"/>
      <c r="X398" s="1297"/>
      <c r="Y398" s="1295"/>
      <c r="Z398" s="1292"/>
      <c r="AA398" s="1292"/>
      <c r="AB398" s="1293"/>
      <c r="AC398" s="1533"/>
      <c r="AD398" s="1534"/>
      <c r="AE398" s="1534"/>
      <c r="AF398" s="1535"/>
    </row>
    <row r="399" spans="1:36" ht="18.75" hidden="1" customHeight="1">
      <c r="A399" s="736"/>
      <c r="B399" s="1316"/>
      <c r="C399" s="1346"/>
      <c r="D399" s="1348"/>
      <c r="E399" s="1317"/>
      <c r="F399" s="1318"/>
      <c r="G399" s="1361"/>
      <c r="H399" s="3134" t="s">
        <v>2288</v>
      </c>
      <c r="I399" s="3060" t="s">
        <v>121</v>
      </c>
      <c r="J399" s="3130" t="s">
        <v>1230</v>
      </c>
      <c r="K399" s="3130"/>
      <c r="L399" s="3059" t="s">
        <v>121</v>
      </c>
      <c r="M399" s="3130" t="s">
        <v>2287</v>
      </c>
      <c r="N399" s="3133"/>
      <c r="O399" s="3059" t="s">
        <v>121</v>
      </c>
      <c r="P399" s="3132" t="s">
        <v>2286</v>
      </c>
      <c r="Q399" s="3131"/>
      <c r="R399" s="3059" t="s">
        <v>121</v>
      </c>
      <c r="S399" s="3130" t="s">
        <v>2285</v>
      </c>
      <c r="T399" s="3131"/>
      <c r="U399" s="3059" t="s">
        <v>121</v>
      </c>
      <c r="V399" s="3130" t="s">
        <v>2284</v>
      </c>
      <c r="W399" s="3129"/>
      <c r="X399" s="3128"/>
      <c r="Y399" s="1323"/>
      <c r="Z399" s="1323"/>
      <c r="AA399" s="1323"/>
      <c r="AB399" s="1324"/>
      <c r="AC399" s="1536"/>
      <c r="AD399" s="1537"/>
      <c r="AE399" s="1537"/>
      <c r="AF399" s="1538"/>
      <c r="AG399" s="3056"/>
      <c r="AH399" s="3056"/>
      <c r="AI399" s="3056" t="str">
        <f>"2B:shoguukaizen_code:"&amp;IF(I399="■",1,IF(L399="■",7,IF(O399="■",8,IF(R399="■",9,IF(U399="■","A",0)))))</f>
        <v>2B:shoguukaizen_code:0</v>
      </c>
    </row>
    <row r="400" spans="1:36" ht="18.75" hidden="1" customHeight="1">
      <c r="A400" s="1276"/>
      <c r="B400" s="1405"/>
      <c r="C400" s="1333"/>
      <c r="D400" s="1335"/>
      <c r="E400" s="1272"/>
      <c r="F400" s="1279"/>
      <c r="G400" s="1272"/>
      <c r="H400" s="1545" t="s">
        <v>1226</v>
      </c>
      <c r="I400" s="3119" t="s">
        <v>121</v>
      </c>
      <c r="J400" s="1270" t="s">
        <v>1227</v>
      </c>
      <c r="K400" s="3139"/>
      <c r="L400" s="1337"/>
      <c r="M400" s="3138" t="s">
        <v>121</v>
      </c>
      <c r="N400" s="1270" t="s">
        <v>2306</v>
      </c>
      <c r="O400" s="1334"/>
      <c r="P400" s="1334"/>
      <c r="Q400" s="3138" t="s">
        <v>121</v>
      </c>
      <c r="R400" s="1270" t="s">
        <v>2305</v>
      </c>
      <c r="S400" s="1334"/>
      <c r="T400" s="1334"/>
      <c r="U400" s="3138" t="s">
        <v>121</v>
      </c>
      <c r="V400" s="1270" t="s">
        <v>2304</v>
      </c>
      <c r="W400" s="1334"/>
      <c r="X400" s="1336"/>
      <c r="Y400" s="3138" t="s">
        <v>121</v>
      </c>
      <c r="Z400" s="1270" t="s">
        <v>1229</v>
      </c>
      <c r="AA400" s="1270"/>
      <c r="AB400" s="1286"/>
      <c r="AC400" s="1530"/>
      <c r="AD400" s="1531"/>
      <c r="AE400" s="1531"/>
      <c r="AF400" s="1532"/>
      <c r="AG400" s="3056" t="str">
        <f>"ser_code = '" &amp; IF(A411="■","2B","") &amp; "'"</f>
        <v>ser_code = ''</v>
      </c>
      <c r="AH400" s="3056" t="str">
        <f>"2B:jininkbn_code:"&amp;IF(F411="■",1,IF(F412="■",2,0))</f>
        <v>2B:jininkbn_code:0</v>
      </c>
      <c r="AI400" s="3056" t="str">
        <f>"2B:yakan_kinmu_code:" &amp; IF(I400="■",1,IF(M400="■",2,IF(Q400="■",3,IF(U400="■",7,IF(I401="■",5,IF(M401="■",6,0))))))</f>
        <v>2B:yakan_kinmu_code:0</v>
      </c>
      <c r="AJ400" s="3056" t="str">
        <f>"2B:field203:" &amp; IF(Y400="■",1,IF(Y401="■",2,0))</f>
        <v>2B:field203:0</v>
      </c>
    </row>
    <row r="401" spans="1:36" ht="18.75" hidden="1" customHeight="1">
      <c r="A401" s="735"/>
      <c r="B401" s="1407"/>
      <c r="C401" s="1303"/>
      <c r="D401" s="1304"/>
      <c r="E401" s="1275"/>
      <c r="F401" s="1289"/>
      <c r="G401" s="1275"/>
      <c r="H401" s="1542"/>
      <c r="I401" s="3069" t="s">
        <v>121</v>
      </c>
      <c r="J401" s="1296" t="s">
        <v>2303</v>
      </c>
      <c r="K401" s="1309"/>
      <c r="L401" s="1355"/>
      <c r="M401" s="3062" t="s">
        <v>121</v>
      </c>
      <c r="N401" s="1296" t="s">
        <v>1228</v>
      </c>
      <c r="O401" s="1403"/>
      <c r="P401" s="1403"/>
      <c r="Q401" s="1403"/>
      <c r="R401" s="1403"/>
      <c r="S401" s="1403"/>
      <c r="T401" s="1403"/>
      <c r="U401" s="1403"/>
      <c r="V401" s="1403"/>
      <c r="W401" s="1403"/>
      <c r="X401" s="1297"/>
      <c r="Y401" s="3122" t="s">
        <v>121</v>
      </c>
      <c r="Z401" s="1273" t="s">
        <v>1234</v>
      </c>
      <c r="AA401" s="1292"/>
      <c r="AB401" s="1293"/>
      <c r="AC401" s="1533"/>
      <c r="AD401" s="1534"/>
      <c r="AE401" s="1534"/>
      <c r="AF401" s="1535"/>
      <c r="AG401" s="3056" t="str">
        <f>"2B:sisetukbn_code:"&amp;IF(D411="■","4",0)</f>
        <v>2B:sisetukbn_code:0</v>
      </c>
      <c r="AH401" s="3056"/>
      <c r="AI401" s="3056"/>
      <c r="AJ401" s="3056"/>
    </row>
    <row r="402" spans="1:36" ht="18.75" hidden="1" customHeight="1">
      <c r="A402" s="735"/>
      <c r="B402" s="1407"/>
      <c r="C402" s="1303"/>
      <c r="D402" s="1304"/>
      <c r="E402" s="1275"/>
      <c r="F402" s="1289"/>
      <c r="G402" s="1275"/>
      <c r="H402" s="1541" t="s">
        <v>90</v>
      </c>
      <c r="I402" s="3137" t="s">
        <v>121</v>
      </c>
      <c r="J402" s="1290" t="s">
        <v>1230</v>
      </c>
      <c r="K402" s="1290"/>
      <c r="L402" s="1329"/>
      <c r="M402" s="3136" t="s">
        <v>121</v>
      </c>
      <c r="N402" s="1290" t="s">
        <v>1231</v>
      </c>
      <c r="O402" s="1290"/>
      <c r="P402" s="1329"/>
      <c r="Q402" s="3136" t="s">
        <v>121</v>
      </c>
      <c r="R402" s="1402" t="s">
        <v>2302</v>
      </c>
      <c r="S402" s="1402"/>
      <c r="T402" s="1402"/>
      <c r="U402" s="1314"/>
      <c r="V402" s="1329"/>
      <c r="W402" s="1402"/>
      <c r="X402" s="1315"/>
      <c r="Y402" s="1295"/>
      <c r="Z402" s="1292"/>
      <c r="AA402" s="1292"/>
      <c r="AB402" s="1293"/>
      <c r="AC402" s="1533"/>
      <c r="AD402" s="1534"/>
      <c r="AE402" s="1534"/>
      <c r="AF402" s="1535"/>
      <c r="AI402" s="3056" t="str">
        <f>"2B:"&amp;IF(AND(I402="□",M402="□",Q402="□",I403="□",M403="□"),"ketu_doctor_code:0",IF(I402="■","ketu_doctor_code:1:field197:1:ketu_kangos_code:1:ketu_kshoku_code:1",IF(M402="■","ketu_doctor_code:2","ketu_doctor_code:1")
&amp;IF(Q402="■",":field197:2",":field197:1")
&amp;IF(I403="■",":ketu_kangos_code:2",":ketu_kangos_code:1")
&amp;IF(M403="■",":ketu_kshoku_code:2",":ketu_kshoku_code:1")))</f>
        <v>2B:ketu_doctor_code:0</v>
      </c>
    </row>
    <row r="403" spans="1:36" ht="18.75" hidden="1" customHeight="1">
      <c r="A403" s="735"/>
      <c r="B403" s="1407"/>
      <c r="C403" s="1303"/>
      <c r="D403" s="1304"/>
      <c r="E403" s="1275"/>
      <c r="F403" s="1289"/>
      <c r="G403" s="1275"/>
      <c r="H403" s="1542"/>
      <c r="I403" s="3069" t="s">
        <v>121</v>
      </c>
      <c r="J403" s="1403" t="s">
        <v>2301</v>
      </c>
      <c r="K403" s="1403"/>
      <c r="L403" s="1403"/>
      <c r="M403" s="3062" t="s">
        <v>121</v>
      </c>
      <c r="N403" s="1403" t="s">
        <v>2300</v>
      </c>
      <c r="O403" s="1355"/>
      <c r="P403" s="1403"/>
      <c r="Q403" s="1403"/>
      <c r="R403" s="1355"/>
      <c r="S403" s="1403"/>
      <c r="T403" s="1403"/>
      <c r="U403" s="1330"/>
      <c r="V403" s="1355"/>
      <c r="W403" s="1403"/>
      <c r="X403" s="1356"/>
      <c r="Y403" s="1295"/>
      <c r="Z403" s="1292"/>
      <c r="AA403" s="1292"/>
      <c r="AB403" s="1293"/>
      <c r="AC403" s="1533"/>
      <c r="AD403" s="1534"/>
      <c r="AE403" s="1534"/>
      <c r="AF403" s="1535"/>
      <c r="AI403" s="3056"/>
    </row>
    <row r="404" spans="1:36" ht="18.75" hidden="1" customHeight="1">
      <c r="A404" s="735"/>
      <c r="B404" s="1407"/>
      <c r="C404" s="1303"/>
      <c r="D404" s="1304"/>
      <c r="E404" s="1275"/>
      <c r="F404" s="1289"/>
      <c r="G404" s="1275"/>
      <c r="H404" s="1409" t="s">
        <v>91</v>
      </c>
      <c r="I404" s="3137" t="s">
        <v>121</v>
      </c>
      <c r="J404" s="1298" t="s">
        <v>1239</v>
      </c>
      <c r="K404" s="1299"/>
      <c r="L404" s="1300"/>
      <c r="M404" s="3065" t="s">
        <v>121</v>
      </c>
      <c r="N404" s="1298" t="s">
        <v>1240</v>
      </c>
      <c r="O404" s="1307"/>
      <c r="P404" s="1307"/>
      <c r="Q404" s="1307"/>
      <c r="R404" s="1307"/>
      <c r="S404" s="1307"/>
      <c r="T404" s="1307"/>
      <c r="U404" s="1307"/>
      <c r="V404" s="1307"/>
      <c r="W404" s="1307"/>
      <c r="X404" s="1308"/>
      <c r="Y404" s="1295"/>
      <c r="Z404" s="1292"/>
      <c r="AA404" s="1292"/>
      <c r="AB404" s="1293"/>
      <c r="AC404" s="1533"/>
      <c r="AD404" s="1534"/>
      <c r="AE404" s="1534"/>
      <c r="AF404" s="1535"/>
      <c r="AI404" s="3056" t="str">
        <f>"2B:unitcare_code:" &amp; IF(I404="■",1,IF(M404="■",2,0))</f>
        <v>2B:unitcare_code:0</v>
      </c>
    </row>
    <row r="405" spans="1:36" s="3056" customFormat="1" ht="18.75" hidden="1" customHeight="1">
      <c r="A405" s="735"/>
      <c r="B405" s="1407"/>
      <c r="C405" s="1287"/>
      <c r="D405" s="1288"/>
      <c r="E405" s="1275"/>
      <c r="F405" s="1289"/>
      <c r="G405" s="1305"/>
      <c r="H405" s="3193" t="s">
        <v>1241</v>
      </c>
      <c r="I405" s="3096" t="s">
        <v>121</v>
      </c>
      <c r="J405" s="3091" t="s">
        <v>1242</v>
      </c>
      <c r="K405" s="3095"/>
      <c r="L405" s="3094"/>
      <c r="M405" s="3093" t="s">
        <v>121</v>
      </c>
      <c r="N405" s="3091" t="s">
        <v>1243</v>
      </c>
      <c r="O405" s="3095"/>
      <c r="P405" s="3192"/>
      <c r="Q405" s="3192"/>
      <c r="R405" s="3192"/>
      <c r="S405" s="3192"/>
      <c r="T405" s="3192"/>
      <c r="U405" s="3192"/>
      <c r="V405" s="3192"/>
      <c r="W405" s="3192"/>
      <c r="X405" s="3191"/>
      <c r="Y405" s="1295"/>
      <c r="Z405" s="1292"/>
      <c r="AA405" s="1292"/>
      <c r="AB405" s="1293"/>
      <c r="AC405" s="1533"/>
      <c r="AD405" s="1534"/>
      <c r="AE405" s="1534"/>
      <c r="AF405" s="1535"/>
      <c r="AI405" s="3056" t="str">
        <f>"2B:sintaikousoku_code:" &amp; IF(I405="■",1,IF(M405="■",2,0))</f>
        <v>2B:sintaikousoku_code:0</v>
      </c>
    </row>
    <row r="406" spans="1:36" ht="19.5" hidden="1" customHeight="1">
      <c r="A406" s="735"/>
      <c r="B406" s="1407"/>
      <c r="C406" s="1303"/>
      <c r="D406" s="1304"/>
      <c r="E406" s="1275"/>
      <c r="F406" s="1289"/>
      <c r="G406" s="1305"/>
      <c r="H406" s="1306" t="s">
        <v>1244</v>
      </c>
      <c r="I406" s="3137" t="s">
        <v>121</v>
      </c>
      <c r="J406" s="1298" t="s">
        <v>1242</v>
      </c>
      <c r="K406" s="1299"/>
      <c r="L406" s="1300"/>
      <c r="M406" s="3065" t="s">
        <v>121</v>
      </c>
      <c r="N406" s="1298" t="s">
        <v>1245</v>
      </c>
      <c r="O406" s="1307"/>
      <c r="P406" s="1298"/>
      <c r="Q406" s="1307"/>
      <c r="R406" s="1307"/>
      <c r="S406" s="1307"/>
      <c r="T406" s="1307"/>
      <c r="U406" s="1307"/>
      <c r="V406" s="1307"/>
      <c r="W406" s="1307"/>
      <c r="X406" s="1308"/>
      <c r="Y406" s="1292"/>
      <c r="Z406" s="1292"/>
      <c r="AA406" s="1292"/>
      <c r="AB406" s="1293"/>
      <c r="AC406" s="1533"/>
      <c r="AD406" s="1534"/>
      <c r="AE406" s="1534"/>
      <c r="AF406" s="1535"/>
      <c r="AI406" s="3056" t="str">
        <f>"2B:field223:" &amp; IF(I406="■",1,IF(M406="■",2,0))</f>
        <v>2B:field223:0</v>
      </c>
    </row>
    <row r="407" spans="1:36" ht="19.5" hidden="1" customHeight="1">
      <c r="A407" s="735"/>
      <c r="B407" s="1407"/>
      <c r="C407" s="1303"/>
      <c r="D407" s="1304"/>
      <c r="E407" s="1275"/>
      <c r="F407" s="1289"/>
      <c r="G407" s="1305"/>
      <c r="H407" s="1306" t="s">
        <v>1246</v>
      </c>
      <c r="I407" s="3137" t="s">
        <v>121</v>
      </c>
      <c r="J407" s="1298" t="s">
        <v>1242</v>
      </c>
      <c r="K407" s="1299"/>
      <c r="L407" s="1300"/>
      <c r="M407" s="3065" t="s">
        <v>121</v>
      </c>
      <c r="N407" s="1298" t="s">
        <v>1245</v>
      </c>
      <c r="O407" s="1307"/>
      <c r="P407" s="1298"/>
      <c r="Q407" s="1307"/>
      <c r="R407" s="1307"/>
      <c r="S407" s="1307"/>
      <c r="T407" s="1307"/>
      <c r="U407" s="1307"/>
      <c r="V407" s="1307"/>
      <c r="W407" s="1307"/>
      <c r="X407" s="1308"/>
      <c r="Y407" s="1292"/>
      <c r="Z407" s="1292"/>
      <c r="AA407" s="1292"/>
      <c r="AB407" s="1293"/>
      <c r="AC407" s="1533"/>
      <c r="AD407" s="1534"/>
      <c r="AE407" s="1534"/>
      <c r="AF407" s="1535"/>
      <c r="AI407" s="3056" t="str">
        <f>"2B:field232:" &amp; IF(I407="■",1,IF(M407="■",2,0))</f>
        <v>2B:field232:0</v>
      </c>
    </row>
    <row r="408" spans="1:36" ht="18.75" hidden="1" customHeight="1">
      <c r="A408" s="735"/>
      <c r="B408" s="1407"/>
      <c r="C408" s="1303"/>
      <c r="D408" s="1304"/>
      <c r="E408" s="1275"/>
      <c r="F408" s="1289"/>
      <c r="G408" s="1275"/>
      <c r="H408" s="1409" t="s">
        <v>2295</v>
      </c>
      <c r="I408" s="3137" t="s">
        <v>121</v>
      </c>
      <c r="J408" s="1298" t="s">
        <v>1227</v>
      </c>
      <c r="K408" s="1299"/>
      <c r="L408" s="1300"/>
      <c r="M408" s="3065" t="s">
        <v>121</v>
      </c>
      <c r="N408" s="1298" t="s">
        <v>2291</v>
      </c>
      <c r="O408" s="1307"/>
      <c r="P408" s="1307"/>
      <c r="Q408" s="1307"/>
      <c r="R408" s="1307"/>
      <c r="S408" s="1307"/>
      <c r="T408" s="1307"/>
      <c r="U408" s="1307"/>
      <c r="V408" s="1307"/>
      <c r="W408" s="1307"/>
      <c r="X408" s="1308"/>
      <c r="Y408" s="1295"/>
      <c r="Z408" s="1292"/>
      <c r="AA408" s="1292"/>
      <c r="AB408" s="1293"/>
      <c r="AC408" s="1533"/>
      <c r="AD408" s="1534"/>
      <c r="AE408" s="1534"/>
      <c r="AF408" s="1535"/>
      <c r="AI408" s="3056" t="str">
        <f>"2B:field190:" &amp; IF(I408="■",1,IF(M408="■",2,0))</f>
        <v>2B:field190:0</v>
      </c>
    </row>
    <row r="409" spans="1:36" ht="18.75" hidden="1" customHeight="1">
      <c r="A409" s="735"/>
      <c r="B409" s="1407"/>
      <c r="C409" s="1303"/>
      <c r="D409" s="1304"/>
      <c r="E409" s="1275"/>
      <c r="F409" s="1289"/>
      <c r="G409" s="1275"/>
      <c r="H409" s="1409" t="s">
        <v>2293</v>
      </c>
      <c r="I409" s="3137" t="s">
        <v>121</v>
      </c>
      <c r="J409" s="1298" t="s">
        <v>1227</v>
      </c>
      <c r="K409" s="1299"/>
      <c r="L409" s="1300"/>
      <c r="M409" s="3065" t="s">
        <v>121</v>
      </c>
      <c r="N409" s="1298" t="s">
        <v>2291</v>
      </c>
      <c r="O409" s="1307"/>
      <c r="P409" s="1307"/>
      <c r="Q409" s="1307"/>
      <c r="R409" s="1307"/>
      <c r="S409" s="1307"/>
      <c r="T409" s="1307"/>
      <c r="U409" s="1307"/>
      <c r="V409" s="1307"/>
      <c r="W409" s="1307"/>
      <c r="X409" s="1308"/>
      <c r="Y409" s="1295"/>
      <c r="Z409" s="1292"/>
      <c r="AA409" s="1292"/>
      <c r="AB409" s="1293"/>
      <c r="AC409" s="1533"/>
      <c r="AD409" s="1534"/>
      <c r="AE409" s="1534"/>
      <c r="AF409" s="1535"/>
      <c r="AI409" s="3056" t="str">
        <f>"2B:field191:" &amp; IF(I409="■",1,IF(M409="■",2,0))</f>
        <v>2B:field191:0</v>
      </c>
    </row>
    <row r="410" spans="1:36" ht="18.75" hidden="1" customHeight="1">
      <c r="A410" s="735"/>
      <c r="B410" s="1407"/>
      <c r="C410" s="1303"/>
      <c r="D410" s="1304"/>
      <c r="E410" s="1275"/>
      <c r="F410" s="1289"/>
      <c r="G410" s="1275"/>
      <c r="H410" s="1409" t="s">
        <v>1318</v>
      </c>
      <c r="I410" s="3137" t="s">
        <v>121</v>
      </c>
      <c r="J410" s="1298" t="s">
        <v>1230</v>
      </c>
      <c r="K410" s="1299"/>
      <c r="L410" s="3065" t="s">
        <v>121</v>
      </c>
      <c r="M410" s="1298" t="s">
        <v>1248</v>
      </c>
      <c r="N410" s="1307"/>
      <c r="O410" s="1307"/>
      <c r="P410" s="1307"/>
      <c r="Q410" s="1307"/>
      <c r="R410" s="1307"/>
      <c r="S410" s="1307"/>
      <c r="T410" s="1307"/>
      <c r="U410" s="1307"/>
      <c r="V410" s="1307"/>
      <c r="W410" s="1307"/>
      <c r="X410" s="1308"/>
      <c r="Y410" s="1295"/>
      <c r="Z410" s="1292"/>
      <c r="AA410" s="1292"/>
      <c r="AB410" s="1293"/>
      <c r="AC410" s="1533"/>
      <c r="AD410" s="1534"/>
      <c r="AE410" s="1534"/>
      <c r="AF410" s="1535"/>
      <c r="AI410" s="3056" t="str">
        <f>"2B:jyakuninti_uke_code:" &amp; IF(I410="■",1,IF(L410="■",2,0))</f>
        <v>2B:jyakuninti_uke_code:0</v>
      </c>
    </row>
    <row r="411" spans="1:36" ht="18.75" hidden="1" customHeight="1">
      <c r="A411" s="3069" t="s">
        <v>121</v>
      </c>
      <c r="B411" s="1407" t="s">
        <v>2494</v>
      </c>
      <c r="C411" s="1303" t="s">
        <v>542</v>
      </c>
      <c r="D411" s="3069" t="s">
        <v>121</v>
      </c>
      <c r="E411" s="1275" t="s">
        <v>2496</v>
      </c>
      <c r="F411" s="3069" t="s">
        <v>121</v>
      </c>
      <c r="G411" s="1275" t="s">
        <v>2323</v>
      </c>
      <c r="H411" s="1409" t="s">
        <v>1324</v>
      </c>
      <c r="I411" s="3137" t="s">
        <v>121</v>
      </c>
      <c r="J411" s="1298" t="s">
        <v>1239</v>
      </c>
      <c r="K411" s="1299"/>
      <c r="L411" s="1300"/>
      <c r="M411" s="3065" t="s">
        <v>121</v>
      </c>
      <c r="N411" s="1298" t="s">
        <v>1240</v>
      </c>
      <c r="O411" s="1307"/>
      <c r="P411" s="1307"/>
      <c r="Q411" s="1307"/>
      <c r="R411" s="1307"/>
      <c r="S411" s="1307"/>
      <c r="T411" s="1307"/>
      <c r="U411" s="1307"/>
      <c r="V411" s="1307"/>
      <c r="W411" s="1307"/>
      <c r="X411" s="1308"/>
      <c r="Y411" s="1295"/>
      <c r="Z411" s="1292"/>
      <c r="AA411" s="1292"/>
      <c r="AB411" s="1293"/>
      <c r="AC411" s="1533"/>
      <c r="AD411" s="1534"/>
      <c r="AE411" s="1534"/>
      <c r="AF411" s="1535"/>
      <c r="AI411" s="3056" t="str">
        <f>"2B:sougei_code:" &amp; IF(I411="■",1,IF(M411="■",2,0))</f>
        <v>2B:sougei_code:0</v>
      </c>
    </row>
    <row r="412" spans="1:36" ht="19.5" hidden="1" customHeight="1">
      <c r="A412" s="735"/>
      <c r="B412" s="1407"/>
      <c r="C412" s="1303"/>
      <c r="D412" s="1304"/>
      <c r="E412" s="1275"/>
      <c r="F412" s="3069" t="s">
        <v>121</v>
      </c>
      <c r="G412" s="1275" t="s">
        <v>2322</v>
      </c>
      <c r="H412" s="1306" t="s">
        <v>1325</v>
      </c>
      <c r="I412" s="3137" t="s">
        <v>121</v>
      </c>
      <c r="J412" s="1298" t="s">
        <v>1230</v>
      </c>
      <c r="K412" s="1298"/>
      <c r="L412" s="3065" t="s">
        <v>121</v>
      </c>
      <c r="M412" s="1298" t="s">
        <v>1248</v>
      </c>
      <c r="N412" s="1298"/>
      <c r="O412" s="1307"/>
      <c r="P412" s="1298"/>
      <c r="Q412" s="1307"/>
      <c r="R412" s="1307"/>
      <c r="S412" s="1307"/>
      <c r="T412" s="1307"/>
      <c r="U412" s="1307"/>
      <c r="V412" s="1307"/>
      <c r="W412" s="1307"/>
      <c r="X412" s="1308"/>
      <c r="Y412" s="1292"/>
      <c r="Z412" s="1292"/>
      <c r="AA412" s="1292"/>
      <c r="AB412" s="1293"/>
      <c r="AC412" s="1533"/>
      <c r="AD412" s="1534"/>
      <c r="AE412" s="1534"/>
      <c r="AF412" s="1535"/>
      <c r="AI412" s="3056" t="str">
        <f>"2B:field224:" &amp; IF(I412="■",1,IF(L412="■",2,0))</f>
        <v>2B:field224:0</v>
      </c>
    </row>
    <row r="413" spans="1:36" ht="18.75" hidden="1" customHeight="1">
      <c r="A413" s="735"/>
      <c r="B413" s="1407"/>
      <c r="C413" s="1303"/>
      <c r="D413" s="1304"/>
      <c r="E413" s="1275"/>
      <c r="F413" s="1289"/>
      <c r="G413" s="1275"/>
      <c r="H413" s="1409" t="s">
        <v>145</v>
      </c>
      <c r="I413" s="3137" t="s">
        <v>121</v>
      </c>
      <c r="J413" s="1298" t="s">
        <v>1230</v>
      </c>
      <c r="K413" s="1299"/>
      <c r="L413" s="3065" t="s">
        <v>121</v>
      </c>
      <c r="M413" s="1298" t="s">
        <v>1248</v>
      </c>
      <c r="N413" s="1307"/>
      <c r="O413" s="1307"/>
      <c r="P413" s="1307"/>
      <c r="Q413" s="1307"/>
      <c r="R413" s="1307"/>
      <c r="S413" s="1307"/>
      <c r="T413" s="1307"/>
      <c r="U413" s="1307"/>
      <c r="V413" s="1307"/>
      <c r="W413" s="1307"/>
      <c r="X413" s="1308"/>
      <c r="Y413" s="1295"/>
      <c r="Z413" s="1292"/>
      <c r="AA413" s="1292"/>
      <c r="AB413" s="1293"/>
      <c r="AC413" s="1533"/>
      <c r="AD413" s="1534"/>
      <c r="AE413" s="1534"/>
      <c r="AF413" s="1535"/>
      <c r="AI413" s="3056" t="str">
        <f>"2B:ryouyoushoku_code:" &amp; IF(I413="■",1,IF(L413="■",2,0))</f>
        <v>2B:ryouyoushoku_code:0</v>
      </c>
    </row>
    <row r="414" spans="1:36" ht="18.75" hidden="1" customHeight="1">
      <c r="A414" s="735"/>
      <c r="B414" s="1407"/>
      <c r="C414" s="1303"/>
      <c r="D414" s="1304"/>
      <c r="E414" s="1275"/>
      <c r="F414" s="1289"/>
      <c r="G414" s="1275"/>
      <c r="H414" s="1409" t="s">
        <v>1260</v>
      </c>
      <c r="I414" s="3137" t="s">
        <v>121</v>
      </c>
      <c r="J414" s="1298" t="s">
        <v>1230</v>
      </c>
      <c r="K414" s="1298"/>
      <c r="L414" s="3065" t="s">
        <v>121</v>
      </c>
      <c r="M414" s="1298" t="s">
        <v>1256</v>
      </c>
      <c r="N414" s="1298"/>
      <c r="O414" s="3065" t="s">
        <v>121</v>
      </c>
      <c r="P414" s="1298" t="s">
        <v>1257</v>
      </c>
      <c r="Q414" s="1307"/>
      <c r="R414" s="1307"/>
      <c r="S414" s="1307"/>
      <c r="T414" s="1307"/>
      <c r="U414" s="1307"/>
      <c r="V414" s="1307"/>
      <c r="W414" s="1307"/>
      <c r="X414" s="1308"/>
      <c r="Y414" s="1295"/>
      <c r="Z414" s="1292"/>
      <c r="AA414" s="1292"/>
      <c r="AB414" s="1293"/>
      <c r="AC414" s="1533"/>
      <c r="AD414" s="1534"/>
      <c r="AE414" s="1534"/>
      <c r="AF414" s="1535"/>
      <c r="AI414" s="3056" t="str">
        <f>"2B:ninti_senmoncare_code:" &amp; IF(I414="■",1,IF(O414="■",3,IF(L414="■",2,0)))</f>
        <v>2B:ninti_senmoncare_code:0</v>
      </c>
    </row>
    <row r="415" spans="1:36" ht="18.75" hidden="1" customHeight="1">
      <c r="A415" s="735"/>
      <c r="B415" s="1407"/>
      <c r="C415" s="1303"/>
      <c r="D415" s="1304"/>
      <c r="E415" s="1275"/>
      <c r="F415" s="1289"/>
      <c r="G415" s="1275"/>
      <c r="H415" s="1541" t="s">
        <v>2393</v>
      </c>
      <c r="I415" s="3137" t="s">
        <v>121</v>
      </c>
      <c r="J415" s="1290" t="s">
        <v>1273</v>
      </c>
      <c r="K415" s="1290"/>
      <c r="L415" s="1314"/>
      <c r="M415" s="1314"/>
      <c r="N415" s="1314"/>
      <c r="O415" s="1314"/>
      <c r="P415" s="3136" t="s">
        <v>121</v>
      </c>
      <c r="Q415" s="1290" t="s">
        <v>1274</v>
      </c>
      <c r="R415" s="1314"/>
      <c r="S415" s="1314"/>
      <c r="T415" s="1314"/>
      <c r="U415" s="1314"/>
      <c r="V415" s="1314"/>
      <c r="W415" s="1314"/>
      <c r="X415" s="1315"/>
      <c r="Y415" s="1295"/>
      <c r="Z415" s="1292"/>
      <c r="AA415" s="1292"/>
      <c r="AB415" s="1293"/>
      <c r="AC415" s="1533"/>
      <c r="AD415" s="1534"/>
      <c r="AE415" s="1534"/>
      <c r="AF415" s="1535"/>
      <c r="AI415" s="3056" t="str">
        <f>"2B:" &amp; IF(AND(I415="□",P415="□",I416="□"),"tokusin_jyusho_code:0:tokusin_yakuzai_code:0:shuudan_comu_code:0",IF(I415="■","tokusin_jyusho_code:2","tokusin_jyusho_code:1")
&amp;IF(P415="■",":tokusin_yakuzai_code:2",":tokusin_yakuzai_code:1")
&amp;IF(I416="■",":shuudan_comu_code:2",":shuudan_comu_code:1"))</f>
        <v>2B:tokusin_jyusho_code:0:tokusin_yakuzai_code:0:shuudan_comu_code:0</v>
      </c>
    </row>
    <row r="416" spans="1:36" ht="18.75" hidden="1" customHeight="1">
      <c r="A416" s="735"/>
      <c r="B416" s="1407"/>
      <c r="C416" s="1303"/>
      <c r="D416" s="1304"/>
      <c r="E416" s="1275"/>
      <c r="F416" s="1289"/>
      <c r="G416" s="1275"/>
      <c r="H416" s="1542"/>
      <c r="I416" s="3069" t="s">
        <v>121</v>
      </c>
      <c r="J416" s="1296" t="s">
        <v>2318</v>
      </c>
      <c r="K416" s="1330"/>
      <c r="L416" s="1330"/>
      <c r="M416" s="1330"/>
      <c r="N416" s="1330"/>
      <c r="O416" s="1330"/>
      <c r="P416" s="1330"/>
      <c r="Q416" s="1403"/>
      <c r="R416" s="1330"/>
      <c r="S416" s="1330"/>
      <c r="T416" s="1330"/>
      <c r="U416" s="1330"/>
      <c r="V416" s="1330"/>
      <c r="W416" s="1330"/>
      <c r="X416" s="1356"/>
      <c r="Y416" s="1295"/>
      <c r="Z416" s="1292"/>
      <c r="AA416" s="1292"/>
      <c r="AB416" s="1293"/>
      <c r="AC416" s="1533"/>
      <c r="AD416" s="1534"/>
      <c r="AE416" s="1534"/>
      <c r="AF416" s="1535"/>
      <c r="AI416" s="3056"/>
    </row>
    <row r="417" spans="1:36" ht="18.75" hidden="1" customHeight="1">
      <c r="A417" s="735"/>
      <c r="B417" s="1407"/>
      <c r="C417" s="1303"/>
      <c r="D417" s="1304"/>
      <c r="E417" s="1275"/>
      <c r="F417" s="1289"/>
      <c r="G417" s="1275"/>
      <c r="H417" s="1541" t="s">
        <v>1280</v>
      </c>
      <c r="I417" s="3137" t="s">
        <v>121</v>
      </c>
      <c r="J417" s="1290" t="s">
        <v>2317</v>
      </c>
      <c r="K417" s="1328"/>
      <c r="L417" s="1329"/>
      <c r="M417" s="3136" t="s">
        <v>121</v>
      </c>
      <c r="N417" s="1290" t="s">
        <v>2316</v>
      </c>
      <c r="O417" s="1314"/>
      <c r="P417" s="1314"/>
      <c r="Q417" s="3136" t="s">
        <v>121</v>
      </c>
      <c r="R417" s="1290" t="s">
        <v>2315</v>
      </c>
      <c r="S417" s="1314"/>
      <c r="T417" s="1314"/>
      <c r="U417" s="1314"/>
      <c r="V417" s="1314"/>
      <c r="W417" s="1314"/>
      <c r="X417" s="1315"/>
      <c r="Y417" s="1295"/>
      <c r="Z417" s="1292"/>
      <c r="AA417" s="1292"/>
      <c r="AB417" s="1293"/>
      <c r="AC417" s="1533"/>
      <c r="AD417" s="1534"/>
      <c r="AE417" s="1534"/>
      <c r="AF417" s="1535"/>
      <c r="AI417" s="3056" t="str">
        <f>"2B:"&amp;IF(AND(I417="□",M417="□",Q417="□",I418="□",Q418="□"),"koriha_rryoho1_code:0:koriha_sryoho_code:0:koriha_gengo_code:0:riha_seisin_code:0:koriha_other_code:0",IF(I417="■","koriha_rryoho1_code:2","koriha_rryoho1_code:1")
&amp;IF(M417="■",":koriha_sryoho_code:2",":koriha_sryoho_code:1")
&amp;IF(Q417="■",":koriha_gengo_code:2",":koriha_gengo_code:1")
&amp;IF(I418="■",":riha_seisin_code:2",":riha_seisin_code:1")
&amp;IF(Q418="■",":koriha_other_code:2",":koriha_other_code:1"))</f>
        <v>2B:koriha_rryoho1_code:0:koriha_sryoho_code:0:koriha_gengo_code:0:riha_seisin_code:0:koriha_other_code:0</v>
      </c>
    </row>
    <row r="418" spans="1:36" ht="18.75" hidden="1" customHeight="1">
      <c r="A418" s="735"/>
      <c r="B418" s="1407"/>
      <c r="C418" s="1303"/>
      <c r="D418" s="1304"/>
      <c r="E418" s="1275"/>
      <c r="F418" s="1289"/>
      <c r="G418" s="1275"/>
      <c r="H418" s="1542"/>
      <c r="I418" s="3069" t="s">
        <v>121</v>
      </c>
      <c r="J418" s="1296" t="s">
        <v>2314</v>
      </c>
      <c r="K418" s="1330"/>
      <c r="L418" s="1330"/>
      <c r="M418" s="1330"/>
      <c r="N418" s="1330"/>
      <c r="O418" s="1330"/>
      <c r="P418" s="1330"/>
      <c r="Q418" s="3062" t="s">
        <v>121</v>
      </c>
      <c r="R418" s="1296" t="s">
        <v>2313</v>
      </c>
      <c r="S418" s="1403"/>
      <c r="T418" s="1330"/>
      <c r="U418" s="1330"/>
      <c r="V418" s="1330"/>
      <c r="W418" s="1330"/>
      <c r="X418" s="1356"/>
      <c r="Y418" s="1295"/>
      <c r="Z418" s="1292"/>
      <c r="AA418" s="1292"/>
      <c r="AB418" s="1293"/>
      <c r="AC418" s="1533"/>
      <c r="AD418" s="1534"/>
      <c r="AE418" s="1534"/>
      <c r="AF418" s="1535"/>
      <c r="AI418" s="3056"/>
    </row>
    <row r="419" spans="1:36" ht="18.75" hidden="1" customHeight="1">
      <c r="A419" s="735"/>
      <c r="B419" s="1407"/>
      <c r="C419" s="1303"/>
      <c r="D419" s="1304"/>
      <c r="E419" s="1275"/>
      <c r="F419" s="1289"/>
      <c r="G419" s="1275"/>
      <c r="H419" s="1313" t="s">
        <v>1265</v>
      </c>
      <c r="I419" s="3137" t="s">
        <v>121</v>
      </c>
      <c r="J419" s="1298" t="s">
        <v>1230</v>
      </c>
      <c r="K419" s="1298"/>
      <c r="L419" s="3065" t="s">
        <v>121</v>
      </c>
      <c r="M419" s="1298" t="s">
        <v>1256</v>
      </c>
      <c r="N419" s="1298"/>
      <c r="O419" s="3065" t="s">
        <v>121</v>
      </c>
      <c r="P419" s="1298" t="s">
        <v>1257</v>
      </c>
      <c r="Q419" s="1307"/>
      <c r="R419" s="1307"/>
      <c r="S419" s="1307"/>
      <c r="T419" s="1307"/>
      <c r="U419" s="1314"/>
      <c r="V419" s="1314"/>
      <c r="W419" s="1314"/>
      <c r="X419" s="1315"/>
      <c r="Y419" s="1295"/>
      <c r="Z419" s="1292"/>
      <c r="AA419" s="1292"/>
      <c r="AB419" s="1293"/>
      <c r="AC419" s="1533"/>
      <c r="AD419" s="1534"/>
      <c r="AE419" s="1534"/>
      <c r="AF419" s="1535"/>
      <c r="AI419" s="3056" t="str">
        <f>"2B:field225:" &amp; IF(I419="■",1,IF(L419="■",2,IF(O419="■",3,0)))</f>
        <v>2B:field225:0</v>
      </c>
    </row>
    <row r="420" spans="1:36" ht="18.75" hidden="1" customHeight="1">
      <c r="A420" s="735"/>
      <c r="B420" s="1407"/>
      <c r="C420" s="1303"/>
      <c r="D420" s="1304"/>
      <c r="E420" s="1275"/>
      <c r="F420" s="1289"/>
      <c r="G420" s="1275"/>
      <c r="H420" s="1409" t="s">
        <v>1266</v>
      </c>
      <c r="I420" s="3137" t="s">
        <v>121</v>
      </c>
      <c r="J420" s="1298" t="s">
        <v>1230</v>
      </c>
      <c r="K420" s="1298"/>
      <c r="L420" s="3065" t="s">
        <v>121</v>
      </c>
      <c r="M420" s="1298" t="s">
        <v>1267</v>
      </c>
      <c r="N420" s="1298"/>
      <c r="O420" s="3065" t="s">
        <v>121</v>
      </c>
      <c r="P420" s="1298" t="s">
        <v>1268</v>
      </c>
      <c r="Q420" s="1326"/>
      <c r="R420" s="3065" t="s">
        <v>121</v>
      </c>
      <c r="S420" s="1298" t="s">
        <v>1269</v>
      </c>
      <c r="T420" s="1326"/>
      <c r="U420" s="1326"/>
      <c r="V420" s="1326"/>
      <c r="W420" s="1326"/>
      <c r="X420" s="1327"/>
      <c r="Y420" s="1295"/>
      <c r="Z420" s="1292"/>
      <c r="AA420" s="1292"/>
      <c r="AB420" s="1293"/>
      <c r="AC420" s="1533"/>
      <c r="AD420" s="1534"/>
      <c r="AE420" s="1534"/>
      <c r="AF420" s="1535"/>
      <c r="AI420" s="3056" t="str">
        <f>"2B:serteikyo_kyoka_code:" &amp; IF(I420="■",1,IF(L420="■",6,IF(O420="■",5,IF(R420="■",7,0))))</f>
        <v>2B:serteikyo_kyoka_code:0</v>
      </c>
    </row>
    <row r="421" spans="1:36" ht="18.75" hidden="1" customHeight="1">
      <c r="A421" s="735"/>
      <c r="B421" s="1407"/>
      <c r="C421" s="1303"/>
      <c r="D421" s="1304"/>
      <c r="E421" s="1275"/>
      <c r="F421" s="1289"/>
      <c r="G421" s="1275"/>
      <c r="H421" s="1539" t="s">
        <v>2390</v>
      </c>
      <c r="I421" s="3160" t="s">
        <v>121</v>
      </c>
      <c r="J421" s="3161" t="s">
        <v>1230</v>
      </c>
      <c r="K421" s="3161"/>
      <c r="L421" s="3160" t="s">
        <v>121</v>
      </c>
      <c r="M421" s="3161" t="s">
        <v>1248</v>
      </c>
      <c r="N421" s="3161"/>
      <c r="O421" s="1402"/>
      <c r="P421" s="1402"/>
      <c r="Q421" s="1402"/>
      <c r="R421" s="1402"/>
      <c r="S421" s="1402"/>
      <c r="T421" s="1402"/>
      <c r="U421" s="1402"/>
      <c r="V421" s="1402"/>
      <c r="W421" s="1402"/>
      <c r="X421" s="1291"/>
      <c r="Y421" s="1295"/>
      <c r="Z421" s="1292"/>
      <c r="AA421" s="1292"/>
      <c r="AB421" s="1293"/>
      <c r="AC421" s="1533"/>
      <c r="AD421" s="1534"/>
      <c r="AE421" s="1534"/>
      <c r="AF421" s="1535"/>
      <c r="AI421" s="3056" t="str">
        <f>"2B:field221:" &amp; IF(I421="■",1,IF(L421="■",2,0))</f>
        <v>2B:field221:0</v>
      </c>
    </row>
    <row r="422" spans="1:36" ht="18.75" hidden="1" customHeight="1">
      <c r="A422" s="735"/>
      <c r="B422" s="1407"/>
      <c r="C422" s="1303"/>
      <c r="D422" s="1304"/>
      <c r="E422" s="1275"/>
      <c r="F422" s="1289"/>
      <c r="G422" s="1275"/>
      <c r="H422" s="1540"/>
      <c r="I422" s="3160"/>
      <c r="J422" s="3161"/>
      <c r="K422" s="3161"/>
      <c r="L422" s="3160"/>
      <c r="M422" s="3161"/>
      <c r="N422" s="3161"/>
      <c r="O422" s="1403"/>
      <c r="P422" s="1403"/>
      <c r="Q422" s="1403"/>
      <c r="R422" s="1403"/>
      <c r="S422" s="1403"/>
      <c r="T422" s="1403"/>
      <c r="U422" s="1403"/>
      <c r="V422" s="1403"/>
      <c r="W422" s="1403"/>
      <c r="X422" s="1297"/>
      <c r="Y422" s="1295"/>
      <c r="Z422" s="1292"/>
      <c r="AA422" s="1292"/>
      <c r="AB422" s="1293"/>
      <c r="AC422" s="1533"/>
      <c r="AD422" s="1534"/>
      <c r="AE422" s="1534"/>
      <c r="AF422" s="1535"/>
    </row>
    <row r="423" spans="1:36" ht="18.75" hidden="1" customHeight="1">
      <c r="A423" s="736"/>
      <c r="B423" s="1407"/>
      <c r="C423" s="1346"/>
      <c r="D423" s="1348"/>
      <c r="E423" s="1317"/>
      <c r="F423" s="1318"/>
      <c r="G423" s="1361"/>
      <c r="H423" s="3134" t="s">
        <v>2288</v>
      </c>
      <c r="I423" s="3137" t="s">
        <v>121</v>
      </c>
      <c r="J423" s="3130" t="s">
        <v>1230</v>
      </c>
      <c r="K423" s="3130"/>
      <c r="L423" s="3059" t="s">
        <v>121</v>
      </c>
      <c r="M423" s="3130" t="s">
        <v>2287</v>
      </c>
      <c r="N423" s="3133"/>
      <c r="O423" s="3059" t="s">
        <v>121</v>
      </c>
      <c r="P423" s="3132" t="s">
        <v>2286</v>
      </c>
      <c r="Q423" s="3131"/>
      <c r="R423" s="3059" t="s">
        <v>121</v>
      </c>
      <c r="S423" s="3130" t="s">
        <v>2285</v>
      </c>
      <c r="T423" s="3131"/>
      <c r="U423" s="3059" t="s">
        <v>121</v>
      </c>
      <c r="V423" s="3130" t="s">
        <v>2284</v>
      </c>
      <c r="W423" s="3129"/>
      <c r="X423" s="3128"/>
      <c r="Y423" s="1323"/>
      <c r="Z423" s="1323"/>
      <c r="AA423" s="1323"/>
      <c r="AB423" s="1324"/>
      <c r="AC423" s="1533"/>
      <c r="AD423" s="1534"/>
      <c r="AE423" s="1534"/>
      <c r="AF423" s="1535"/>
      <c r="AG423" s="3056"/>
      <c r="AH423" s="3056"/>
      <c r="AI423" s="3056" t="str">
        <f>"2B:shoguukaizen_code:"&amp;IF(I423="■",1,IF(L423="■",7,IF(O423="■",8,IF(R423="■",9,IF(U423="■","A",0)))))</f>
        <v>2B:shoguukaizen_code:0</v>
      </c>
    </row>
    <row r="424" spans="1:36" ht="18.75" hidden="1" customHeight="1">
      <c r="A424" s="1276"/>
      <c r="B424" s="1405"/>
      <c r="C424" s="1333"/>
      <c r="D424" s="1335"/>
      <c r="E424" s="1272"/>
      <c r="F424" s="1279"/>
      <c r="G424" s="1272"/>
      <c r="H424" s="1545" t="s">
        <v>1226</v>
      </c>
      <c r="I424" s="3137" t="s">
        <v>121</v>
      </c>
      <c r="J424" s="1270" t="s">
        <v>1227</v>
      </c>
      <c r="K424" s="3139"/>
      <c r="L424" s="1337"/>
      <c r="M424" s="3138" t="s">
        <v>121</v>
      </c>
      <c r="N424" s="1270" t="s">
        <v>2306</v>
      </c>
      <c r="O424" s="1334"/>
      <c r="P424" s="1334"/>
      <c r="Q424" s="3138" t="s">
        <v>121</v>
      </c>
      <c r="R424" s="1270" t="s">
        <v>2305</v>
      </c>
      <c r="S424" s="1334"/>
      <c r="T424" s="1334"/>
      <c r="U424" s="3138" t="s">
        <v>121</v>
      </c>
      <c r="V424" s="1270" t="s">
        <v>2304</v>
      </c>
      <c r="W424" s="1334"/>
      <c r="X424" s="1336"/>
      <c r="Y424" s="3119" t="s">
        <v>121</v>
      </c>
      <c r="Z424" s="1270" t="s">
        <v>1229</v>
      </c>
      <c r="AA424" s="1270"/>
      <c r="AB424" s="1286"/>
      <c r="AC424" s="1530"/>
      <c r="AD424" s="1531"/>
      <c r="AE424" s="1531"/>
      <c r="AF424" s="1532"/>
      <c r="AG424" s="3056" t="str">
        <f>"ser_code = '" &amp; IF(A435="■","2B","") &amp; "'"</f>
        <v>ser_code = ''</v>
      </c>
      <c r="AH424" s="3056"/>
      <c r="AI424" s="3056" t="str">
        <f>"2B:yakan_kinmu_code:" &amp; IF(I424="■",1,IF(M424="■",2,IF(Q424="■",3,IF(U424="■",7,IF(I425="■",5,IF(M425="■",6,0))))))</f>
        <v>2B:yakan_kinmu_code:0</v>
      </c>
      <c r="AJ424" s="3056" t="str">
        <f>"2B:field203:" &amp; IF(Y424="■",1,IF(Y425="■",2,0))</f>
        <v>2B:field203:0</v>
      </c>
    </row>
    <row r="425" spans="1:36" ht="18.75" hidden="1" customHeight="1">
      <c r="A425" s="735"/>
      <c r="B425" s="1407"/>
      <c r="C425" s="1303"/>
      <c r="D425" s="1304"/>
      <c r="E425" s="1275"/>
      <c r="F425" s="1289"/>
      <c r="G425" s="1275"/>
      <c r="H425" s="1542"/>
      <c r="I425" s="3069" t="s">
        <v>121</v>
      </c>
      <c r="J425" s="1296" t="s">
        <v>2303</v>
      </c>
      <c r="K425" s="1309"/>
      <c r="L425" s="1355"/>
      <c r="M425" s="3062" t="s">
        <v>121</v>
      </c>
      <c r="N425" s="1296" t="s">
        <v>1228</v>
      </c>
      <c r="O425" s="1403"/>
      <c r="P425" s="1403"/>
      <c r="Q425" s="1403"/>
      <c r="R425" s="1403"/>
      <c r="S425" s="1403"/>
      <c r="T425" s="1403"/>
      <c r="U425" s="1403"/>
      <c r="V425" s="1403"/>
      <c r="W425" s="1403"/>
      <c r="X425" s="1297"/>
      <c r="Y425" s="3122" t="s">
        <v>121</v>
      </c>
      <c r="Z425" s="1273" t="s">
        <v>1234</v>
      </c>
      <c r="AA425" s="1292"/>
      <c r="AB425" s="1293"/>
      <c r="AC425" s="1533"/>
      <c r="AD425" s="1534"/>
      <c r="AE425" s="1534"/>
      <c r="AF425" s="1535"/>
      <c r="AG425" s="3056" t="str">
        <f>"2B:sisetukbn_code:"&amp;IF(D435="■","5",0)</f>
        <v>2B:sisetukbn_code:0</v>
      </c>
      <c r="AH425" s="3056"/>
      <c r="AI425" s="3056"/>
      <c r="AJ425" s="3056"/>
    </row>
    <row r="426" spans="1:36" ht="18.75" hidden="1" customHeight="1">
      <c r="A426" s="735"/>
      <c r="B426" s="1407"/>
      <c r="C426" s="1303"/>
      <c r="D426" s="1304"/>
      <c r="E426" s="1275"/>
      <c r="F426" s="1289"/>
      <c r="G426" s="1275"/>
      <c r="H426" s="1541" t="s">
        <v>1290</v>
      </c>
      <c r="I426" s="3137" t="s">
        <v>121</v>
      </c>
      <c r="J426" s="1290" t="s">
        <v>1230</v>
      </c>
      <c r="K426" s="1290"/>
      <c r="L426" s="1329"/>
      <c r="M426" s="3136" t="s">
        <v>121</v>
      </c>
      <c r="N426" s="1290" t="s">
        <v>1231</v>
      </c>
      <c r="O426" s="1290"/>
      <c r="P426" s="1329"/>
      <c r="Q426" s="3136" t="s">
        <v>121</v>
      </c>
      <c r="R426" s="1402" t="s">
        <v>2302</v>
      </c>
      <c r="S426" s="1402"/>
      <c r="T426" s="1402"/>
      <c r="U426" s="1314"/>
      <c r="V426" s="1329"/>
      <c r="W426" s="1402"/>
      <c r="X426" s="1315"/>
      <c r="Y426" s="1295"/>
      <c r="Z426" s="1292"/>
      <c r="AA426" s="1292"/>
      <c r="AB426" s="1293"/>
      <c r="AC426" s="1533"/>
      <c r="AD426" s="1534"/>
      <c r="AE426" s="1534"/>
      <c r="AF426" s="1535"/>
      <c r="AG426" s="3056"/>
      <c r="AH426" s="3056"/>
      <c r="AI426" s="3056" t="str">
        <f>"2B:"&amp;IF(AND(I426="□",M426="□",Q426="□",I427="□",M427="□"),"ketu_doctor_code:0",IF(I426="■","ketu_doctor_code:1:field197:1:ketu_kangos_code:1:ketu_kshoku_code:1",IF(M426="■","ketu_doctor_code:2","ketu_doctor_code:1")
&amp;IF(Q426="■",":field197:2",":field197:1")
&amp;IF(I427="■",":ketu_kangos_code:2",":ketu_kangos_code:1")
&amp;IF(M427="■",":ketu_kshoku_code:2",":ketu_kshoku_code:1")))</f>
        <v>2B:ketu_doctor_code:0</v>
      </c>
      <c r="AJ426" s="3056"/>
    </row>
    <row r="427" spans="1:36" ht="18.75" hidden="1" customHeight="1">
      <c r="A427" s="735"/>
      <c r="B427" s="1407"/>
      <c r="C427" s="1303"/>
      <c r="D427" s="1304"/>
      <c r="E427" s="1275"/>
      <c r="F427" s="1289"/>
      <c r="G427" s="1275"/>
      <c r="H427" s="1542"/>
      <c r="I427" s="3069" t="s">
        <v>121</v>
      </c>
      <c r="J427" s="1403" t="s">
        <v>2301</v>
      </c>
      <c r="K427" s="1403"/>
      <c r="L427" s="1403"/>
      <c r="M427" s="3062" t="s">
        <v>121</v>
      </c>
      <c r="N427" s="1403" t="s">
        <v>2300</v>
      </c>
      <c r="O427" s="1355"/>
      <c r="P427" s="1403"/>
      <c r="Q427" s="1403"/>
      <c r="R427" s="1355"/>
      <c r="S427" s="1403"/>
      <c r="T427" s="1403"/>
      <c r="U427" s="1330"/>
      <c r="V427" s="1355"/>
      <c r="W427" s="1403"/>
      <c r="X427" s="1356"/>
      <c r="Y427" s="1295"/>
      <c r="Z427" s="1292"/>
      <c r="AA427" s="1292"/>
      <c r="AB427" s="1293"/>
      <c r="AC427" s="1533"/>
      <c r="AD427" s="1534"/>
      <c r="AE427" s="1534"/>
      <c r="AF427" s="1535"/>
      <c r="AI427" s="3056"/>
    </row>
    <row r="428" spans="1:36" ht="18.75" hidden="1" customHeight="1">
      <c r="A428" s="735"/>
      <c r="B428" s="1407"/>
      <c r="C428" s="1303"/>
      <c r="D428" s="1304"/>
      <c r="E428" s="1275"/>
      <c r="F428" s="1289"/>
      <c r="G428" s="1275"/>
      <c r="H428" s="1409" t="s">
        <v>91</v>
      </c>
      <c r="I428" s="3137" t="s">
        <v>121</v>
      </c>
      <c r="J428" s="1298" t="s">
        <v>1239</v>
      </c>
      <c r="K428" s="1299"/>
      <c r="L428" s="1300"/>
      <c r="M428" s="3065" t="s">
        <v>121</v>
      </c>
      <c r="N428" s="1298" t="s">
        <v>1240</v>
      </c>
      <c r="O428" s="1307"/>
      <c r="P428" s="1307"/>
      <c r="Q428" s="1307"/>
      <c r="R428" s="1307"/>
      <c r="S428" s="1307"/>
      <c r="T428" s="1307"/>
      <c r="U428" s="1307"/>
      <c r="V428" s="1307"/>
      <c r="W428" s="1307"/>
      <c r="X428" s="1308"/>
      <c r="Y428" s="1295"/>
      <c r="Z428" s="1292"/>
      <c r="AA428" s="1292"/>
      <c r="AB428" s="1293"/>
      <c r="AC428" s="1533"/>
      <c r="AD428" s="1534"/>
      <c r="AE428" s="1534"/>
      <c r="AF428" s="1535"/>
      <c r="AI428" s="3056" t="str">
        <f>"2B:unitcare_code:" &amp; IF(I428="■",1,IF(M428="■",2,0))</f>
        <v>2B:unitcare_code:0</v>
      </c>
    </row>
    <row r="429" spans="1:36" s="3056" customFormat="1" ht="18.75" hidden="1" customHeight="1">
      <c r="A429" s="735"/>
      <c r="B429" s="1407"/>
      <c r="C429" s="1287"/>
      <c r="D429" s="1288"/>
      <c r="E429" s="1275"/>
      <c r="F429" s="1289"/>
      <c r="G429" s="1305"/>
      <c r="H429" s="3193" t="s">
        <v>1241</v>
      </c>
      <c r="I429" s="3096" t="s">
        <v>121</v>
      </c>
      <c r="J429" s="3091" t="s">
        <v>1242</v>
      </c>
      <c r="K429" s="3095"/>
      <c r="L429" s="3094"/>
      <c r="M429" s="3093" t="s">
        <v>121</v>
      </c>
      <c r="N429" s="3091" t="s">
        <v>1243</v>
      </c>
      <c r="O429" s="3095"/>
      <c r="P429" s="3192"/>
      <c r="Q429" s="3192"/>
      <c r="R429" s="3192"/>
      <c r="S429" s="3192"/>
      <c r="T429" s="3192"/>
      <c r="U429" s="3192"/>
      <c r="V429" s="3192"/>
      <c r="W429" s="3192"/>
      <c r="X429" s="3191"/>
      <c r="Y429" s="1295"/>
      <c r="Z429" s="1292"/>
      <c r="AA429" s="1292"/>
      <c r="AB429" s="1293"/>
      <c r="AC429" s="1533"/>
      <c r="AD429" s="1534"/>
      <c r="AE429" s="1534"/>
      <c r="AF429" s="1535"/>
      <c r="AI429" s="3056" t="str">
        <f>"2B:sintaikousoku_code:" &amp; IF(I429="■",1,IF(M429="■",2,0))</f>
        <v>2B:sintaikousoku_code:0</v>
      </c>
    </row>
    <row r="430" spans="1:36" ht="19.5" hidden="1" customHeight="1">
      <c r="A430" s="735"/>
      <c r="B430" s="1407"/>
      <c r="C430" s="1303"/>
      <c r="D430" s="1304"/>
      <c r="E430" s="1275"/>
      <c r="F430" s="1289"/>
      <c r="G430" s="1305"/>
      <c r="H430" s="1306" t="s">
        <v>1244</v>
      </c>
      <c r="I430" s="3137" t="s">
        <v>121</v>
      </c>
      <c r="J430" s="1298" t="s">
        <v>1242</v>
      </c>
      <c r="K430" s="1299"/>
      <c r="L430" s="1300"/>
      <c r="M430" s="3065" t="s">
        <v>121</v>
      </c>
      <c r="N430" s="1298" t="s">
        <v>1245</v>
      </c>
      <c r="O430" s="1307"/>
      <c r="P430" s="1298"/>
      <c r="Q430" s="1307"/>
      <c r="R430" s="1307"/>
      <c r="S430" s="1307"/>
      <c r="T430" s="1307"/>
      <c r="U430" s="1307"/>
      <c r="V430" s="1307"/>
      <c r="W430" s="1307"/>
      <c r="X430" s="1308"/>
      <c r="Y430" s="1292"/>
      <c r="Z430" s="1292"/>
      <c r="AA430" s="1292"/>
      <c r="AB430" s="1293"/>
      <c r="AC430" s="1533"/>
      <c r="AD430" s="1534"/>
      <c r="AE430" s="1534"/>
      <c r="AF430" s="1535"/>
      <c r="AI430" s="3056" t="str">
        <f>"2B:field223:" &amp; IF(I430="■",1,IF(M430="■",2,0))</f>
        <v>2B:field223:0</v>
      </c>
    </row>
    <row r="431" spans="1:36" ht="19.5" hidden="1" customHeight="1">
      <c r="A431" s="735"/>
      <c r="B431" s="1407"/>
      <c r="C431" s="1303"/>
      <c r="D431" s="1304"/>
      <c r="E431" s="1275"/>
      <c r="F431" s="1289"/>
      <c r="G431" s="1305"/>
      <c r="H431" s="1306" t="s">
        <v>1246</v>
      </c>
      <c r="I431" s="3137" t="s">
        <v>121</v>
      </c>
      <c r="J431" s="1298" t="s">
        <v>1242</v>
      </c>
      <c r="K431" s="1299"/>
      <c r="L431" s="1300"/>
      <c r="M431" s="3065" t="s">
        <v>121</v>
      </c>
      <c r="N431" s="1298" t="s">
        <v>1245</v>
      </c>
      <c r="O431" s="1307"/>
      <c r="P431" s="1298"/>
      <c r="Q431" s="1307"/>
      <c r="R431" s="1307"/>
      <c r="S431" s="1307"/>
      <c r="T431" s="1307"/>
      <c r="U431" s="1307"/>
      <c r="V431" s="1307"/>
      <c r="W431" s="1307"/>
      <c r="X431" s="1308"/>
      <c r="Y431" s="1292"/>
      <c r="Z431" s="1292"/>
      <c r="AA431" s="1292"/>
      <c r="AB431" s="1293"/>
      <c r="AC431" s="1533"/>
      <c r="AD431" s="1534"/>
      <c r="AE431" s="1534"/>
      <c r="AF431" s="1535"/>
      <c r="AI431" s="3056" t="str">
        <f>"2B:field232:" &amp; IF(I431="■",1,IF(M431="■",2,0))</f>
        <v>2B:field232:0</v>
      </c>
    </row>
    <row r="432" spans="1:36" ht="18.75" hidden="1" customHeight="1">
      <c r="A432" s="735"/>
      <c r="B432" s="1407"/>
      <c r="C432" s="1303"/>
      <c r="D432" s="1304"/>
      <c r="E432" s="1275"/>
      <c r="F432" s="1289"/>
      <c r="G432" s="1275"/>
      <c r="H432" s="1409" t="s">
        <v>2295</v>
      </c>
      <c r="I432" s="3137" t="s">
        <v>121</v>
      </c>
      <c r="J432" s="1298" t="s">
        <v>1227</v>
      </c>
      <c r="K432" s="1299"/>
      <c r="L432" s="1300"/>
      <c r="M432" s="3065" t="s">
        <v>121</v>
      </c>
      <c r="N432" s="1298" t="s">
        <v>2291</v>
      </c>
      <c r="O432" s="1307"/>
      <c r="P432" s="1307"/>
      <c r="Q432" s="1307"/>
      <c r="R432" s="1307"/>
      <c r="S432" s="1307"/>
      <c r="T432" s="1307"/>
      <c r="U432" s="1307"/>
      <c r="V432" s="1307"/>
      <c r="W432" s="1307"/>
      <c r="X432" s="1308"/>
      <c r="Y432" s="1295"/>
      <c r="Z432" s="1292"/>
      <c r="AA432" s="1292"/>
      <c r="AB432" s="1293"/>
      <c r="AC432" s="1533"/>
      <c r="AD432" s="1534"/>
      <c r="AE432" s="1534"/>
      <c r="AF432" s="1535"/>
      <c r="AI432" s="3056" t="str">
        <f>"2B:field190:" &amp; IF(I432="■",1,IF(M432="■",2,0))</f>
        <v>2B:field190:0</v>
      </c>
    </row>
    <row r="433" spans="1:36" ht="18.75" hidden="1" customHeight="1">
      <c r="A433" s="735"/>
      <c r="B433" s="1407"/>
      <c r="C433" s="1303"/>
      <c r="D433" s="1304"/>
      <c r="E433" s="1275"/>
      <c r="F433" s="1289"/>
      <c r="G433" s="1275"/>
      <c r="H433" s="1409" t="s">
        <v>2293</v>
      </c>
      <c r="I433" s="3137" t="s">
        <v>121</v>
      </c>
      <c r="J433" s="1298" t="s">
        <v>1227</v>
      </c>
      <c r="K433" s="1299"/>
      <c r="L433" s="1300"/>
      <c r="M433" s="3065" t="s">
        <v>121</v>
      </c>
      <c r="N433" s="1298" t="s">
        <v>2291</v>
      </c>
      <c r="O433" s="1307"/>
      <c r="P433" s="1307"/>
      <c r="Q433" s="1307"/>
      <c r="R433" s="1307"/>
      <c r="S433" s="1307"/>
      <c r="T433" s="1307"/>
      <c r="U433" s="1307"/>
      <c r="V433" s="1307"/>
      <c r="W433" s="1307"/>
      <c r="X433" s="1308"/>
      <c r="Y433" s="1295"/>
      <c r="Z433" s="1292"/>
      <c r="AA433" s="1292"/>
      <c r="AB433" s="1293"/>
      <c r="AC433" s="1533"/>
      <c r="AD433" s="1534"/>
      <c r="AE433" s="1534"/>
      <c r="AF433" s="1535"/>
      <c r="AI433" s="3056" t="str">
        <f>"2B:field191:" &amp; IF(I433="■",1,IF(M433="■",2,0))</f>
        <v>2B:field191:0</v>
      </c>
    </row>
    <row r="434" spans="1:36" ht="18.75" hidden="1" customHeight="1">
      <c r="A434" s="735"/>
      <c r="B434" s="1407"/>
      <c r="C434" s="1303"/>
      <c r="D434" s="1304"/>
      <c r="E434" s="1275"/>
      <c r="F434" s="1289"/>
      <c r="G434" s="1275"/>
      <c r="H434" s="1409" t="s">
        <v>1318</v>
      </c>
      <c r="I434" s="3137" t="s">
        <v>121</v>
      </c>
      <c r="J434" s="1298" t="s">
        <v>1230</v>
      </c>
      <c r="K434" s="1299"/>
      <c r="L434" s="3065" t="s">
        <v>121</v>
      </c>
      <c r="M434" s="1298" t="s">
        <v>1248</v>
      </c>
      <c r="N434" s="1307"/>
      <c r="O434" s="1307"/>
      <c r="P434" s="1307"/>
      <c r="Q434" s="1307"/>
      <c r="R434" s="1307"/>
      <c r="S434" s="1307"/>
      <c r="T434" s="1307"/>
      <c r="U434" s="1307"/>
      <c r="V434" s="1307"/>
      <c r="W434" s="1307"/>
      <c r="X434" s="1308"/>
      <c r="Y434" s="1295"/>
      <c r="Z434" s="1292"/>
      <c r="AA434" s="1292"/>
      <c r="AB434" s="1293"/>
      <c r="AC434" s="1533"/>
      <c r="AD434" s="1534"/>
      <c r="AE434" s="1534"/>
      <c r="AF434" s="1535"/>
      <c r="AI434" s="3056" t="str">
        <f>"2B:jyakuninti_uke_code:" &amp; IF(I434="■",1,IF(L434="■",2,0))</f>
        <v>2B:jyakuninti_uke_code:0</v>
      </c>
    </row>
    <row r="435" spans="1:36" ht="18.75" hidden="1" customHeight="1">
      <c r="A435" s="3069" t="s">
        <v>121</v>
      </c>
      <c r="B435" s="1407" t="s">
        <v>2494</v>
      </c>
      <c r="C435" s="1303" t="s">
        <v>542</v>
      </c>
      <c r="D435" s="3069" t="s">
        <v>121</v>
      </c>
      <c r="E435" s="1275" t="s">
        <v>2495</v>
      </c>
      <c r="F435" s="1289"/>
      <c r="G435" s="1275"/>
      <c r="H435" s="1409" t="s">
        <v>1324</v>
      </c>
      <c r="I435" s="3137" t="s">
        <v>121</v>
      </c>
      <c r="J435" s="1298" t="s">
        <v>1239</v>
      </c>
      <c r="K435" s="1299"/>
      <c r="L435" s="1300"/>
      <c r="M435" s="3065" t="s">
        <v>121</v>
      </c>
      <c r="N435" s="1298" t="s">
        <v>1240</v>
      </c>
      <c r="O435" s="1307"/>
      <c r="P435" s="1307"/>
      <c r="Q435" s="1307"/>
      <c r="R435" s="1307"/>
      <c r="S435" s="1307"/>
      <c r="T435" s="1307"/>
      <c r="U435" s="1307"/>
      <c r="V435" s="1307"/>
      <c r="W435" s="1307"/>
      <c r="X435" s="1308"/>
      <c r="Y435" s="1295"/>
      <c r="Z435" s="1292"/>
      <c r="AA435" s="1292"/>
      <c r="AB435" s="1293"/>
      <c r="AC435" s="1533"/>
      <c r="AD435" s="1534"/>
      <c r="AE435" s="1534"/>
      <c r="AF435" s="1535"/>
      <c r="AI435" s="3056" t="str">
        <f>"2B:sougei_code:" &amp; IF(I435="■",1,IF(M435="■",2,0))</f>
        <v>2B:sougei_code:0</v>
      </c>
    </row>
    <row r="436" spans="1:36" ht="19.5" hidden="1" customHeight="1">
      <c r="A436" s="735"/>
      <c r="B436" s="1407"/>
      <c r="C436" s="1303"/>
      <c r="D436" s="1304"/>
      <c r="E436" s="1275"/>
      <c r="F436" s="1289"/>
      <c r="G436" s="1275"/>
      <c r="H436" s="1306" t="s">
        <v>1325</v>
      </c>
      <c r="I436" s="3137" t="s">
        <v>121</v>
      </c>
      <c r="J436" s="1298" t="s">
        <v>1230</v>
      </c>
      <c r="K436" s="1298"/>
      <c r="L436" s="3065" t="s">
        <v>121</v>
      </c>
      <c r="M436" s="1298" t="s">
        <v>1248</v>
      </c>
      <c r="N436" s="1298"/>
      <c r="O436" s="1307"/>
      <c r="P436" s="1298"/>
      <c r="Q436" s="1307"/>
      <c r="R436" s="1307"/>
      <c r="S436" s="1307"/>
      <c r="T436" s="1307"/>
      <c r="U436" s="1307"/>
      <c r="V436" s="1307"/>
      <c r="W436" s="1307"/>
      <c r="X436" s="1308"/>
      <c r="Y436" s="1292"/>
      <c r="Z436" s="1292"/>
      <c r="AA436" s="1292"/>
      <c r="AB436" s="1293"/>
      <c r="AC436" s="1533"/>
      <c r="AD436" s="1534"/>
      <c r="AE436" s="1534"/>
      <c r="AF436" s="1535"/>
      <c r="AI436" s="3056" t="str">
        <f>"2B:field224:" &amp; IF(I436="■",1,IF(L436="■",2,0))</f>
        <v>2B:field224:0</v>
      </c>
    </row>
    <row r="437" spans="1:36" ht="18.75" hidden="1" customHeight="1">
      <c r="A437" s="735"/>
      <c r="B437" s="1407"/>
      <c r="C437" s="1303"/>
      <c r="D437" s="1304"/>
      <c r="E437" s="1275"/>
      <c r="F437" s="1289"/>
      <c r="G437" s="1275"/>
      <c r="H437" s="1409" t="s">
        <v>145</v>
      </c>
      <c r="I437" s="3137" t="s">
        <v>121</v>
      </c>
      <c r="J437" s="1298" t="s">
        <v>1230</v>
      </c>
      <c r="K437" s="1299"/>
      <c r="L437" s="3065" t="s">
        <v>121</v>
      </c>
      <c r="M437" s="1298" t="s">
        <v>1248</v>
      </c>
      <c r="N437" s="1307"/>
      <c r="O437" s="1307"/>
      <c r="P437" s="1307"/>
      <c r="Q437" s="1307"/>
      <c r="R437" s="1307"/>
      <c r="S437" s="1307"/>
      <c r="T437" s="1307"/>
      <c r="U437" s="1307"/>
      <c r="V437" s="1307"/>
      <c r="W437" s="1307"/>
      <c r="X437" s="1308"/>
      <c r="Y437" s="1295"/>
      <c r="Z437" s="1292"/>
      <c r="AA437" s="1292"/>
      <c r="AB437" s="1293"/>
      <c r="AC437" s="1533"/>
      <c r="AD437" s="1534"/>
      <c r="AE437" s="1534"/>
      <c r="AF437" s="1535"/>
      <c r="AI437" s="3056" t="str">
        <f>"2B:ryouyoushoku_code:" &amp; IF(I437="■",1,IF(L437="■",2,0))</f>
        <v>2B:ryouyoushoku_code:0</v>
      </c>
    </row>
    <row r="438" spans="1:36" ht="18.75" hidden="1" customHeight="1">
      <c r="A438" s="735"/>
      <c r="B438" s="1407"/>
      <c r="C438" s="1303"/>
      <c r="D438" s="1304"/>
      <c r="E438" s="1275"/>
      <c r="F438" s="1289"/>
      <c r="G438" s="1275"/>
      <c r="H438" s="1409" t="s">
        <v>1260</v>
      </c>
      <c r="I438" s="3137" t="s">
        <v>121</v>
      </c>
      <c r="J438" s="1298" t="s">
        <v>1230</v>
      </c>
      <c r="K438" s="1298"/>
      <c r="L438" s="3065" t="s">
        <v>121</v>
      </c>
      <c r="M438" s="1298" t="s">
        <v>1256</v>
      </c>
      <c r="N438" s="1298"/>
      <c r="O438" s="3065" t="s">
        <v>121</v>
      </c>
      <c r="P438" s="1298" t="s">
        <v>1257</v>
      </c>
      <c r="Q438" s="1307"/>
      <c r="R438" s="1307"/>
      <c r="S438" s="1307"/>
      <c r="T438" s="1307"/>
      <c r="U438" s="1307"/>
      <c r="V438" s="1307"/>
      <c r="W438" s="1307"/>
      <c r="X438" s="1308"/>
      <c r="Y438" s="1295"/>
      <c r="Z438" s="1292"/>
      <c r="AA438" s="1292"/>
      <c r="AB438" s="1293"/>
      <c r="AC438" s="1533"/>
      <c r="AD438" s="1534"/>
      <c r="AE438" s="1534"/>
      <c r="AF438" s="1535"/>
      <c r="AI438" s="3056" t="str">
        <f>"2B:ninti_senmoncare_code:" &amp; IF(I438="■",1,IF(O438="■",3,IF(L438="■",2,0)))</f>
        <v>2B:ninti_senmoncare_code:0</v>
      </c>
    </row>
    <row r="439" spans="1:36" ht="18.75" hidden="1" customHeight="1">
      <c r="A439" s="735"/>
      <c r="B439" s="1407"/>
      <c r="C439" s="1303"/>
      <c r="D439" s="1304"/>
      <c r="E439" s="1275"/>
      <c r="F439" s="1289"/>
      <c r="G439" s="1275"/>
      <c r="H439" s="1541" t="s">
        <v>2393</v>
      </c>
      <c r="I439" s="3137" t="s">
        <v>121</v>
      </c>
      <c r="J439" s="1290" t="s">
        <v>1273</v>
      </c>
      <c r="K439" s="1290"/>
      <c r="L439" s="1314"/>
      <c r="M439" s="1314"/>
      <c r="N439" s="1314"/>
      <c r="O439" s="1314"/>
      <c r="P439" s="3136" t="s">
        <v>121</v>
      </c>
      <c r="Q439" s="1290" t="s">
        <v>1274</v>
      </c>
      <c r="R439" s="1314"/>
      <c r="S439" s="1314"/>
      <c r="T439" s="1314"/>
      <c r="U439" s="1314"/>
      <c r="V439" s="1314"/>
      <c r="W439" s="1314"/>
      <c r="X439" s="1315"/>
      <c r="Y439" s="1295"/>
      <c r="Z439" s="1292"/>
      <c r="AA439" s="1292"/>
      <c r="AB439" s="1293"/>
      <c r="AC439" s="1533"/>
      <c r="AD439" s="1534"/>
      <c r="AE439" s="1534"/>
      <c r="AF439" s="1535"/>
      <c r="AI439" s="3056" t="str">
        <f>"2B:" &amp; IF(AND(I439="□",P439="□",I440="□"),"tokusin_jyusho_code:0:tokusin_yakuzai_code:0:shuudan_comu_code:0",IF(I439="■","tokusin_jyusho_code:2","tokusin_jyusho_code:1")
&amp;IF(P439="■",":tokusin_yakuzai_code:2",":tokusin_yakuzai_code:1")
&amp;IF(I440="■",":shuudan_comu_code:2",":shuudan_comu_code:1"))</f>
        <v>2B:tokusin_jyusho_code:0:tokusin_yakuzai_code:0:shuudan_comu_code:0</v>
      </c>
    </row>
    <row r="440" spans="1:36" ht="18.75" hidden="1" customHeight="1">
      <c r="A440" s="735"/>
      <c r="B440" s="1407"/>
      <c r="C440" s="1303"/>
      <c r="D440" s="1304"/>
      <c r="E440" s="1275"/>
      <c r="F440" s="1289"/>
      <c r="G440" s="1275"/>
      <c r="H440" s="1542"/>
      <c r="I440" s="3069" t="s">
        <v>121</v>
      </c>
      <c r="J440" s="1296" t="s">
        <v>2318</v>
      </c>
      <c r="K440" s="1330"/>
      <c r="L440" s="1330"/>
      <c r="M440" s="1330"/>
      <c r="N440" s="1330"/>
      <c r="O440" s="1330"/>
      <c r="P440" s="1330"/>
      <c r="Q440" s="1403"/>
      <c r="R440" s="1330"/>
      <c r="S440" s="1330"/>
      <c r="T440" s="1330"/>
      <c r="U440" s="1330"/>
      <c r="V440" s="1330"/>
      <c r="W440" s="1330"/>
      <c r="X440" s="1356"/>
      <c r="Y440" s="1295"/>
      <c r="Z440" s="1292"/>
      <c r="AA440" s="1292"/>
      <c r="AB440" s="1293"/>
      <c r="AC440" s="1533"/>
      <c r="AD440" s="1534"/>
      <c r="AE440" s="1534"/>
      <c r="AF440" s="1535"/>
      <c r="AI440" s="3056"/>
    </row>
    <row r="441" spans="1:36" ht="18.75" hidden="1" customHeight="1">
      <c r="A441" s="735"/>
      <c r="B441" s="1407"/>
      <c r="C441" s="1303"/>
      <c r="D441" s="1304"/>
      <c r="E441" s="1275"/>
      <c r="F441" s="1289"/>
      <c r="G441" s="1275"/>
      <c r="H441" s="1541" t="s">
        <v>1280</v>
      </c>
      <c r="I441" s="3137" t="s">
        <v>121</v>
      </c>
      <c r="J441" s="1290" t="s">
        <v>2317</v>
      </c>
      <c r="K441" s="1328"/>
      <c r="L441" s="1329"/>
      <c r="M441" s="3136" t="s">
        <v>121</v>
      </c>
      <c r="N441" s="1290" t="s">
        <v>2316</v>
      </c>
      <c r="O441" s="1314"/>
      <c r="P441" s="1314"/>
      <c r="Q441" s="3136" t="s">
        <v>121</v>
      </c>
      <c r="R441" s="1290" t="s">
        <v>2315</v>
      </c>
      <c r="S441" s="1314"/>
      <c r="T441" s="1314"/>
      <c r="U441" s="1314"/>
      <c r="V441" s="1314"/>
      <c r="W441" s="1314"/>
      <c r="X441" s="1315"/>
      <c r="Y441" s="1295"/>
      <c r="Z441" s="1292"/>
      <c r="AA441" s="1292"/>
      <c r="AB441" s="1293"/>
      <c r="AC441" s="1533"/>
      <c r="AD441" s="1534"/>
      <c r="AE441" s="1534"/>
      <c r="AF441" s="1535"/>
      <c r="AI441" s="3056" t="str">
        <f>"2B:"&amp;IF(AND(I441="□",M441="□",Q441="□",I442="□",Q442="□"),"koriha_rryoho1_code:0:koriha_sryoho_code:0:koriha_gengo_code:0:riha_seisin_code:0:koriha_other_code:0",IF(I441="■","koriha_rryoho1_code:2","koriha_rryoho1_code:1")
&amp;IF(M441="■",":koriha_sryoho_code:2",":koriha_sryoho_code:1")
&amp;IF(Q441="■",":koriha_gengo_code:2",":koriha_gengo_code:1")
&amp;IF(I442="■",":riha_seisin_code:2",":riha_seisin_code:1")
&amp;IF(Q442="■",":koriha_other_code:2",":koriha_other_code:1"))</f>
        <v>2B:koriha_rryoho1_code:0:koriha_sryoho_code:0:koriha_gengo_code:0:riha_seisin_code:0:koriha_other_code:0</v>
      </c>
    </row>
    <row r="442" spans="1:36" ht="18.75" hidden="1" customHeight="1">
      <c r="A442" s="735"/>
      <c r="B442" s="1407"/>
      <c r="C442" s="1303"/>
      <c r="D442" s="1304"/>
      <c r="E442" s="1275"/>
      <c r="F442" s="1289"/>
      <c r="G442" s="1275"/>
      <c r="H442" s="1542"/>
      <c r="I442" s="3069" t="s">
        <v>121</v>
      </c>
      <c r="J442" s="1296" t="s">
        <v>2314</v>
      </c>
      <c r="K442" s="1330"/>
      <c r="L442" s="1330"/>
      <c r="M442" s="1330"/>
      <c r="N442" s="1330"/>
      <c r="O442" s="1330"/>
      <c r="P442" s="1330"/>
      <c r="Q442" s="3062" t="s">
        <v>121</v>
      </c>
      <c r="R442" s="1296" t="s">
        <v>2313</v>
      </c>
      <c r="S442" s="1403"/>
      <c r="T442" s="1330"/>
      <c r="U442" s="1330"/>
      <c r="V442" s="1330"/>
      <c r="W442" s="1330"/>
      <c r="X442" s="1356"/>
      <c r="Y442" s="1295"/>
      <c r="Z442" s="1292"/>
      <c r="AA442" s="1292"/>
      <c r="AB442" s="1293"/>
      <c r="AC442" s="1533"/>
      <c r="AD442" s="1534"/>
      <c r="AE442" s="1534"/>
      <c r="AF442" s="1535"/>
      <c r="AI442" s="3056"/>
    </row>
    <row r="443" spans="1:36" ht="18.75" hidden="1" customHeight="1">
      <c r="A443" s="735"/>
      <c r="B443" s="1407"/>
      <c r="C443" s="1303"/>
      <c r="D443" s="1304"/>
      <c r="E443" s="1275"/>
      <c r="F443" s="1289"/>
      <c r="G443" s="1275"/>
      <c r="H443" s="1313" t="s">
        <v>1265</v>
      </c>
      <c r="I443" s="3137" t="s">
        <v>121</v>
      </c>
      <c r="J443" s="1298" t="s">
        <v>1230</v>
      </c>
      <c r="K443" s="1298"/>
      <c r="L443" s="3065" t="s">
        <v>121</v>
      </c>
      <c r="M443" s="1298" t="s">
        <v>1256</v>
      </c>
      <c r="N443" s="1298"/>
      <c r="O443" s="3065" t="s">
        <v>121</v>
      </c>
      <c r="P443" s="1298" t="s">
        <v>1257</v>
      </c>
      <c r="Q443" s="1307"/>
      <c r="R443" s="1307"/>
      <c r="S443" s="1307"/>
      <c r="T443" s="1307"/>
      <c r="U443" s="1314"/>
      <c r="V443" s="1314"/>
      <c r="W443" s="1314"/>
      <c r="X443" s="1315"/>
      <c r="Y443" s="1295"/>
      <c r="Z443" s="1292"/>
      <c r="AA443" s="1292"/>
      <c r="AB443" s="1293"/>
      <c r="AC443" s="1533"/>
      <c r="AD443" s="1534"/>
      <c r="AE443" s="1534"/>
      <c r="AF443" s="1535"/>
      <c r="AI443" s="3056" t="str">
        <f>"2B:field225:" &amp; IF(I443="■",1,IF(L443="■",2,IF(O443="■",3,0)))</f>
        <v>2B:field225:0</v>
      </c>
    </row>
    <row r="444" spans="1:36" ht="18.75" hidden="1" customHeight="1">
      <c r="A444" s="735"/>
      <c r="B444" s="1407"/>
      <c r="C444" s="1303"/>
      <c r="D444" s="1304"/>
      <c r="E444" s="1275"/>
      <c r="F444" s="1289"/>
      <c r="G444" s="1275"/>
      <c r="H444" s="1409" t="s">
        <v>1266</v>
      </c>
      <c r="I444" s="3137" t="s">
        <v>121</v>
      </c>
      <c r="J444" s="1298" t="s">
        <v>1230</v>
      </c>
      <c r="K444" s="1298"/>
      <c r="L444" s="3065" t="s">
        <v>121</v>
      </c>
      <c r="M444" s="1298" t="s">
        <v>1267</v>
      </c>
      <c r="N444" s="1298"/>
      <c r="O444" s="3065" t="s">
        <v>121</v>
      </c>
      <c r="P444" s="1298" t="s">
        <v>1268</v>
      </c>
      <c r="Q444" s="1326"/>
      <c r="R444" s="3065" t="s">
        <v>121</v>
      </c>
      <c r="S444" s="1298" t="s">
        <v>1269</v>
      </c>
      <c r="T444" s="1326"/>
      <c r="U444" s="1326"/>
      <c r="V444" s="1326"/>
      <c r="W444" s="1326"/>
      <c r="X444" s="1327"/>
      <c r="Y444" s="1295"/>
      <c r="Z444" s="1292"/>
      <c r="AA444" s="1292"/>
      <c r="AB444" s="1293"/>
      <c r="AC444" s="1533"/>
      <c r="AD444" s="1534"/>
      <c r="AE444" s="1534"/>
      <c r="AF444" s="1535"/>
      <c r="AI444" s="3056" t="str">
        <f>"2B:serteikyo_kyoka_code:" &amp; IF(I444="■",1,IF(L444="■",6,IF(O444="■",5,IF(R444="■",7,0))))</f>
        <v>2B:serteikyo_kyoka_code:0</v>
      </c>
    </row>
    <row r="445" spans="1:36" ht="18.75" hidden="1" customHeight="1">
      <c r="A445" s="735"/>
      <c r="B445" s="1407"/>
      <c r="C445" s="1303"/>
      <c r="D445" s="1304"/>
      <c r="E445" s="1275"/>
      <c r="F445" s="1289"/>
      <c r="G445" s="1275"/>
      <c r="H445" s="1539" t="s">
        <v>2390</v>
      </c>
      <c r="I445" s="3160" t="s">
        <v>121</v>
      </c>
      <c r="J445" s="3161" t="s">
        <v>1230</v>
      </c>
      <c r="K445" s="3161"/>
      <c r="L445" s="3160" t="s">
        <v>121</v>
      </c>
      <c r="M445" s="3161" t="s">
        <v>1248</v>
      </c>
      <c r="N445" s="3161"/>
      <c r="O445" s="1402"/>
      <c r="P445" s="1402"/>
      <c r="Q445" s="1402"/>
      <c r="R445" s="1402"/>
      <c r="S445" s="1402"/>
      <c r="T445" s="1402"/>
      <c r="U445" s="1402"/>
      <c r="V445" s="1402"/>
      <c r="W445" s="1402"/>
      <c r="X445" s="1291"/>
      <c r="Y445" s="1295"/>
      <c r="Z445" s="1292"/>
      <c r="AA445" s="1292"/>
      <c r="AB445" s="1293"/>
      <c r="AC445" s="1533"/>
      <c r="AD445" s="1534"/>
      <c r="AE445" s="1534"/>
      <c r="AF445" s="1535"/>
      <c r="AI445" s="3056" t="str">
        <f>"2B:field221:" &amp; IF(I445="■",1,IF(L445="■",2,0))</f>
        <v>2B:field221:0</v>
      </c>
    </row>
    <row r="446" spans="1:36" ht="18.75" hidden="1" customHeight="1">
      <c r="A446" s="735"/>
      <c r="B446" s="1407"/>
      <c r="C446" s="1303"/>
      <c r="D446" s="1304"/>
      <c r="E446" s="1275"/>
      <c r="F446" s="1289"/>
      <c r="G446" s="1275"/>
      <c r="H446" s="1540"/>
      <c r="I446" s="3160"/>
      <c r="J446" s="3161"/>
      <c r="K446" s="3161"/>
      <c r="L446" s="3160"/>
      <c r="M446" s="3161"/>
      <c r="N446" s="3161"/>
      <c r="O446" s="1403"/>
      <c r="P446" s="1403"/>
      <c r="Q446" s="1403"/>
      <c r="R446" s="1403"/>
      <c r="S446" s="1403"/>
      <c r="T446" s="1403"/>
      <c r="U446" s="1403"/>
      <c r="V446" s="1403"/>
      <c r="W446" s="1403"/>
      <c r="X446" s="1297"/>
      <c r="Y446" s="1295"/>
      <c r="Z446" s="1292"/>
      <c r="AA446" s="1292"/>
      <c r="AB446" s="1293"/>
      <c r="AC446" s="1533"/>
      <c r="AD446" s="1534"/>
      <c r="AE446" s="1534"/>
      <c r="AF446" s="1535"/>
    </row>
    <row r="447" spans="1:36" ht="18.75" hidden="1" customHeight="1">
      <c r="A447" s="736"/>
      <c r="B447" s="1316"/>
      <c r="C447" s="1346"/>
      <c r="D447" s="1348"/>
      <c r="E447" s="1317"/>
      <c r="F447" s="1318"/>
      <c r="G447" s="1361"/>
      <c r="H447" s="3134" t="s">
        <v>2288</v>
      </c>
      <c r="I447" s="3060" t="s">
        <v>121</v>
      </c>
      <c r="J447" s="3130" t="s">
        <v>1230</v>
      </c>
      <c r="K447" s="3130"/>
      <c r="L447" s="3059" t="s">
        <v>121</v>
      </c>
      <c r="M447" s="3130" t="s">
        <v>2287</v>
      </c>
      <c r="N447" s="3133"/>
      <c r="O447" s="3059" t="s">
        <v>121</v>
      </c>
      <c r="P447" s="3132" t="s">
        <v>2286</v>
      </c>
      <c r="Q447" s="3131"/>
      <c r="R447" s="3059" t="s">
        <v>121</v>
      </c>
      <c r="S447" s="3130" t="s">
        <v>2285</v>
      </c>
      <c r="T447" s="3131"/>
      <c r="U447" s="3059" t="s">
        <v>121</v>
      </c>
      <c r="V447" s="3130" t="s">
        <v>2284</v>
      </c>
      <c r="W447" s="3129"/>
      <c r="X447" s="3128"/>
      <c r="Y447" s="1323"/>
      <c r="Z447" s="1323"/>
      <c r="AA447" s="1323"/>
      <c r="AB447" s="1324"/>
      <c r="AC447" s="1536"/>
      <c r="AD447" s="1537"/>
      <c r="AE447" s="1537"/>
      <c r="AF447" s="1538"/>
      <c r="AG447" s="3056"/>
      <c r="AH447" s="3056"/>
      <c r="AI447" s="3056" t="str">
        <f>"2B:shoguukaizen_code:"&amp;IF(I447="■",1,IF(L447="■",7,IF(O447="■",8,IF(R447="■",9,IF(U447="■","A",0)))))</f>
        <v>2B:shoguukaizen_code:0</v>
      </c>
    </row>
    <row r="448" spans="1:36" ht="18.75" hidden="1" customHeight="1">
      <c r="A448" s="1276"/>
      <c r="B448" s="1405"/>
      <c r="C448" s="1333"/>
      <c r="D448" s="1335"/>
      <c r="E448" s="1272"/>
      <c r="F448" s="1279"/>
      <c r="G448" s="1272"/>
      <c r="H448" s="1545" t="s">
        <v>1226</v>
      </c>
      <c r="I448" s="3119" t="s">
        <v>121</v>
      </c>
      <c r="J448" s="1270" t="s">
        <v>1227</v>
      </c>
      <c r="K448" s="3139"/>
      <c r="L448" s="1337"/>
      <c r="M448" s="3138" t="s">
        <v>121</v>
      </c>
      <c r="N448" s="1270" t="s">
        <v>2306</v>
      </c>
      <c r="O448" s="1334"/>
      <c r="P448" s="1334"/>
      <c r="Q448" s="3138" t="s">
        <v>121</v>
      </c>
      <c r="R448" s="1270" t="s">
        <v>2305</v>
      </c>
      <c r="S448" s="1334"/>
      <c r="T448" s="1334"/>
      <c r="U448" s="3138" t="s">
        <v>121</v>
      </c>
      <c r="V448" s="1270" t="s">
        <v>2304</v>
      </c>
      <c r="W448" s="1334"/>
      <c r="X448" s="1336"/>
      <c r="Y448" s="3138" t="s">
        <v>121</v>
      </c>
      <c r="Z448" s="1270" t="s">
        <v>1229</v>
      </c>
      <c r="AA448" s="1270"/>
      <c r="AB448" s="1286"/>
      <c r="AC448" s="1530"/>
      <c r="AD448" s="1531"/>
      <c r="AE448" s="1531"/>
      <c r="AF448" s="1532"/>
      <c r="AG448" s="3056" t="str">
        <f>"ser_code = '" &amp; IF(A458="■","2B","") &amp; "'"</f>
        <v>ser_code = ''</v>
      </c>
      <c r="AH448" s="3056" t="str">
        <f>"2B:jininkbn_code:"&amp;IF(F458="■",1,IF(F459="■",2,0))</f>
        <v>2B:jininkbn_code:0</v>
      </c>
      <c r="AI448" s="3056" t="str">
        <f>"2B:yakan_kinmu_code:" &amp; IF(I448="■",1,IF(M448="■",2,IF(Q448="■",3,IF(U448="■",7,IF(I449="■",5,IF(M449="■",6,0))))))</f>
        <v>2B:yakan_kinmu_code:0</v>
      </c>
      <c r="AJ448" s="3056" t="str">
        <f>"2B:field203:" &amp; IF(Y448="■",1,IF(Y449="■",2,0))</f>
        <v>2B:field203:0</v>
      </c>
    </row>
    <row r="449" spans="1:36" ht="18.75" hidden="1" customHeight="1">
      <c r="A449" s="735"/>
      <c r="B449" s="1407"/>
      <c r="C449" s="1303"/>
      <c r="D449" s="1304"/>
      <c r="E449" s="1275"/>
      <c r="F449" s="1289"/>
      <c r="G449" s="1275"/>
      <c r="H449" s="1542"/>
      <c r="I449" s="3069" t="s">
        <v>121</v>
      </c>
      <c r="J449" s="1296" t="s">
        <v>2303</v>
      </c>
      <c r="K449" s="1309"/>
      <c r="L449" s="1355"/>
      <c r="M449" s="3062" t="s">
        <v>121</v>
      </c>
      <c r="N449" s="1296" t="s">
        <v>1228</v>
      </c>
      <c r="O449" s="1403"/>
      <c r="P449" s="1403"/>
      <c r="Q449" s="1403"/>
      <c r="R449" s="1403"/>
      <c r="S449" s="1403"/>
      <c r="T449" s="1403"/>
      <c r="U449" s="1403"/>
      <c r="V449" s="1403"/>
      <c r="W449" s="1403"/>
      <c r="X449" s="1297"/>
      <c r="Y449" s="3122" t="s">
        <v>121</v>
      </c>
      <c r="Z449" s="1273" t="s">
        <v>1234</v>
      </c>
      <c r="AA449" s="1292"/>
      <c r="AB449" s="1293"/>
      <c r="AC449" s="1533"/>
      <c r="AD449" s="1534"/>
      <c r="AE449" s="1534"/>
      <c r="AF449" s="1535"/>
      <c r="AG449" s="3056" t="str">
        <f>"2B:sisetukbn_code:"&amp;IF(D458="■","6",0)</f>
        <v>2B:sisetukbn_code:0</v>
      </c>
      <c r="AH449" s="3056"/>
      <c r="AI449" s="3056"/>
      <c r="AJ449" s="3056"/>
    </row>
    <row r="450" spans="1:36" ht="18.75" hidden="1" customHeight="1">
      <c r="A450" s="735"/>
      <c r="B450" s="1407"/>
      <c r="C450" s="1303"/>
      <c r="D450" s="1304"/>
      <c r="E450" s="1275"/>
      <c r="F450" s="1289"/>
      <c r="G450" s="1275"/>
      <c r="H450" s="1541" t="s">
        <v>90</v>
      </c>
      <c r="I450" s="3137" t="s">
        <v>121</v>
      </c>
      <c r="J450" s="1290" t="s">
        <v>1230</v>
      </c>
      <c r="K450" s="1290"/>
      <c r="L450" s="1329"/>
      <c r="M450" s="3136" t="s">
        <v>121</v>
      </c>
      <c r="N450" s="1290" t="s">
        <v>1231</v>
      </c>
      <c r="O450" s="1290"/>
      <c r="P450" s="1329"/>
      <c r="Q450" s="3136" t="s">
        <v>121</v>
      </c>
      <c r="R450" s="1402" t="s">
        <v>2302</v>
      </c>
      <c r="S450" s="1402"/>
      <c r="T450" s="1402"/>
      <c r="U450" s="1314"/>
      <c r="V450" s="1329"/>
      <c r="W450" s="1402"/>
      <c r="X450" s="1315"/>
      <c r="Y450" s="1295"/>
      <c r="Z450" s="1292"/>
      <c r="AA450" s="1292"/>
      <c r="AB450" s="1293"/>
      <c r="AC450" s="1533"/>
      <c r="AD450" s="1534"/>
      <c r="AE450" s="1534"/>
      <c r="AF450" s="1535"/>
      <c r="AI450" s="3056" t="str">
        <f>"2B:"&amp;IF(AND(I450="□",M450="□",Q450="□",I451="□",M451="□"),"ketu_doctor_code:0",IF(I450="■","ketu_doctor_code:1:field197:1:ketu_kangos_code:1:ketu_kshoku_code:1",IF(M450="■","ketu_doctor_code:2","ketu_doctor_code:1")
&amp;IF(Q450="■",":field197:2",":field197:1")
&amp;IF(I451="■",":ketu_kangos_code:2",":ketu_kangos_code:1")
&amp;IF(M451="■",":ketu_kshoku_code:2",":ketu_kshoku_code:1")))</f>
        <v>2B:ketu_doctor_code:0</v>
      </c>
    </row>
    <row r="451" spans="1:36" ht="18.75" hidden="1" customHeight="1">
      <c r="A451" s="735"/>
      <c r="B451" s="1407"/>
      <c r="C451" s="1303"/>
      <c r="D451" s="1304"/>
      <c r="E451" s="1275"/>
      <c r="F451" s="1289"/>
      <c r="G451" s="1275"/>
      <c r="H451" s="1542"/>
      <c r="I451" s="3069" t="s">
        <v>121</v>
      </c>
      <c r="J451" s="1403" t="s">
        <v>2301</v>
      </c>
      <c r="K451" s="1403"/>
      <c r="L451" s="1403"/>
      <c r="M451" s="3062" t="s">
        <v>121</v>
      </c>
      <c r="N451" s="1403" t="s">
        <v>2300</v>
      </c>
      <c r="O451" s="1355"/>
      <c r="P451" s="1403"/>
      <c r="Q451" s="1403"/>
      <c r="R451" s="1355"/>
      <c r="S451" s="1403"/>
      <c r="T451" s="1403"/>
      <c r="U451" s="1330"/>
      <c r="V451" s="1355"/>
      <c r="W451" s="1403"/>
      <c r="X451" s="1356"/>
      <c r="Y451" s="1295"/>
      <c r="Z451" s="1292"/>
      <c r="AA451" s="1292"/>
      <c r="AB451" s="1293"/>
      <c r="AC451" s="1533"/>
      <c r="AD451" s="1534"/>
      <c r="AE451" s="1534"/>
      <c r="AF451" s="1535"/>
      <c r="AI451" s="3056"/>
    </row>
    <row r="452" spans="1:36" ht="18.75" hidden="1" customHeight="1">
      <c r="A452" s="735"/>
      <c r="B452" s="1407"/>
      <c r="C452" s="1303"/>
      <c r="D452" s="1304"/>
      <c r="E452" s="1275"/>
      <c r="F452" s="1289"/>
      <c r="G452" s="1275"/>
      <c r="H452" s="1409" t="s">
        <v>91</v>
      </c>
      <c r="I452" s="3137" t="s">
        <v>121</v>
      </c>
      <c r="J452" s="1298" t="s">
        <v>1239</v>
      </c>
      <c r="K452" s="1299"/>
      <c r="L452" s="1300"/>
      <c r="M452" s="3065" t="s">
        <v>121</v>
      </c>
      <c r="N452" s="1298" t="s">
        <v>1240</v>
      </c>
      <c r="O452" s="1307"/>
      <c r="P452" s="1307"/>
      <c r="Q452" s="1307"/>
      <c r="R452" s="1307"/>
      <c r="S452" s="1307"/>
      <c r="T452" s="1307"/>
      <c r="U452" s="1307"/>
      <c r="V452" s="1307"/>
      <c r="W452" s="1307"/>
      <c r="X452" s="1308"/>
      <c r="Y452" s="1295"/>
      <c r="Z452" s="1292"/>
      <c r="AA452" s="1292"/>
      <c r="AB452" s="1293"/>
      <c r="AC452" s="1533"/>
      <c r="AD452" s="1534"/>
      <c r="AE452" s="1534"/>
      <c r="AF452" s="1535"/>
      <c r="AI452" s="3056" t="str">
        <f>"2B:unitcare_code:" &amp; IF(I452="■",1,IF(M452="■",2,0))</f>
        <v>2B:unitcare_code:0</v>
      </c>
    </row>
    <row r="453" spans="1:36" s="3056" customFormat="1" ht="18.75" hidden="1" customHeight="1">
      <c r="A453" s="735"/>
      <c r="B453" s="1407"/>
      <c r="C453" s="1287"/>
      <c r="D453" s="1288"/>
      <c r="E453" s="1275"/>
      <c r="F453" s="1289"/>
      <c r="G453" s="1305"/>
      <c r="H453" s="3193" t="s">
        <v>1241</v>
      </c>
      <c r="I453" s="3096" t="s">
        <v>121</v>
      </c>
      <c r="J453" s="3091" t="s">
        <v>1242</v>
      </c>
      <c r="K453" s="3095"/>
      <c r="L453" s="3094"/>
      <c r="M453" s="3093" t="s">
        <v>121</v>
      </c>
      <c r="N453" s="3091" t="s">
        <v>1243</v>
      </c>
      <c r="O453" s="3095"/>
      <c r="P453" s="3192"/>
      <c r="Q453" s="3192"/>
      <c r="R453" s="3192"/>
      <c r="S453" s="3192"/>
      <c r="T453" s="3192"/>
      <c r="U453" s="3192"/>
      <c r="V453" s="3192"/>
      <c r="W453" s="3192"/>
      <c r="X453" s="3191"/>
      <c r="Y453" s="1295"/>
      <c r="Z453" s="1292"/>
      <c r="AA453" s="1292"/>
      <c r="AB453" s="1293"/>
      <c r="AC453" s="1533"/>
      <c r="AD453" s="1534"/>
      <c r="AE453" s="1534"/>
      <c r="AF453" s="1535"/>
      <c r="AI453" s="3056" t="str">
        <f>"2B:sintaikousoku_code:" &amp; IF(I453="■",1,IF(M453="■",2,0))</f>
        <v>2B:sintaikousoku_code:0</v>
      </c>
    </row>
    <row r="454" spans="1:36" ht="19.5" hidden="1" customHeight="1">
      <c r="A454" s="735"/>
      <c r="B454" s="1407"/>
      <c r="C454" s="1303"/>
      <c r="D454" s="1304"/>
      <c r="E454" s="1275"/>
      <c r="F454" s="1289"/>
      <c r="G454" s="1305"/>
      <c r="H454" s="1306" t="s">
        <v>1244</v>
      </c>
      <c r="I454" s="3137" t="s">
        <v>121</v>
      </c>
      <c r="J454" s="1298" t="s">
        <v>1242</v>
      </c>
      <c r="K454" s="1299"/>
      <c r="L454" s="1300"/>
      <c r="M454" s="3065" t="s">
        <v>121</v>
      </c>
      <c r="N454" s="1298" t="s">
        <v>1245</v>
      </c>
      <c r="O454" s="1298"/>
      <c r="P454" s="1298"/>
      <c r="Q454" s="1307"/>
      <c r="R454" s="1307"/>
      <c r="S454" s="1307"/>
      <c r="T454" s="1307"/>
      <c r="U454" s="1307"/>
      <c r="V454" s="1307"/>
      <c r="W454" s="1307"/>
      <c r="X454" s="1308"/>
      <c r="Y454" s="1292"/>
      <c r="Z454" s="1292"/>
      <c r="AA454" s="1292"/>
      <c r="AB454" s="1293"/>
      <c r="AC454" s="1533"/>
      <c r="AD454" s="1534"/>
      <c r="AE454" s="1534"/>
      <c r="AF454" s="1535"/>
      <c r="AI454" s="3056" t="str">
        <f>"2B:field223:" &amp; IF(I454="■",1,IF(M454="■",2,0))</f>
        <v>2B:field223:0</v>
      </c>
    </row>
    <row r="455" spans="1:36" ht="19.5" hidden="1" customHeight="1">
      <c r="A455" s="735"/>
      <c r="B455" s="1407"/>
      <c r="C455" s="1303"/>
      <c r="D455" s="1304"/>
      <c r="E455" s="1275"/>
      <c r="F455" s="1289"/>
      <c r="G455" s="1305"/>
      <c r="H455" s="1306" t="s">
        <v>1246</v>
      </c>
      <c r="I455" s="3137" t="s">
        <v>121</v>
      </c>
      <c r="J455" s="1298" t="s">
        <v>1242</v>
      </c>
      <c r="K455" s="1299"/>
      <c r="L455" s="1300"/>
      <c r="M455" s="3065" t="s">
        <v>121</v>
      </c>
      <c r="N455" s="1298" t="s">
        <v>1245</v>
      </c>
      <c r="O455" s="1298"/>
      <c r="P455" s="1298"/>
      <c r="Q455" s="1307"/>
      <c r="R455" s="1307"/>
      <c r="S455" s="1307"/>
      <c r="T455" s="1307"/>
      <c r="U455" s="1307"/>
      <c r="V455" s="1307"/>
      <c r="W455" s="1307"/>
      <c r="X455" s="1308"/>
      <c r="Y455" s="1292"/>
      <c r="Z455" s="1292"/>
      <c r="AA455" s="1292"/>
      <c r="AB455" s="1293"/>
      <c r="AC455" s="1533"/>
      <c r="AD455" s="1534"/>
      <c r="AE455" s="1534"/>
      <c r="AF455" s="1535"/>
      <c r="AI455" s="3056" t="str">
        <f>"2B:field232:" &amp; IF(I455="■",1,IF(M455="■",2,0))</f>
        <v>2B:field232:0</v>
      </c>
    </row>
    <row r="456" spans="1:36" ht="18.75" hidden="1" customHeight="1">
      <c r="A456" s="735"/>
      <c r="B456" s="1407"/>
      <c r="C456" s="1303"/>
      <c r="D456" s="1304"/>
      <c r="E456" s="1275"/>
      <c r="F456" s="1289"/>
      <c r="G456" s="1275"/>
      <c r="H456" s="1409" t="s">
        <v>2295</v>
      </c>
      <c r="I456" s="3137" t="s">
        <v>121</v>
      </c>
      <c r="J456" s="1298" t="s">
        <v>1227</v>
      </c>
      <c r="K456" s="1299"/>
      <c r="L456" s="1300"/>
      <c r="M456" s="3065" t="s">
        <v>121</v>
      </c>
      <c r="N456" s="1298" t="s">
        <v>2291</v>
      </c>
      <c r="O456" s="1307"/>
      <c r="P456" s="1307"/>
      <c r="Q456" s="1307"/>
      <c r="R456" s="1307"/>
      <c r="S456" s="1307"/>
      <c r="T456" s="1307"/>
      <c r="U456" s="1307"/>
      <c r="V456" s="1307"/>
      <c r="W456" s="1307"/>
      <c r="X456" s="1308"/>
      <c r="Y456" s="1295"/>
      <c r="Z456" s="1292"/>
      <c r="AA456" s="1292"/>
      <c r="AB456" s="1293"/>
      <c r="AC456" s="1533"/>
      <c r="AD456" s="1534"/>
      <c r="AE456" s="1534"/>
      <c r="AF456" s="1535"/>
      <c r="AI456" s="3056" t="str">
        <f>"2B:field190:" &amp; IF(I456="■",1,IF(M456="■",2,0))</f>
        <v>2B:field190:0</v>
      </c>
    </row>
    <row r="457" spans="1:36" ht="18.75" hidden="1" customHeight="1">
      <c r="A457" s="735"/>
      <c r="B457" s="1407"/>
      <c r="C457" s="1303"/>
      <c r="D457" s="1304"/>
      <c r="E457" s="1275"/>
      <c r="F457" s="1289"/>
      <c r="G457" s="1275"/>
      <c r="H457" s="1409" t="s">
        <v>2293</v>
      </c>
      <c r="I457" s="3137" t="s">
        <v>121</v>
      </c>
      <c r="J457" s="1298" t="s">
        <v>1227</v>
      </c>
      <c r="K457" s="1299"/>
      <c r="L457" s="1300"/>
      <c r="M457" s="3065" t="s">
        <v>121</v>
      </c>
      <c r="N457" s="1298" t="s">
        <v>2291</v>
      </c>
      <c r="O457" s="1307"/>
      <c r="P457" s="1307"/>
      <c r="Q457" s="1307"/>
      <c r="R457" s="1307"/>
      <c r="S457" s="1307"/>
      <c r="T457" s="1307"/>
      <c r="U457" s="1307"/>
      <c r="V457" s="1307"/>
      <c r="W457" s="1307"/>
      <c r="X457" s="1308"/>
      <c r="Y457" s="1295"/>
      <c r="Z457" s="1292"/>
      <c r="AA457" s="1292"/>
      <c r="AB457" s="1293"/>
      <c r="AC457" s="1533"/>
      <c r="AD457" s="1534"/>
      <c r="AE457" s="1534"/>
      <c r="AF457" s="1535"/>
      <c r="AI457" s="3056" t="str">
        <f>"2B:field191:" &amp; IF(I457="■",1,IF(M457="■",2,0))</f>
        <v>2B:field191:0</v>
      </c>
    </row>
    <row r="458" spans="1:36" ht="18.75" hidden="1" customHeight="1">
      <c r="A458" s="3069" t="s">
        <v>121</v>
      </c>
      <c r="B458" s="1407" t="s">
        <v>2494</v>
      </c>
      <c r="C458" s="1303" t="s">
        <v>542</v>
      </c>
      <c r="D458" s="3069" t="s">
        <v>121</v>
      </c>
      <c r="E458" s="1275" t="s">
        <v>2391</v>
      </c>
      <c r="F458" s="3069" t="s">
        <v>121</v>
      </c>
      <c r="G458" s="1275" t="s">
        <v>2296</v>
      </c>
      <c r="H458" s="1409" t="s">
        <v>1318</v>
      </c>
      <c r="I458" s="3137" t="s">
        <v>121</v>
      </c>
      <c r="J458" s="1298" t="s">
        <v>1230</v>
      </c>
      <c r="K458" s="1299"/>
      <c r="L458" s="3065" t="s">
        <v>121</v>
      </c>
      <c r="M458" s="1298" t="s">
        <v>1248</v>
      </c>
      <c r="N458" s="1307"/>
      <c r="O458" s="1307"/>
      <c r="P458" s="1307"/>
      <c r="Q458" s="1307"/>
      <c r="R458" s="1307"/>
      <c r="S458" s="1307"/>
      <c r="T458" s="1307"/>
      <c r="U458" s="1307"/>
      <c r="V458" s="1307"/>
      <c r="W458" s="1307"/>
      <c r="X458" s="1308"/>
      <c r="Y458" s="1295"/>
      <c r="Z458" s="1292"/>
      <c r="AA458" s="1292"/>
      <c r="AB458" s="1293"/>
      <c r="AC458" s="1533"/>
      <c r="AD458" s="1534"/>
      <c r="AE458" s="1534"/>
      <c r="AF458" s="1535"/>
      <c r="AI458" s="3056" t="str">
        <f>"2B:jyakuninti_uke_code:" &amp; IF(I458="■",1,IF(L458="■",2,0))</f>
        <v>2B:jyakuninti_uke_code:0</v>
      </c>
    </row>
    <row r="459" spans="1:36" ht="18.75" hidden="1" customHeight="1">
      <c r="A459" s="735"/>
      <c r="B459" s="1407"/>
      <c r="C459" s="1303"/>
      <c r="D459" s="1304"/>
      <c r="E459" s="1275"/>
      <c r="F459" s="3069" t="s">
        <v>121</v>
      </c>
      <c r="G459" s="1275" t="s">
        <v>2294</v>
      </c>
      <c r="H459" s="1409" t="s">
        <v>1324</v>
      </c>
      <c r="I459" s="3137" t="s">
        <v>121</v>
      </c>
      <c r="J459" s="1298" t="s">
        <v>1239</v>
      </c>
      <c r="K459" s="1299"/>
      <c r="L459" s="1300"/>
      <c r="M459" s="3065" t="s">
        <v>121</v>
      </c>
      <c r="N459" s="1298" t="s">
        <v>1240</v>
      </c>
      <c r="O459" s="1307"/>
      <c r="P459" s="1307"/>
      <c r="Q459" s="1307"/>
      <c r="R459" s="1307"/>
      <c r="S459" s="1307"/>
      <c r="T459" s="1307"/>
      <c r="U459" s="1307"/>
      <c r="V459" s="1307"/>
      <c r="W459" s="1307"/>
      <c r="X459" s="1308"/>
      <c r="Y459" s="1295"/>
      <c r="Z459" s="1292"/>
      <c r="AA459" s="1292"/>
      <c r="AB459" s="1293"/>
      <c r="AC459" s="1533"/>
      <c r="AD459" s="1534"/>
      <c r="AE459" s="1534"/>
      <c r="AF459" s="1535"/>
      <c r="AI459" s="3056" t="str">
        <f>"2B:sougei_code:" &amp; IF(I459="■",1,IF(M459="■",2,0))</f>
        <v>2B:sougei_code:0</v>
      </c>
    </row>
    <row r="460" spans="1:36" ht="19.5" hidden="1" customHeight="1">
      <c r="A460" s="735"/>
      <c r="B460" s="1407"/>
      <c r="C460" s="1303"/>
      <c r="D460" s="1304"/>
      <c r="E460" s="1275"/>
      <c r="F460" s="1289"/>
      <c r="G460" s="1305"/>
      <c r="H460" s="1306" t="s">
        <v>1325</v>
      </c>
      <c r="I460" s="3137" t="s">
        <v>121</v>
      </c>
      <c r="J460" s="1298" t="s">
        <v>1230</v>
      </c>
      <c r="K460" s="1298"/>
      <c r="L460" s="3065" t="s">
        <v>121</v>
      </c>
      <c r="M460" s="1298" t="s">
        <v>1248</v>
      </c>
      <c r="N460" s="1298"/>
      <c r="O460" s="1307"/>
      <c r="P460" s="1298"/>
      <c r="Q460" s="1307"/>
      <c r="R460" s="1307"/>
      <c r="S460" s="1307"/>
      <c r="T460" s="1307"/>
      <c r="U460" s="1307"/>
      <c r="V460" s="1307"/>
      <c r="W460" s="1307"/>
      <c r="X460" s="1308"/>
      <c r="Y460" s="1292"/>
      <c r="Z460" s="1292"/>
      <c r="AA460" s="1292"/>
      <c r="AB460" s="1293"/>
      <c r="AC460" s="1533"/>
      <c r="AD460" s="1534"/>
      <c r="AE460" s="1534"/>
      <c r="AF460" s="1535"/>
      <c r="AI460" s="3056" t="str">
        <f>"2B:field224:" &amp; IF(I460="■",1,IF(L460="■",2,0))</f>
        <v>2B:field224:0</v>
      </c>
    </row>
    <row r="461" spans="1:36" ht="18.75" hidden="1" customHeight="1">
      <c r="A461" s="735"/>
      <c r="B461" s="1407"/>
      <c r="C461" s="1303"/>
      <c r="D461" s="1304"/>
      <c r="E461" s="1275"/>
      <c r="F461" s="1289"/>
      <c r="G461" s="1275"/>
      <c r="H461" s="1409" t="s">
        <v>145</v>
      </c>
      <c r="I461" s="3137" t="s">
        <v>121</v>
      </c>
      <c r="J461" s="1298" t="s">
        <v>1230</v>
      </c>
      <c r="K461" s="1299"/>
      <c r="L461" s="3065" t="s">
        <v>121</v>
      </c>
      <c r="M461" s="1298" t="s">
        <v>1248</v>
      </c>
      <c r="N461" s="1307"/>
      <c r="O461" s="1307"/>
      <c r="P461" s="1307"/>
      <c r="Q461" s="1307"/>
      <c r="R461" s="1307"/>
      <c r="S461" s="1307"/>
      <c r="T461" s="1307"/>
      <c r="U461" s="1307"/>
      <c r="V461" s="1307"/>
      <c r="W461" s="1307"/>
      <c r="X461" s="1308"/>
      <c r="Y461" s="1295"/>
      <c r="Z461" s="1292"/>
      <c r="AA461" s="1292"/>
      <c r="AB461" s="1293"/>
      <c r="AC461" s="1533"/>
      <c r="AD461" s="1534"/>
      <c r="AE461" s="1534"/>
      <c r="AF461" s="1535"/>
      <c r="AI461" s="3056" t="str">
        <f>"2B:ryouyoushoku_code:" &amp; IF(I461="■",1,IF(L461="■",2,0))</f>
        <v>2B:ryouyoushoku_code:0</v>
      </c>
    </row>
    <row r="462" spans="1:36" ht="18.75" hidden="1" customHeight="1">
      <c r="A462" s="735"/>
      <c r="B462" s="1407"/>
      <c r="C462" s="1303"/>
      <c r="D462" s="1304"/>
      <c r="E462" s="1275"/>
      <c r="F462" s="1289"/>
      <c r="G462" s="1275"/>
      <c r="H462" s="1409" t="s">
        <v>1260</v>
      </c>
      <c r="I462" s="3137" t="s">
        <v>121</v>
      </c>
      <c r="J462" s="1298" t="s">
        <v>1230</v>
      </c>
      <c r="K462" s="1298"/>
      <c r="L462" s="3065" t="s">
        <v>121</v>
      </c>
      <c r="M462" s="1298" t="s">
        <v>1256</v>
      </c>
      <c r="N462" s="1298"/>
      <c r="O462" s="3065" t="s">
        <v>121</v>
      </c>
      <c r="P462" s="1298" t="s">
        <v>1257</v>
      </c>
      <c r="Q462" s="1307"/>
      <c r="R462" s="1307"/>
      <c r="S462" s="1307"/>
      <c r="T462" s="1307"/>
      <c r="U462" s="1307"/>
      <c r="V462" s="1307"/>
      <c r="W462" s="1307"/>
      <c r="X462" s="1308"/>
      <c r="Y462" s="1295"/>
      <c r="Z462" s="1292"/>
      <c r="AA462" s="1292"/>
      <c r="AB462" s="1293"/>
      <c r="AC462" s="1533"/>
      <c r="AD462" s="1534"/>
      <c r="AE462" s="1534"/>
      <c r="AF462" s="1535"/>
      <c r="AI462" s="3056" t="str">
        <f>"2B:ninti_senmoncare_code:" &amp; IF(I462="■",1,IF(O462="■",3,IF(L462="■",2,0)))</f>
        <v>2B:ninti_senmoncare_code:0</v>
      </c>
    </row>
    <row r="463" spans="1:36" ht="18.75" hidden="1" customHeight="1">
      <c r="A463" s="735"/>
      <c r="B463" s="1407"/>
      <c r="C463" s="1303"/>
      <c r="D463" s="1304"/>
      <c r="E463" s="1275"/>
      <c r="F463" s="1289"/>
      <c r="G463" s="1275"/>
      <c r="H463" s="1313" t="s">
        <v>1265</v>
      </c>
      <c r="I463" s="3137" t="s">
        <v>121</v>
      </c>
      <c r="J463" s="1298" t="s">
        <v>1230</v>
      </c>
      <c r="K463" s="1298"/>
      <c r="L463" s="3065" t="s">
        <v>121</v>
      </c>
      <c r="M463" s="1298" t="s">
        <v>1256</v>
      </c>
      <c r="N463" s="1298"/>
      <c r="O463" s="3065" t="s">
        <v>121</v>
      </c>
      <c r="P463" s="1298" t="s">
        <v>1257</v>
      </c>
      <c r="Q463" s="1307"/>
      <c r="R463" s="1307"/>
      <c r="S463" s="1307"/>
      <c r="T463" s="1307"/>
      <c r="U463" s="1314"/>
      <c r="V463" s="1314"/>
      <c r="W463" s="1314"/>
      <c r="X463" s="1315"/>
      <c r="Y463" s="1295"/>
      <c r="Z463" s="1292"/>
      <c r="AA463" s="1292"/>
      <c r="AB463" s="1293"/>
      <c r="AC463" s="1533"/>
      <c r="AD463" s="1534"/>
      <c r="AE463" s="1534"/>
      <c r="AF463" s="1535"/>
      <c r="AI463" s="3056" t="str">
        <f>"2B:field225:" &amp; IF(I463="■",1,IF(L463="■",2,IF(O463="■",3,0)))</f>
        <v>2B:field225:0</v>
      </c>
    </row>
    <row r="464" spans="1:36" ht="18.75" hidden="1" customHeight="1">
      <c r="A464" s="735"/>
      <c r="B464" s="1407"/>
      <c r="C464" s="1303"/>
      <c r="D464" s="1304"/>
      <c r="E464" s="1275"/>
      <c r="F464" s="1289"/>
      <c r="G464" s="1275"/>
      <c r="H464" s="1409" t="s">
        <v>1266</v>
      </c>
      <c r="I464" s="3137" t="s">
        <v>121</v>
      </c>
      <c r="J464" s="1298" t="s">
        <v>1230</v>
      </c>
      <c r="K464" s="1298"/>
      <c r="L464" s="3065" t="s">
        <v>121</v>
      </c>
      <c r="M464" s="1298" t="s">
        <v>1267</v>
      </c>
      <c r="N464" s="1298"/>
      <c r="O464" s="3065" t="s">
        <v>121</v>
      </c>
      <c r="P464" s="1298" t="s">
        <v>1268</v>
      </c>
      <c r="Q464" s="1326"/>
      <c r="R464" s="3065" t="s">
        <v>121</v>
      </c>
      <c r="S464" s="1298" t="s">
        <v>1269</v>
      </c>
      <c r="T464" s="1326"/>
      <c r="U464" s="1326"/>
      <c r="V464" s="1326"/>
      <c r="W464" s="1326"/>
      <c r="X464" s="1327"/>
      <c r="Y464" s="1295"/>
      <c r="Z464" s="1292"/>
      <c r="AA464" s="1292"/>
      <c r="AB464" s="1293"/>
      <c r="AC464" s="1533"/>
      <c r="AD464" s="1534"/>
      <c r="AE464" s="1534"/>
      <c r="AF464" s="1535"/>
      <c r="AI464" s="3056" t="str">
        <f>"2B:serteikyo_kyoka_code:" &amp; IF(I464="■",1,IF(L464="■",6,IF(O464="■",5,IF(R464="■",7,0))))</f>
        <v>2B:serteikyo_kyoka_code:0</v>
      </c>
    </row>
    <row r="465" spans="1:37" ht="18.75" hidden="1" customHeight="1">
      <c r="A465" s="735"/>
      <c r="B465" s="1407"/>
      <c r="C465" s="1303"/>
      <c r="D465" s="1304"/>
      <c r="E465" s="1275"/>
      <c r="F465" s="1289"/>
      <c r="G465" s="1275"/>
      <c r="H465" s="1539" t="s">
        <v>2390</v>
      </c>
      <c r="I465" s="3160" t="s">
        <v>121</v>
      </c>
      <c r="J465" s="3161" t="s">
        <v>1230</v>
      </c>
      <c r="K465" s="3161"/>
      <c r="L465" s="3160" t="s">
        <v>121</v>
      </c>
      <c r="M465" s="3161" t="s">
        <v>1248</v>
      </c>
      <c r="N465" s="3161"/>
      <c r="O465" s="1402"/>
      <c r="P465" s="1402"/>
      <c r="Q465" s="1402"/>
      <c r="R465" s="1402"/>
      <c r="S465" s="1402"/>
      <c r="T465" s="1402"/>
      <c r="U465" s="1402"/>
      <c r="V465" s="1402"/>
      <c r="W465" s="1402"/>
      <c r="X465" s="1291"/>
      <c r="Y465" s="1295"/>
      <c r="Z465" s="1292"/>
      <c r="AA465" s="1292"/>
      <c r="AB465" s="1293"/>
      <c r="AC465" s="1533"/>
      <c r="AD465" s="1534"/>
      <c r="AE465" s="1534"/>
      <c r="AF465" s="1535"/>
      <c r="AI465" s="3056" t="str">
        <f>"2B:field221:" &amp; IF(I465="■",1,IF(L465="■",2,0))</f>
        <v>2B:field221:0</v>
      </c>
    </row>
    <row r="466" spans="1:37" ht="18.75" hidden="1" customHeight="1">
      <c r="A466" s="735"/>
      <c r="B466" s="1407"/>
      <c r="C466" s="1303"/>
      <c r="D466" s="1304"/>
      <c r="E466" s="1275"/>
      <c r="F466" s="1289"/>
      <c r="G466" s="1275"/>
      <c r="H466" s="1540"/>
      <c r="I466" s="3160"/>
      <c r="J466" s="3161"/>
      <c r="K466" s="3161"/>
      <c r="L466" s="3160"/>
      <c r="M466" s="3161"/>
      <c r="N466" s="3161"/>
      <c r="O466" s="1403"/>
      <c r="P466" s="1403"/>
      <c r="Q466" s="1403"/>
      <c r="R466" s="1403"/>
      <c r="S466" s="1403"/>
      <c r="T466" s="1403"/>
      <c r="U466" s="1403"/>
      <c r="V466" s="1403"/>
      <c r="W466" s="1403"/>
      <c r="X466" s="1297"/>
      <c r="Y466" s="1295"/>
      <c r="Z466" s="1292"/>
      <c r="AA466" s="1292"/>
      <c r="AB466" s="1293"/>
      <c r="AC466" s="1533"/>
      <c r="AD466" s="1534"/>
      <c r="AE466" s="1534"/>
      <c r="AF466" s="1535"/>
    </row>
    <row r="467" spans="1:37" ht="18.75" hidden="1" customHeight="1">
      <c r="A467" s="736"/>
      <c r="B467" s="1316"/>
      <c r="C467" s="1346"/>
      <c r="D467" s="1348"/>
      <c r="E467" s="1317"/>
      <c r="F467" s="1318"/>
      <c r="G467" s="1361"/>
      <c r="H467" s="3134" t="s">
        <v>2288</v>
      </c>
      <c r="I467" s="3060" t="s">
        <v>121</v>
      </c>
      <c r="J467" s="3130" t="s">
        <v>1230</v>
      </c>
      <c r="K467" s="3130"/>
      <c r="L467" s="3059" t="s">
        <v>121</v>
      </c>
      <c r="M467" s="3130" t="s">
        <v>2287</v>
      </c>
      <c r="N467" s="3133"/>
      <c r="O467" s="3059" t="s">
        <v>121</v>
      </c>
      <c r="P467" s="3132" t="s">
        <v>2286</v>
      </c>
      <c r="Q467" s="3131"/>
      <c r="R467" s="3059" t="s">
        <v>121</v>
      </c>
      <c r="S467" s="3130" t="s">
        <v>2285</v>
      </c>
      <c r="T467" s="3131"/>
      <c r="U467" s="3059" t="s">
        <v>121</v>
      </c>
      <c r="V467" s="3130" t="s">
        <v>2284</v>
      </c>
      <c r="W467" s="3129"/>
      <c r="X467" s="3128"/>
      <c r="Y467" s="1323"/>
      <c r="Z467" s="1323"/>
      <c r="AA467" s="1323"/>
      <c r="AB467" s="1324"/>
      <c r="AC467" s="1536"/>
      <c r="AD467" s="1537"/>
      <c r="AE467" s="1537"/>
      <c r="AF467" s="1538"/>
      <c r="AG467" s="3056"/>
      <c r="AH467" s="3056"/>
      <c r="AI467" s="3056" t="str">
        <f>"2B:shoguukaizen_code:"&amp;IF(I467="■",1,IF(L467="■",7,IF(O467="■",8,IF(R467="■",9,IF(U467="■","A",0)))))</f>
        <v>2B:shoguukaizen_code:0</v>
      </c>
    </row>
    <row r="468" spans="1:37" ht="18.75" hidden="1" customHeight="1">
      <c r="A468" s="1276"/>
      <c r="B468" s="1405"/>
      <c r="C468" s="1350"/>
      <c r="D468" s="1279"/>
      <c r="E468" s="1272"/>
      <c r="F468" s="1279"/>
      <c r="G468" s="1272"/>
      <c r="H468" s="1372" t="s">
        <v>90</v>
      </c>
      <c r="I468" s="3137" t="s">
        <v>121</v>
      </c>
      <c r="J468" s="1280" t="s">
        <v>1230</v>
      </c>
      <c r="K468" s="1280"/>
      <c r="L468" s="1282"/>
      <c r="M468" s="3073" t="s">
        <v>121</v>
      </c>
      <c r="N468" s="1280" t="s">
        <v>2262</v>
      </c>
      <c r="O468" s="1280"/>
      <c r="P468" s="1282"/>
      <c r="Q468" s="3073" t="s">
        <v>121</v>
      </c>
      <c r="R468" s="1365" t="s">
        <v>2261</v>
      </c>
      <c r="S468" s="1365"/>
      <c r="T468" s="1281"/>
      <c r="U468" s="1281"/>
      <c r="V468" s="1281"/>
      <c r="W468" s="1281"/>
      <c r="X468" s="1285"/>
      <c r="Y468" s="3119" t="s">
        <v>121</v>
      </c>
      <c r="Z468" s="1270" t="s">
        <v>1229</v>
      </c>
      <c r="AA468" s="1270"/>
      <c r="AB468" s="1286"/>
      <c r="AC468" s="3138" t="s">
        <v>121</v>
      </c>
      <c r="AD468" s="1270" t="s">
        <v>1229</v>
      </c>
      <c r="AE468" s="1270"/>
      <c r="AF468" s="1286"/>
      <c r="AG468" s="3056" t="str">
        <f>"ser_code = '" &amp; IF(A474="■",35,"") &amp; "'"</f>
        <v>ser_code = ''</v>
      </c>
      <c r="AH468" s="3056" t="str">
        <f>"35:jininkbn_code:"&amp;IF(F473="■",1,IF(F474="■",2,0))</f>
        <v>35:jininkbn_code:0</v>
      </c>
      <c r="AI468" s="3056" t="str">
        <f>"35:"&amp;IF(AND(I468="□",M468="□",Q468="□"),"ketu_kangos_code:0",IF(I468="■","ketu_kangos_code:1:ketu_kshoku_code:1",IF(M468="■","ketu_kangos_code:2","ketu_kangos_code:1")&amp;IF(Q468="■",":ketu_kshoku_code:2",":ketu_kshoku_code:1")))</f>
        <v>35:ketu_kangos_code:0</v>
      </c>
      <c r="AJ468" s="3056" t="str">
        <f>"35:field203:" &amp; IF(Y468="■",1,IF(Y469="■",2,0))</f>
        <v>35:field203:0</v>
      </c>
      <c r="AK468" s="3056" t="str">
        <f>"35:waribiki_code:" &amp; IF(AC468="■",1,IF(AC469="■",2,0))</f>
        <v>35:waribiki_code:0</v>
      </c>
    </row>
    <row r="469" spans="1:37" ht="18.75" hidden="1" customHeight="1">
      <c r="A469" s="735"/>
      <c r="B469" s="1407"/>
      <c r="C469" s="1353"/>
      <c r="D469" s="1289"/>
      <c r="E469" s="1275"/>
      <c r="F469" s="1289"/>
      <c r="G469" s="1275"/>
      <c r="H469" s="3112" t="s">
        <v>2225</v>
      </c>
      <c r="I469" s="3137" t="s">
        <v>121</v>
      </c>
      <c r="J469" s="1298" t="s">
        <v>1242</v>
      </c>
      <c r="K469" s="1299"/>
      <c r="L469" s="1300"/>
      <c r="M469" s="3065" t="s">
        <v>121</v>
      </c>
      <c r="N469" s="1298" t="s">
        <v>1243</v>
      </c>
      <c r="O469" s="1307"/>
      <c r="P469" s="1307"/>
      <c r="Q469" s="1298"/>
      <c r="R469" s="1298"/>
      <c r="S469" s="1298"/>
      <c r="T469" s="1298"/>
      <c r="U469" s="1298"/>
      <c r="V469" s="1298"/>
      <c r="W469" s="1298"/>
      <c r="X469" s="1310"/>
      <c r="Y469" s="3122" t="s">
        <v>121</v>
      </c>
      <c r="Z469" s="1273" t="s">
        <v>1234</v>
      </c>
      <c r="AA469" s="1292"/>
      <c r="AB469" s="1293"/>
      <c r="AC469" s="3122" t="s">
        <v>121</v>
      </c>
      <c r="AD469" s="1273" t="s">
        <v>1234</v>
      </c>
      <c r="AE469" s="1292"/>
      <c r="AF469" s="1293"/>
      <c r="AG469" s="3056" t="str">
        <f>"35:sisetukbn_code:" &amp; IF(D473="■",1,IF(D474="■",2,IF(D475="■",3,0)))</f>
        <v>35:sisetukbn_code:0</v>
      </c>
      <c r="AH469" s="3056"/>
      <c r="AI469" s="3056" t="str">
        <f>"35:sintaikousoku_code:" &amp; IF(I469="■",1,IF(M469="■",2,0))</f>
        <v>35:sintaikousoku_code:0</v>
      </c>
      <c r="AJ469" s="3056"/>
      <c r="AK469" s="3056"/>
    </row>
    <row r="470" spans="1:37" ht="19.5" hidden="1" customHeight="1">
      <c r="A470" s="735"/>
      <c r="B470" s="1407"/>
      <c r="C470" s="1303"/>
      <c r="D470" s="1304"/>
      <c r="E470" s="1275"/>
      <c r="F470" s="1289"/>
      <c r="G470" s="1305"/>
      <c r="H470" s="1306" t="s">
        <v>1244</v>
      </c>
      <c r="I470" s="3137" t="s">
        <v>121</v>
      </c>
      <c r="J470" s="1298" t="s">
        <v>1242</v>
      </c>
      <c r="K470" s="1299"/>
      <c r="L470" s="1300"/>
      <c r="M470" s="3065" t="s">
        <v>121</v>
      </c>
      <c r="N470" s="1298" t="s">
        <v>1245</v>
      </c>
      <c r="O470" s="1307"/>
      <c r="P470" s="1298"/>
      <c r="Q470" s="1307"/>
      <c r="R470" s="1307"/>
      <c r="S470" s="1307"/>
      <c r="T470" s="1307"/>
      <c r="U470" s="1307"/>
      <c r="V470" s="1307"/>
      <c r="W470" s="1307"/>
      <c r="X470" s="1308"/>
      <c r="Y470" s="1292"/>
      <c r="Z470" s="1292"/>
      <c r="AA470" s="1292"/>
      <c r="AB470" s="1293"/>
      <c r="AC470" s="1295"/>
      <c r="AD470" s="1292"/>
      <c r="AE470" s="1292"/>
      <c r="AF470" s="1293"/>
      <c r="AI470" s="3056" t="str">
        <f>"35:field223:" &amp; IF(I470="■",1,IF(M470="■",2,0))</f>
        <v>35:field223:0</v>
      </c>
    </row>
    <row r="471" spans="1:37" ht="19.5" hidden="1" customHeight="1">
      <c r="A471" s="735"/>
      <c r="B471" s="1407"/>
      <c r="C471" s="1303"/>
      <c r="D471" s="1304"/>
      <c r="E471" s="1275"/>
      <c r="F471" s="1289"/>
      <c r="G471" s="1305"/>
      <c r="H471" s="1306" t="s">
        <v>1246</v>
      </c>
      <c r="I471" s="3137" t="s">
        <v>121</v>
      </c>
      <c r="J471" s="1298" t="s">
        <v>1242</v>
      </c>
      <c r="K471" s="1299"/>
      <c r="L471" s="1300"/>
      <c r="M471" s="3065" t="s">
        <v>121</v>
      </c>
      <c r="N471" s="1298" t="s">
        <v>1245</v>
      </c>
      <c r="O471" s="1307"/>
      <c r="P471" s="1298"/>
      <c r="Q471" s="1307"/>
      <c r="R471" s="1307"/>
      <c r="S471" s="1307"/>
      <c r="T471" s="1307"/>
      <c r="U471" s="1307"/>
      <c r="V471" s="1307"/>
      <c r="W471" s="1307"/>
      <c r="X471" s="1308"/>
      <c r="Y471" s="1292"/>
      <c r="Z471" s="1292"/>
      <c r="AA471" s="1292"/>
      <c r="AB471" s="1293"/>
      <c r="AC471" s="1295"/>
      <c r="AD471" s="1292"/>
      <c r="AE471" s="1292"/>
      <c r="AF471" s="1293"/>
      <c r="AI471" s="3056" t="str">
        <f>"35:field232:" &amp; IF(I471="■",1,IF(M471="■",2,0))</f>
        <v>35:field232:0</v>
      </c>
    </row>
    <row r="472" spans="1:37" ht="18.75" hidden="1" customHeight="1">
      <c r="A472" s="735"/>
      <c r="B472" s="1407"/>
      <c r="C472" s="1353"/>
      <c r="D472" s="1289"/>
      <c r="E472" s="1275"/>
      <c r="F472" s="1289"/>
      <c r="G472" s="1275"/>
      <c r="H472" s="1410" t="s">
        <v>2352</v>
      </c>
      <c r="I472" s="3137" t="s">
        <v>121</v>
      </c>
      <c r="J472" s="1298" t="s">
        <v>1230</v>
      </c>
      <c r="K472" s="1298"/>
      <c r="L472" s="3065" t="s">
        <v>121</v>
      </c>
      <c r="M472" s="1298" t="s">
        <v>1263</v>
      </c>
      <c r="N472" s="1298"/>
      <c r="O472" s="3065" t="s">
        <v>121</v>
      </c>
      <c r="P472" s="1298" t="s">
        <v>1287</v>
      </c>
      <c r="Q472" s="1298"/>
      <c r="R472" s="1298"/>
      <c r="S472" s="1298"/>
      <c r="T472" s="1298"/>
      <c r="U472" s="1298"/>
      <c r="V472" s="1298"/>
      <c r="W472" s="1298"/>
      <c r="X472" s="1310"/>
      <c r="Y472" s="1295"/>
      <c r="Z472" s="1292"/>
      <c r="AA472" s="1292"/>
      <c r="AB472" s="1293"/>
      <c r="AC472" s="1295"/>
      <c r="AD472" s="1292"/>
      <c r="AE472" s="1292"/>
      <c r="AF472" s="1293"/>
      <c r="AI472" s="3056" t="str">
        <f>"35:field185:" &amp; IF(I472="■",1,IF(L472="■",3,IF(O472="■",2,0)))</f>
        <v>35:field185:0</v>
      </c>
    </row>
    <row r="473" spans="1:37" ht="18.75" hidden="1" customHeight="1">
      <c r="A473" s="735"/>
      <c r="B473" s="1407"/>
      <c r="C473" s="1353"/>
      <c r="D473" s="3069" t="s">
        <v>121</v>
      </c>
      <c r="E473" s="1275" t="s">
        <v>2493</v>
      </c>
      <c r="F473" s="3069" t="s">
        <v>121</v>
      </c>
      <c r="G473" s="1275" t="s">
        <v>2387</v>
      </c>
      <c r="H473" s="1410" t="s">
        <v>2349</v>
      </c>
      <c r="I473" s="3137" t="s">
        <v>121</v>
      </c>
      <c r="J473" s="1298" t="s">
        <v>1230</v>
      </c>
      <c r="K473" s="1299"/>
      <c r="L473" s="3065" t="s">
        <v>121</v>
      </c>
      <c r="M473" s="1298" t="s">
        <v>1248</v>
      </c>
      <c r="N473" s="1298"/>
      <c r="O473" s="1298"/>
      <c r="P473" s="1298"/>
      <c r="Q473" s="1298"/>
      <c r="R473" s="1298"/>
      <c r="S473" s="1298"/>
      <c r="T473" s="1298"/>
      <c r="U473" s="1298"/>
      <c r="V473" s="1298"/>
      <c r="W473" s="1298"/>
      <c r="X473" s="1310"/>
      <c r="Y473" s="1295"/>
      <c r="Z473" s="1292"/>
      <c r="AA473" s="1292"/>
      <c r="AB473" s="1293"/>
      <c r="AC473" s="1295"/>
      <c r="AD473" s="1292"/>
      <c r="AE473" s="1292"/>
      <c r="AF473" s="1293"/>
      <c r="AG473" s="1352"/>
      <c r="AI473" s="3056" t="str">
        <f>"35:kobetu_kunren_code:" &amp; IF(I473="■",1,IF(L473="■",2,0))</f>
        <v>35:kobetu_kunren_code:0</v>
      </c>
    </row>
    <row r="474" spans="1:37" ht="18.75" hidden="1" customHeight="1">
      <c r="A474" s="3069" t="s">
        <v>121</v>
      </c>
      <c r="B474" s="1407">
        <v>35</v>
      </c>
      <c r="C474" s="1353" t="s">
        <v>2492</v>
      </c>
      <c r="D474" s="3069" t="s">
        <v>121</v>
      </c>
      <c r="E474" s="1275" t="s">
        <v>2491</v>
      </c>
      <c r="F474" s="3069" t="s">
        <v>121</v>
      </c>
      <c r="G474" s="1275" t="s">
        <v>2384</v>
      </c>
      <c r="H474" s="3112" t="s">
        <v>2376</v>
      </c>
      <c r="I474" s="3137" t="s">
        <v>121</v>
      </c>
      <c r="J474" s="1298" t="s">
        <v>1230</v>
      </c>
      <c r="K474" s="1299"/>
      <c r="L474" s="3065" t="s">
        <v>121</v>
      </c>
      <c r="M474" s="1298" t="s">
        <v>1248</v>
      </c>
      <c r="N474" s="1298"/>
      <c r="O474" s="1298"/>
      <c r="P474" s="1298"/>
      <c r="Q474" s="1298"/>
      <c r="R474" s="1298"/>
      <c r="S474" s="1298"/>
      <c r="T474" s="1298"/>
      <c r="U474" s="1298"/>
      <c r="V474" s="1298"/>
      <c r="W474" s="1298"/>
      <c r="X474" s="1310"/>
      <c r="Y474" s="1295"/>
      <c r="Z474" s="1292"/>
      <c r="AA474" s="1292"/>
      <c r="AB474" s="1293"/>
      <c r="AC474" s="1295"/>
      <c r="AD474" s="1292"/>
      <c r="AE474" s="1292"/>
      <c r="AF474" s="1293"/>
      <c r="AI474" s="3056" t="str">
        <f>"35:jyakuninti_uke_code:" &amp; IF(I474="■",1,IF(L474="■",2,0))</f>
        <v>35:jyakuninti_uke_code:0</v>
      </c>
    </row>
    <row r="475" spans="1:37" ht="18.75" hidden="1" customHeight="1">
      <c r="A475" s="735"/>
      <c r="B475" s="1407"/>
      <c r="C475" s="1353" t="s">
        <v>2490</v>
      </c>
      <c r="D475" s="3069" t="s">
        <v>121</v>
      </c>
      <c r="E475" s="1275" t="s">
        <v>2489</v>
      </c>
      <c r="F475" s="1289"/>
      <c r="G475" s="1275" t="s">
        <v>2383</v>
      </c>
      <c r="H475" s="1410" t="s">
        <v>764</v>
      </c>
      <c r="I475" s="3137" t="s">
        <v>121</v>
      </c>
      <c r="J475" s="1298" t="s">
        <v>1230</v>
      </c>
      <c r="K475" s="1299"/>
      <c r="L475" s="3065" t="s">
        <v>121</v>
      </c>
      <c r="M475" s="1298" t="s">
        <v>1248</v>
      </c>
      <c r="N475" s="1298"/>
      <c r="O475" s="1298"/>
      <c r="P475" s="1298"/>
      <c r="Q475" s="1298"/>
      <c r="R475" s="1298"/>
      <c r="S475" s="1298"/>
      <c r="T475" s="1298"/>
      <c r="U475" s="1298"/>
      <c r="V475" s="1298"/>
      <c r="W475" s="1298"/>
      <c r="X475" s="1310"/>
      <c r="Y475" s="1295"/>
      <c r="Z475" s="1292"/>
      <c r="AA475" s="1292"/>
      <c r="AB475" s="1293"/>
      <c r="AC475" s="1295"/>
      <c r="AD475" s="1292"/>
      <c r="AE475" s="1292"/>
      <c r="AF475" s="1293"/>
      <c r="AI475" s="3056" t="str">
        <f>"35:field212:" &amp; IF(I475="■",1,IF(L475="■",2,0))</f>
        <v>35:field212:0</v>
      </c>
    </row>
    <row r="476" spans="1:37" ht="18.75" hidden="1" customHeight="1">
      <c r="A476" s="735"/>
      <c r="B476" s="1407"/>
      <c r="C476" s="1353"/>
      <c r="D476" s="1304"/>
      <c r="E476" s="1275"/>
      <c r="F476" s="1289"/>
      <c r="G476" s="1305"/>
      <c r="H476" s="3112" t="s">
        <v>1260</v>
      </c>
      <c r="I476" s="3137" t="s">
        <v>121</v>
      </c>
      <c r="J476" s="1298" t="s">
        <v>1230</v>
      </c>
      <c r="K476" s="1298"/>
      <c r="L476" s="3065" t="s">
        <v>121</v>
      </c>
      <c r="M476" s="1298" t="s">
        <v>1256</v>
      </c>
      <c r="N476" s="1298"/>
      <c r="O476" s="3065" t="s">
        <v>121</v>
      </c>
      <c r="P476" s="1298" t="s">
        <v>1257</v>
      </c>
      <c r="Q476" s="1299"/>
      <c r="R476" s="1299"/>
      <c r="S476" s="1299"/>
      <c r="T476" s="1299"/>
      <c r="U476" s="1299"/>
      <c r="V476" s="1299"/>
      <c r="W476" s="1299"/>
      <c r="X476" s="1302"/>
      <c r="Y476" s="1295"/>
      <c r="Z476" s="1292"/>
      <c r="AA476" s="1292"/>
      <c r="AB476" s="1293"/>
      <c r="AC476" s="1295"/>
      <c r="AD476" s="1292"/>
      <c r="AE476" s="1292"/>
      <c r="AF476" s="1293"/>
      <c r="AI476" s="3056" t="str">
        <f>"35:ninti_senmoncare_code:" &amp; IF(I476="■",1,IF(O476="■",3,IF(L476="■",2,0)))</f>
        <v>35:ninti_senmoncare_code:0</v>
      </c>
    </row>
    <row r="477" spans="1:37" ht="18.75" hidden="1" customHeight="1">
      <c r="A477" s="735"/>
      <c r="B477" s="1407"/>
      <c r="C477" s="1353"/>
      <c r="D477" s="1304"/>
      <c r="E477" s="1275"/>
      <c r="F477" s="1289"/>
      <c r="G477" s="1305"/>
      <c r="H477" s="1409" t="s">
        <v>1288</v>
      </c>
      <c r="I477" s="3137" t="s">
        <v>121</v>
      </c>
      <c r="J477" s="1298" t="s">
        <v>1230</v>
      </c>
      <c r="K477" s="1298"/>
      <c r="L477" s="3065" t="s">
        <v>121</v>
      </c>
      <c r="M477" s="1296" t="s">
        <v>1248</v>
      </c>
      <c r="N477" s="1298"/>
      <c r="O477" s="1298"/>
      <c r="P477" s="1298"/>
      <c r="Q477" s="1299"/>
      <c r="R477" s="1299"/>
      <c r="S477" s="1299"/>
      <c r="T477" s="1299"/>
      <c r="U477" s="1299"/>
      <c r="V477" s="1299"/>
      <c r="W477" s="1299"/>
      <c r="X477" s="1302"/>
      <c r="Y477" s="1295"/>
      <c r="Z477" s="1292"/>
      <c r="AA477" s="1292"/>
      <c r="AB477" s="1293"/>
      <c r="AC477" s="1295"/>
      <c r="AD477" s="1292"/>
      <c r="AE477" s="1292"/>
      <c r="AF477" s="1293"/>
      <c r="AI477" s="3056" t="str">
        <f>"35:field226:" &amp; IF(I477="■",1,IF(L477="■",2,0))</f>
        <v>35:field226:0</v>
      </c>
    </row>
    <row r="478" spans="1:37" ht="18.75" hidden="1" customHeight="1">
      <c r="A478" s="735"/>
      <c r="B478" s="1407"/>
      <c r="C478" s="1303"/>
      <c r="D478" s="1304"/>
      <c r="E478" s="1275"/>
      <c r="F478" s="1289"/>
      <c r="G478" s="1305"/>
      <c r="H478" s="1409" t="s">
        <v>1289</v>
      </c>
      <c r="I478" s="3137" t="s">
        <v>121</v>
      </c>
      <c r="J478" s="1298" t="s">
        <v>1230</v>
      </c>
      <c r="K478" s="1298"/>
      <c r="L478" s="3065" t="s">
        <v>121</v>
      </c>
      <c r="M478" s="1296" t="s">
        <v>1248</v>
      </c>
      <c r="N478" s="1298"/>
      <c r="O478" s="1298"/>
      <c r="P478" s="1298"/>
      <c r="Q478" s="1299"/>
      <c r="R478" s="1299"/>
      <c r="S478" s="1299"/>
      <c r="T478" s="1299"/>
      <c r="U478" s="1299"/>
      <c r="V478" s="1299"/>
      <c r="W478" s="1299"/>
      <c r="X478" s="1302"/>
      <c r="Y478" s="1295"/>
      <c r="Z478" s="1292"/>
      <c r="AA478" s="1292"/>
      <c r="AB478" s="1293"/>
      <c r="AC478" s="1295"/>
      <c r="AD478" s="1292"/>
      <c r="AE478" s="1292"/>
      <c r="AF478" s="1293"/>
      <c r="AI478" s="3056" t="str">
        <f>"35:field227:" &amp; IF(I478="■",1,IF(L478="■",2,0))</f>
        <v>35:field227:0</v>
      </c>
    </row>
    <row r="479" spans="1:37" ht="18.75" hidden="1" customHeight="1">
      <c r="A479" s="735"/>
      <c r="B479" s="1407"/>
      <c r="C479" s="1303"/>
      <c r="D479" s="1304"/>
      <c r="E479" s="1275"/>
      <c r="F479" s="1289"/>
      <c r="G479" s="1305"/>
      <c r="H479" s="1313" t="s">
        <v>1265</v>
      </c>
      <c r="I479" s="3137" t="s">
        <v>121</v>
      </c>
      <c r="J479" s="1298" t="s">
        <v>1230</v>
      </c>
      <c r="K479" s="1298"/>
      <c r="L479" s="3065" t="s">
        <v>121</v>
      </c>
      <c r="M479" s="1298" t="s">
        <v>1256</v>
      </c>
      <c r="N479" s="1298"/>
      <c r="O479" s="3065" t="s">
        <v>121</v>
      </c>
      <c r="P479" s="1298" t="s">
        <v>1257</v>
      </c>
      <c r="Q479" s="1307"/>
      <c r="R479" s="1307"/>
      <c r="S479" s="1307"/>
      <c r="T479" s="1307"/>
      <c r="U479" s="1314"/>
      <c r="V479" s="1314"/>
      <c r="W479" s="1314"/>
      <c r="X479" s="1315"/>
      <c r="Y479" s="1295"/>
      <c r="Z479" s="1292"/>
      <c r="AA479" s="1292"/>
      <c r="AB479" s="1293"/>
      <c r="AC479" s="1295"/>
      <c r="AD479" s="1292"/>
      <c r="AE479" s="1292"/>
      <c r="AF479" s="1293"/>
      <c r="AI479" s="3056" t="str">
        <f>"35:field225:" &amp; IF(I479="■",1,IF(L479="■",2,IF(O479="■",3,0)))</f>
        <v>35:field225:0</v>
      </c>
    </row>
    <row r="480" spans="1:37" ht="18.75" hidden="1" customHeight="1">
      <c r="A480" s="735"/>
      <c r="B480" s="1407"/>
      <c r="C480" s="1303"/>
      <c r="D480" s="1304"/>
      <c r="E480" s="1275"/>
      <c r="F480" s="1289"/>
      <c r="G480" s="1305"/>
      <c r="H480" s="1312" t="s">
        <v>2372</v>
      </c>
      <c r="I480" s="3137" t="s">
        <v>121</v>
      </c>
      <c r="J480" s="1298" t="s">
        <v>1230</v>
      </c>
      <c r="K480" s="1298"/>
      <c r="L480" s="3065" t="s">
        <v>121</v>
      </c>
      <c r="M480" s="1298" t="s">
        <v>1267</v>
      </c>
      <c r="N480" s="1298"/>
      <c r="O480" s="3065" t="s">
        <v>121</v>
      </c>
      <c r="P480" s="1298" t="s">
        <v>1287</v>
      </c>
      <c r="Q480" s="1326"/>
      <c r="R480" s="3065" t="s">
        <v>121</v>
      </c>
      <c r="S480" s="1298" t="s">
        <v>1269</v>
      </c>
      <c r="T480" s="1298"/>
      <c r="U480" s="1298"/>
      <c r="V480" s="1298"/>
      <c r="W480" s="1298"/>
      <c r="X480" s="1310"/>
      <c r="Y480" s="1295"/>
      <c r="Z480" s="1292"/>
      <c r="AA480" s="1292"/>
      <c r="AB480" s="1293"/>
      <c r="AC480" s="1295"/>
      <c r="AD480" s="1292"/>
      <c r="AE480" s="1292"/>
      <c r="AF480" s="1293"/>
      <c r="AI480" s="3056" t="str">
        <f>"35:serteikyo_kyoka_code:" &amp; IF(I480="■",1,IF(L480="■",6,IF(O480="■",2,IF(R480="■",7,0))))</f>
        <v>35:serteikyo_kyoka_code:0</v>
      </c>
    </row>
    <row r="481" spans="1:36" ht="18.75" hidden="1" customHeight="1">
      <c r="A481" s="736"/>
      <c r="B481" s="1407"/>
      <c r="C481" s="1346"/>
      <c r="D481" s="1348"/>
      <c r="E481" s="1317"/>
      <c r="F481" s="1318"/>
      <c r="G481" s="1361"/>
      <c r="H481" s="3134" t="s">
        <v>2288</v>
      </c>
      <c r="I481" s="3060" t="s">
        <v>121</v>
      </c>
      <c r="J481" s="3130" t="s">
        <v>1230</v>
      </c>
      <c r="K481" s="3130"/>
      <c r="L481" s="3059" t="s">
        <v>121</v>
      </c>
      <c r="M481" s="3130" t="s">
        <v>2287</v>
      </c>
      <c r="N481" s="3133"/>
      <c r="O481" s="3059" t="s">
        <v>121</v>
      </c>
      <c r="P481" s="3132" t="s">
        <v>2286</v>
      </c>
      <c r="Q481" s="3131"/>
      <c r="R481" s="3059" t="s">
        <v>121</v>
      </c>
      <c r="S481" s="3130" t="s">
        <v>2285</v>
      </c>
      <c r="T481" s="3131"/>
      <c r="U481" s="3059" t="s">
        <v>121</v>
      </c>
      <c r="V481" s="3130" t="s">
        <v>2284</v>
      </c>
      <c r="W481" s="3129"/>
      <c r="X481" s="3128"/>
      <c r="Y481" s="1323"/>
      <c r="Z481" s="1323"/>
      <c r="AA481" s="1323"/>
      <c r="AB481" s="1324"/>
      <c r="AC481" s="1322"/>
      <c r="AD481" s="1323"/>
      <c r="AE481" s="1323"/>
      <c r="AF481" s="1324"/>
      <c r="AG481" s="3056"/>
      <c r="AH481" s="3056"/>
      <c r="AI481" s="3056" t="str">
        <f>"62:shoguukaizen_code:"&amp;IF(I481="■",1,IF(L481="■",7,IF(O481="■",8,IF(R481="■",9,IF(U481="■","A",0)))))</f>
        <v>62:shoguukaizen_code:0</v>
      </c>
    </row>
    <row r="482" spans="1:36" s="3056" customFormat="1" ht="19.5" hidden="1" customHeight="1">
      <c r="A482" s="1276"/>
      <c r="B482" s="1405"/>
      <c r="C482" s="1333"/>
      <c r="D482" s="1335"/>
      <c r="E482" s="1272"/>
      <c r="F482" s="1279"/>
      <c r="G482" s="1351"/>
      <c r="H482" s="3238" t="s">
        <v>1246</v>
      </c>
      <c r="I482" s="3213" t="s">
        <v>121</v>
      </c>
      <c r="J482" s="3210" t="s">
        <v>1242</v>
      </c>
      <c r="K482" s="3209"/>
      <c r="L482" s="3212"/>
      <c r="M482" s="3211" t="s">
        <v>121</v>
      </c>
      <c r="N482" s="3210" t="s">
        <v>1245</v>
      </c>
      <c r="O482" s="3237"/>
      <c r="P482" s="3235"/>
      <c r="Q482" s="3236"/>
      <c r="R482" s="3236"/>
      <c r="S482" s="3236"/>
      <c r="T482" s="3236"/>
      <c r="U482" s="3236"/>
      <c r="V482" s="3236"/>
      <c r="W482" s="3236"/>
      <c r="X482" s="3277"/>
      <c r="Y482" s="3069" t="s">
        <v>121</v>
      </c>
      <c r="Z482" s="1273" t="s">
        <v>2486</v>
      </c>
      <c r="AA482" s="1273"/>
      <c r="AB482" s="1293"/>
      <c r="AC482" s="3276"/>
      <c r="AD482" s="3275"/>
      <c r="AE482" s="3275"/>
      <c r="AF482" s="3274"/>
      <c r="AG482" s="3056" t="str">
        <f>"ser_code = '" &amp; IF(A484="■",67,"") &amp; "'"</f>
        <v>ser_code = ''</v>
      </c>
      <c r="AI482" s="3056" t="str">
        <f>"67:field232:" &amp; IF(I482="■",1,IF(M482="■",2,0))</f>
        <v>67:field232:0</v>
      </c>
      <c r="AJ482" s="3056" t="str">
        <f>"67:field203:" &amp; IF(Y482="■",1,IF(Y483="■",2,0))</f>
        <v>67:field203:0</v>
      </c>
    </row>
    <row r="483" spans="1:36" ht="18.75" hidden="1" customHeight="1">
      <c r="A483" s="735"/>
      <c r="B483" s="1407"/>
      <c r="C483" s="1303"/>
      <c r="D483" s="1304"/>
      <c r="E483" s="1305"/>
      <c r="F483" s="1304"/>
      <c r="G483" s="1305"/>
      <c r="H483" s="3273" t="s">
        <v>2265</v>
      </c>
      <c r="I483" s="3063" t="s">
        <v>121</v>
      </c>
      <c r="J483" s="1296" t="s">
        <v>1230</v>
      </c>
      <c r="K483" s="1309"/>
      <c r="L483" s="3062" t="s">
        <v>121</v>
      </c>
      <c r="M483" s="1296" t="s">
        <v>1248</v>
      </c>
      <c r="N483" s="1309"/>
      <c r="O483" s="1309"/>
      <c r="P483" s="1309"/>
      <c r="Q483" s="1309"/>
      <c r="R483" s="1309"/>
      <c r="S483" s="1309"/>
      <c r="T483" s="1309"/>
      <c r="U483" s="1309"/>
      <c r="V483" s="1309"/>
      <c r="W483" s="1309"/>
      <c r="X483" s="3087"/>
      <c r="Y483" s="3122" t="s">
        <v>121</v>
      </c>
      <c r="Z483" s="1273" t="s">
        <v>1234</v>
      </c>
      <c r="AA483" s="1292"/>
      <c r="AB483" s="1293"/>
      <c r="AC483" s="3178"/>
      <c r="AD483" s="3177"/>
      <c r="AE483" s="3177"/>
      <c r="AF483" s="3176"/>
      <c r="AG483" s="3056"/>
      <c r="AH483" s="3056"/>
      <c r="AI483" s="3056" t="str">
        <f>"67:tokutiiki_code:" &amp; IF(I483="■",1,IF(L483="■",2,0))</f>
        <v>67:tokutiiki_code:0</v>
      </c>
      <c r="AJ483" s="3056"/>
    </row>
    <row r="484" spans="1:36" ht="18.75" hidden="1" customHeight="1">
      <c r="A484" s="3069" t="s">
        <v>121</v>
      </c>
      <c r="B484" s="1407">
        <v>67</v>
      </c>
      <c r="C484" s="1303" t="s">
        <v>2488</v>
      </c>
      <c r="D484" s="1304"/>
      <c r="E484" s="1305"/>
      <c r="F484" s="1304"/>
      <c r="G484" s="1305"/>
      <c r="H484" s="3102" t="s">
        <v>1349</v>
      </c>
      <c r="I484" s="3086" t="s">
        <v>121</v>
      </c>
      <c r="J484" s="1528" t="s">
        <v>1343</v>
      </c>
      <c r="K484" s="1528"/>
      <c r="L484" s="1528"/>
      <c r="M484" s="3086" t="s">
        <v>121</v>
      </c>
      <c r="N484" s="1528" t="s">
        <v>1344</v>
      </c>
      <c r="O484" s="1528"/>
      <c r="P484" s="1528"/>
      <c r="Q484" s="1314"/>
      <c r="R484" s="1314"/>
      <c r="S484" s="1314"/>
      <c r="T484" s="1314"/>
      <c r="U484" s="1314"/>
      <c r="V484" s="1314"/>
      <c r="W484" s="1314"/>
      <c r="X484" s="1315"/>
      <c r="Y484" s="1295"/>
      <c r="Z484" s="1273"/>
      <c r="AA484" s="1292"/>
      <c r="AB484" s="1293"/>
      <c r="AC484" s="3178"/>
      <c r="AD484" s="3177"/>
      <c r="AE484" s="3177"/>
      <c r="AF484" s="3176"/>
      <c r="AG484" s="3056"/>
      <c r="AH484" s="3056"/>
      <c r="AI484" s="3056" t="str">
        <f>"67:chuusankanti_tiiki_code:" &amp; IF(I484="■",1,IF(M484="■",2,0))</f>
        <v>67:chuusankanti_tiiki_code:0</v>
      </c>
      <c r="AJ484" s="3056"/>
    </row>
    <row r="485" spans="1:36" ht="18.75" hidden="1" customHeight="1">
      <c r="A485" s="735"/>
      <c r="B485" s="1407"/>
      <c r="C485" s="1303"/>
      <c r="D485" s="1304"/>
      <c r="E485" s="1305"/>
      <c r="F485" s="1304"/>
      <c r="G485" s="1305"/>
      <c r="H485" s="3103"/>
      <c r="I485" s="3070"/>
      <c r="J485" s="1529"/>
      <c r="K485" s="1529"/>
      <c r="L485" s="1529"/>
      <c r="M485" s="3070"/>
      <c r="N485" s="1529"/>
      <c r="O485" s="1529"/>
      <c r="P485" s="1529"/>
      <c r="Q485" s="1309"/>
      <c r="R485" s="1309"/>
      <c r="S485" s="1309"/>
      <c r="T485" s="1309"/>
      <c r="U485" s="1309"/>
      <c r="V485" s="1309"/>
      <c r="W485" s="1309"/>
      <c r="X485" s="3087"/>
      <c r="Y485" s="1295"/>
      <c r="Z485" s="1292"/>
      <c r="AA485" s="1292"/>
      <c r="AB485" s="1293"/>
      <c r="AC485" s="3178"/>
      <c r="AD485" s="3177"/>
      <c r="AE485" s="3177"/>
      <c r="AF485" s="3176"/>
      <c r="AG485" s="3056"/>
      <c r="AH485" s="3056"/>
      <c r="AI485" s="3056"/>
      <c r="AJ485" s="3056"/>
    </row>
    <row r="486" spans="1:36" ht="18.75" hidden="1" customHeight="1">
      <c r="A486" s="735"/>
      <c r="B486" s="1407"/>
      <c r="C486" s="1303"/>
      <c r="D486" s="1304"/>
      <c r="E486" s="1305"/>
      <c r="F486" s="1304"/>
      <c r="G486" s="1305"/>
      <c r="H486" s="3102" t="s">
        <v>1351</v>
      </c>
      <c r="I486" s="3179" t="s">
        <v>121</v>
      </c>
      <c r="J486" s="1528" t="s">
        <v>1343</v>
      </c>
      <c r="K486" s="1528"/>
      <c r="L486" s="1528"/>
      <c r="M486" s="3086" t="s">
        <v>121</v>
      </c>
      <c r="N486" s="1528" t="s">
        <v>1344</v>
      </c>
      <c r="O486" s="1528"/>
      <c r="P486" s="1528"/>
      <c r="Q486" s="1314"/>
      <c r="R486" s="1314"/>
      <c r="S486" s="1314"/>
      <c r="T486" s="1314"/>
      <c r="U486" s="1314"/>
      <c r="V486" s="1314"/>
      <c r="W486" s="1314"/>
      <c r="X486" s="1315"/>
      <c r="Y486" s="1295"/>
      <c r="Z486" s="1292"/>
      <c r="AA486" s="1292"/>
      <c r="AB486" s="1293"/>
      <c r="AC486" s="3178"/>
      <c r="AD486" s="3177"/>
      <c r="AE486" s="3177"/>
      <c r="AF486" s="3176"/>
      <c r="AG486" s="3056"/>
      <c r="AH486" s="3056"/>
      <c r="AI486" s="3056" t="str">
        <f>"67:chuusankanti_kibo_code:" &amp; IF(I486="■",1,IF(M486="■",2,0))</f>
        <v>67:chuusankanti_kibo_code:0</v>
      </c>
      <c r="AJ486" s="3056"/>
    </row>
    <row r="487" spans="1:36" ht="18.75" hidden="1" customHeight="1">
      <c r="A487" s="3256"/>
      <c r="B487" s="3255"/>
      <c r="C487" s="3254"/>
      <c r="D487" s="3253"/>
      <c r="E487" s="3252"/>
      <c r="F487" s="1348"/>
      <c r="G487" s="1361"/>
      <c r="H487" s="3230"/>
      <c r="I487" s="3174"/>
      <c r="J487" s="3159"/>
      <c r="K487" s="3159"/>
      <c r="L487" s="3159"/>
      <c r="M487" s="3173"/>
      <c r="N487" s="3159"/>
      <c r="O487" s="3159"/>
      <c r="P487" s="3159"/>
      <c r="Q487" s="3076"/>
      <c r="R487" s="3076"/>
      <c r="S487" s="3076"/>
      <c r="T487" s="3076"/>
      <c r="U487" s="3076"/>
      <c r="V487" s="3076"/>
      <c r="W487" s="3076"/>
      <c r="X487" s="3061"/>
      <c r="Y487" s="1322"/>
      <c r="Z487" s="1323"/>
      <c r="AA487" s="1323"/>
      <c r="AB487" s="1324"/>
      <c r="AC487" s="3172"/>
      <c r="AD487" s="3171"/>
      <c r="AE487" s="3171"/>
      <c r="AF487" s="3170"/>
      <c r="AG487" s="3056"/>
      <c r="AH487" s="3056"/>
      <c r="AI487" s="3056"/>
      <c r="AJ487" s="3056"/>
    </row>
    <row r="488" spans="1:36" ht="19.5" hidden="1" customHeight="1">
      <c r="A488" s="735"/>
      <c r="B488" s="1405"/>
      <c r="C488" s="1303"/>
      <c r="D488" s="1304"/>
      <c r="E488" s="1275"/>
      <c r="F488" s="3272"/>
      <c r="G488" s="3271"/>
      <c r="H488" s="3270"/>
      <c r="I488" s="3269"/>
      <c r="J488" s="3268"/>
      <c r="K488" s="3268"/>
      <c r="L488" s="3268"/>
      <c r="M488" s="3268"/>
      <c r="N488" s="3268"/>
      <c r="O488" s="3268"/>
      <c r="P488" s="3268"/>
      <c r="Q488" s="3268"/>
      <c r="R488" s="3268"/>
      <c r="S488" s="3268"/>
      <c r="T488" s="3268"/>
      <c r="U488" s="3268"/>
      <c r="V488" s="3268"/>
      <c r="W488" s="3268"/>
      <c r="X488" s="3267"/>
      <c r="Y488" s="3069" t="s">
        <v>121</v>
      </c>
      <c r="Z488" s="1270" t="s">
        <v>2486</v>
      </c>
      <c r="AA488" s="3266"/>
      <c r="AB488" s="3265"/>
      <c r="AC488" s="1530"/>
      <c r="AD488" s="1531"/>
      <c r="AE488" s="1531"/>
      <c r="AF488" s="1532"/>
      <c r="AG488" s="3056" t="str">
        <f>"ser_code = '" &amp; IF(A489="■",46,"") &amp; "'"</f>
        <v>ser_code = ''</v>
      </c>
      <c r="AJ488" s="3056" t="str">
        <f>"46:field203:" &amp; IF(Y488="■",1,IF(Y489="■",2,0))</f>
        <v>46:field203:0</v>
      </c>
    </row>
    <row r="489" spans="1:36" ht="19.5" hidden="1" customHeight="1">
      <c r="A489" s="3240" t="s">
        <v>121</v>
      </c>
      <c r="B489" s="1407">
        <v>46</v>
      </c>
      <c r="C489" s="1303" t="s">
        <v>76</v>
      </c>
      <c r="D489" s="3240" t="s">
        <v>121</v>
      </c>
      <c r="E489" s="1275" t="s">
        <v>2487</v>
      </c>
      <c r="F489" s="3264"/>
      <c r="G489" s="3263"/>
      <c r="H489" s="3262"/>
      <c r="I489" s="3261"/>
      <c r="J489" s="3260"/>
      <c r="K489" s="3260"/>
      <c r="L489" s="3260"/>
      <c r="M489" s="3260"/>
      <c r="N489" s="3260"/>
      <c r="O489" s="3260"/>
      <c r="P489" s="3260"/>
      <c r="Q489" s="3260"/>
      <c r="R489" s="3260"/>
      <c r="S489" s="3260"/>
      <c r="T489" s="3260"/>
      <c r="U489" s="3260"/>
      <c r="V489" s="3260"/>
      <c r="W489" s="3260"/>
      <c r="X489" s="3259"/>
      <c r="Y489" s="3122" t="s">
        <v>121</v>
      </c>
      <c r="Z489" s="1273" t="s">
        <v>1234</v>
      </c>
      <c r="AA489" s="3258"/>
      <c r="AB489" s="3257"/>
      <c r="AC489" s="1533"/>
      <c r="AD489" s="1534"/>
      <c r="AE489" s="1534"/>
      <c r="AF489" s="1535"/>
      <c r="AG489" s="3056" t="str">
        <f>"46:sisetukbn_code:" &amp; IF(D489="■",1,0)</f>
        <v>46:sisetukbn_code:0</v>
      </c>
    </row>
    <row r="490" spans="1:36" ht="18.75" hidden="1" customHeight="1">
      <c r="A490" s="3256"/>
      <c r="B490" s="3255"/>
      <c r="C490" s="3254"/>
      <c r="D490" s="3253"/>
      <c r="E490" s="3252"/>
      <c r="F490" s="3251"/>
      <c r="G490" s="3250"/>
      <c r="H490" s="3249"/>
      <c r="I490" s="3248"/>
      <c r="J490" s="3247"/>
      <c r="K490" s="3247"/>
      <c r="L490" s="3247"/>
      <c r="M490" s="3247"/>
      <c r="N490" s="3247"/>
      <c r="O490" s="3247"/>
      <c r="P490" s="3247"/>
      <c r="Q490" s="3247"/>
      <c r="R490" s="3247"/>
      <c r="S490" s="3247"/>
      <c r="T490" s="3247"/>
      <c r="U490" s="3247"/>
      <c r="V490" s="3247"/>
      <c r="W490" s="3247"/>
      <c r="X490" s="3246"/>
      <c r="Y490" s="1322"/>
      <c r="Z490" s="1323"/>
      <c r="AA490" s="1323"/>
      <c r="AB490" s="1324"/>
      <c r="AC490" s="1536"/>
      <c r="AD490" s="1537"/>
      <c r="AE490" s="1537"/>
      <c r="AF490" s="1538"/>
      <c r="AG490" s="3056"/>
      <c r="AI490" s="3056"/>
      <c r="AJ490" s="3056"/>
    </row>
    <row r="491" spans="1:36" ht="18.75" hidden="1" customHeight="1">
      <c r="A491" s="735"/>
      <c r="B491" s="1407"/>
      <c r="C491" s="1303"/>
      <c r="D491" s="1304"/>
      <c r="E491" s="1275"/>
      <c r="F491" s="3158"/>
      <c r="G491" s="3064"/>
      <c r="H491" s="1409" t="s">
        <v>2371</v>
      </c>
      <c r="I491" s="3066" t="s">
        <v>121</v>
      </c>
      <c r="J491" s="1298" t="s">
        <v>1230</v>
      </c>
      <c r="K491" s="1299"/>
      <c r="L491" s="3065" t="s">
        <v>121</v>
      </c>
      <c r="M491" s="1298" t="s">
        <v>1248</v>
      </c>
      <c r="N491" s="1299"/>
      <c r="O491" s="1299"/>
      <c r="P491" s="1299"/>
      <c r="Q491" s="1299"/>
      <c r="R491" s="1299"/>
      <c r="S491" s="1299"/>
      <c r="T491" s="1299"/>
      <c r="U491" s="1299"/>
      <c r="V491" s="1299"/>
      <c r="W491" s="1299"/>
      <c r="X491" s="1302"/>
      <c r="Y491" s="3069" t="s">
        <v>121</v>
      </c>
      <c r="Z491" s="1270" t="s">
        <v>2486</v>
      </c>
      <c r="AA491" s="3206"/>
      <c r="AB491" s="1286"/>
      <c r="AC491" s="1530"/>
      <c r="AD491" s="1531"/>
      <c r="AE491" s="1531"/>
      <c r="AF491" s="1532"/>
      <c r="AG491" s="3056" t="str">
        <f>"ser_code = '" &amp; IF(A493="■",46,"") &amp; "'"</f>
        <v>ser_code = ''</v>
      </c>
      <c r="AI491" s="3056" t="str">
        <f>"46:tokutiiki_code:" &amp; IF(I491="■",1,IF(L491="■",2,0))</f>
        <v>46:tokutiiki_code:0</v>
      </c>
      <c r="AJ491" s="3056" t="str">
        <f>"46:field203:" &amp; IF(Y491="■",1,IF(Y492="■",2,0))</f>
        <v>46:field203:0</v>
      </c>
    </row>
    <row r="492" spans="1:36" ht="18.75" hidden="1" customHeight="1">
      <c r="A492" s="735"/>
      <c r="B492" s="1407"/>
      <c r="C492" s="1303"/>
      <c r="D492" s="1304"/>
      <c r="E492" s="1275"/>
      <c r="F492" s="3158"/>
      <c r="G492" s="3064"/>
      <c r="H492" s="1539" t="s">
        <v>1342</v>
      </c>
      <c r="I492" s="3086" t="s">
        <v>121</v>
      </c>
      <c r="J492" s="1528" t="s">
        <v>1343</v>
      </c>
      <c r="K492" s="1528"/>
      <c r="L492" s="1528"/>
      <c r="M492" s="3086" t="s">
        <v>121</v>
      </c>
      <c r="N492" s="1528" t="s">
        <v>1344</v>
      </c>
      <c r="O492" s="1528"/>
      <c r="P492" s="1528"/>
      <c r="Q492" s="1314"/>
      <c r="R492" s="1314"/>
      <c r="S492" s="1314"/>
      <c r="T492" s="1314"/>
      <c r="U492" s="1314"/>
      <c r="V492" s="1314"/>
      <c r="W492" s="1314"/>
      <c r="X492" s="1315"/>
      <c r="Y492" s="3122" t="s">
        <v>121</v>
      </c>
      <c r="Z492" s="1273" t="s">
        <v>1234</v>
      </c>
      <c r="AA492" s="1292"/>
      <c r="AB492" s="1293"/>
      <c r="AC492" s="1533"/>
      <c r="AD492" s="1534"/>
      <c r="AE492" s="1534"/>
      <c r="AF492" s="1535"/>
      <c r="AG492" s="3056" t="str">
        <f>"46:sisetukbn_code:" &amp; IF(D492="■",2,0)</f>
        <v>46:sisetukbn_code:0</v>
      </c>
      <c r="AI492" s="3056" t="str">
        <f>"46:chuusankanti_tiiki_code:" &amp; IF(I492="■",1,IF(M492="■",2,0))</f>
        <v>46:chuusankanti_tiiki_code:0</v>
      </c>
    </row>
    <row r="493" spans="1:36" ht="18.75" hidden="1" customHeight="1">
      <c r="A493" s="3240" t="s">
        <v>121</v>
      </c>
      <c r="B493" s="1407">
        <v>46</v>
      </c>
      <c r="C493" s="1303" t="s">
        <v>76</v>
      </c>
      <c r="D493" s="3240" t="s">
        <v>121</v>
      </c>
      <c r="E493" s="1275" t="s">
        <v>2485</v>
      </c>
      <c r="F493" s="3158"/>
      <c r="G493" s="3064"/>
      <c r="H493" s="1540"/>
      <c r="I493" s="3070"/>
      <c r="J493" s="1529"/>
      <c r="K493" s="1529"/>
      <c r="L493" s="1529"/>
      <c r="M493" s="3070"/>
      <c r="N493" s="1529"/>
      <c r="O493" s="1529"/>
      <c r="P493" s="1529"/>
      <c r="Q493" s="1309"/>
      <c r="R493" s="1309"/>
      <c r="S493" s="1309"/>
      <c r="T493" s="1309"/>
      <c r="U493" s="1309"/>
      <c r="V493" s="1309"/>
      <c r="W493" s="1309"/>
      <c r="X493" s="3087"/>
      <c r="Y493" s="1295"/>
      <c r="Z493" s="1292"/>
      <c r="AA493" s="1292"/>
      <c r="AB493" s="1293"/>
      <c r="AC493" s="1533"/>
      <c r="AD493" s="1534"/>
      <c r="AE493" s="1534"/>
      <c r="AF493" s="1535"/>
      <c r="AI493" s="3056"/>
    </row>
    <row r="494" spans="1:36" ht="18.75" hidden="1" customHeight="1">
      <c r="A494" s="735"/>
      <c r="B494" s="1407"/>
      <c r="C494" s="1303"/>
      <c r="D494" s="1304"/>
      <c r="E494" s="1275"/>
      <c r="F494" s="3158"/>
      <c r="G494" s="3064"/>
      <c r="H494" s="1539" t="s">
        <v>1345</v>
      </c>
      <c r="I494" s="3162" t="s">
        <v>121</v>
      </c>
      <c r="J494" s="3161" t="s">
        <v>1343</v>
      </c>
      <c r="K494" s="3161"/>
      <c r="L494" s="3161"/>
      <c r="M494" s="3160" t="s">
        <v>121</v>
      </c>
      <c r="N494" s="3161" t="s">
        <v>2484</v>
      </c>
      <c r="O494" s="3161"/>
      <c r="P494" s="3161"/>
      <c r="Q494" s="1314"/>
      <c r="R494" s="1314"/>
      <c r="S494" s="1314"/>
      <c r="T494" s="1314"/>
      <c r="U494" s="1314"/>
      <c r="V494" s="1314"/>
      <c r="W494" s="1314"/>
      <c r="X494" s="1315"/>
      <c r="Y494" s="1295"/>
      <c r="Z494" s="1292"/>
      <c r="AA494" s="1292"/>
      <c r="AB494" s="1293"/>
      <c r="AC494" s="1533"/>
      <c r="AD494" s="1534"/>
      <c r="AE494" s="1534"/>
      <c r="AF494" s="1535"/>
      <c r="AI494" s="3056" t="str">
        <f>"46:chuusankanti_kibo_code:" &amp; IF(I494="■",1,IF(M494="■",2,0))</f>
        <v>46:chuusankanti_kibo_code:0</v>
      </c>
    </row>
    <row r="495" spans="1:36" ht="18.75" hidden="1" customHeight="1">
      <c r="A495" s="736"/>
      <c r="B495" s="1316"/>
      <c r="C495" s="1346"/>
      <c r="D495" s="1348"/>
      <c r="E495" s="1317"/>
      <c r="F495" s="3157"/>
      <c r="G495" s="3061"/>
      <c r="H495" s="3175"/>
      <c r="I495" s="3245"/>
      <c r="J495" s="3243"/>
      <c r="K495" s="3243"/>
      <c r="L495" s="3243"/>
      <c r="M495" s="3244"/>
      <c r="N495" s="3243"/>
      <c r="O495" s="3243"/>
      <c r="P495" s="3243"/>
      <c r="Q495" s="3076"/>
      <c r="R495" s="3076"/>
      <c r="S495" s="3076"/>
      <c r="T495" s="3076"/>
      <c r="U495" s="3076"/>
      <c r="V495" s="3076"/>
      <c r="W495" s="3076"/>
      <c r="X495" s="3061"/>
      <c r="Y495" s="1322"/>
      <c r="Z495" s="1323"/>
      <c r="AA495" s="1323"/>
      <c r="AB495" s="1324"/>
      <c r="AC495" s="1536"/>
      <c r="AD495" s="1537"/>
      <c r="AE495" s="1537"/>
      <c r="AF495" s="1538"/>
    </row>
    <row r="496" spans="1:36" ht="20.25" customHeight="1"/>
    <row r="497" spans="1:35" ht="20.25" customHeight="1">
      <c r="A497" s="1571" t="s">
        <v>2283</v>
      </c>
      <c r="B497" s="1571"/>
      <c r="C497" s="1571"/>
      <c r="D497" s="1571"/>
      <c r="E497" s="1571"/>
      <c r="F497" s="1571"/>
      <c r="G497" s="1571"/>
      <c r="H497" s="1571"/>
      <c r="I497" s="1571"/>
      <c r="J497" s="1571"/>
      <c r="K497" s="1571"/>
      <c r="L497" s="1571"/>
      <c r="M497" s="1571"/>
      <c r="N497" s="1571"/>
      <c r="O497" s="1571"/>
      <c r="P497" s="1571"/>
      <c r="Q497" s="1571"/>
      <c r="R497" s="1571"/>
      <c r="S497" s="1571"/>
      <c r="T497" s="1571"/>
      <c r="U497" s="1571"/>
      <c r="V497" s="1571"/>
      <c r="W497" s="1571"/>
      <c r="X497" s="1571"/>
      <c r="Y497" s="1571"/>
      <c r="Z497" s="1571"/>
      <c r="AA497" s="1571"/>
      <c r="AB497" s="1571"/>
      <c r="AC497" s="1571"/>
      <c r="AD497" s="1571"/>
      <c r="AE497" s="1571"/>
      <c r="AF497" s="1571"/>
    </row>
    <row r="498" spans="1:35" ht="20.25" customHeight="1">
      <c r="AG498" s="3100" t="s">
        <v>2282</v>
      </c>
    </row>
    <row r="499" spans="1:35" ht="30" customHeight="1">
      <c r="S499" s="1572" t="s">
        <v>1211</v>
      </c>
      <c r="T499" s="1573"/>
      <c r="U499" s="1573"/>
      <c r="V499" s="1574"/>
      <c r="W499" s="3229"/>
      <c r="X499" s="3228"/>
      <c r="Y499" s="3228"/>
      <c r="Z499" s="3228"/>
      <c r="AA499" s="3228"/>
      <c r="AB499" s="3228"/>
      <c r="AC499" s="3228"/>
      <c r="AD499" s="3228"/>
      <c r="AE499" s="3228"/>
      <c r="AF499" s="3227"/>
      <c r="AG499" s="3056" t="str">
        <f>"kaigo_num='" &amp;W499&amp;X499&amp;Y499&amp;Z499&amp;AA499&amp;AB499&amp;AC499&amp;AD499&amp;AE499&amp;AF499&amp; "'"</f>
        <v>kaigo_num=''</v>
      </c>
    </row>
    <row r="500" spans="1:35" ht="20.25" customHeight="1">
      <c r="AG500" s="3056"/>
    </row>
    <row r="501" spans="1:35" ht="17.25" customHeight="1">
      <c r="A501" s="1572" t="s">
        <v>2281</v>
      </c>
      <c r="B501" s="1573"/>
      <c r="C501" s="1574"/>
      <c r="D501" s="1572" t="s">
        <v>1</v>
      </c>
      <c r="E501" s="1574"/>
      <c r="F501" s="1572" t="s">
        <v>1213</v>
      </c>
      <c r="G501" s="1574"/>
      <c r="H501" s="1572" t="s">
        <v>1214</v>
      </c>
      <c r="I501" s="1573"/>
      <c r="J501" s="1573"/>
      <c r="K501" s="1573"/>
      <c r="L501" s="1573"/>
      <c r="M501" s="1573"/>
      <c r="N501" s="1573"/>
      <c r="O501" s="1573"/>
      <c r="P501" s="1573"/>
      <c r="Q501" s="1573"/>
      <c r="R501" s="1573"/>
      <c r="S501" s="1573"/>
      <c r="T501" s="1573"/>
      <c r="U501" s="1573"/>
      <c r="V501" s="1573"/>
      <c r="W501" s="1573"/>
      <c r="X501" s="1573"/>
      <c r="Y501" s="1573"/>
      <c r="Z501" s="1573"/>
      <c r="AA501" s="1573"/>
      <c r="AB501" s="1573"/>
      <c r="AC501" s="1573"/>
      <c r="AD501" s="1573"/>
      <c r="AE501" s="1573"/>
      <c r="AF501" s="1574"/>
      <c r="AG501" s="3056"/>
    </row>
    <row r="502" spans="1:35" ht="18.75" customHeight="1">
      <c r="A502" s="1565" t="s">
        <v>1216</v>
      </c>
      <c r="B502" s="1566"/>
      <c r="C502" s="1567"/>
      <c r="D502" s="1404"/>
      <c r="E502" s="1336"/>
      <c r="F502" s="1335"/>
      <c r="G502" s="1351"/>
      <c r="H502" s="1545" t="s">
        <v>1217</v>
      </c>
      <c r="I502" s="3119" t="s">
        <v>121</v>
      </c>
      <c r="J502" s="1270" t="s">
        <v>1218</v>
      </c>
      <c r="K502" s="1271"/>
      <c r="L502" s="1271"/>
      <c r="M502" s="3138" t="s">
        <v>121</v>
      </c>
      <c r="N502" s="1270" t="s">
        <v>1219</v>
      </c>
      <c r="O502" s="1271"/>
      <c r="P502" s="1271"/>
      <c r="Q502" s="3138" t="s">
        <v>121</v>
      </c>
      <c r="R502" s="1270" t="s">
        <v>1220</v>
      </c>
      <c r="S502" s="1271"/>
      <c r="T502" s="1271"/>
      <c r="U502" s="3138" t="s">
        <v>121</v>
      </c>
      <c r="V502" s="1270" t="s">
        <v>1221</v>
      </c>
      <c r="W502" s="1271"/>
      <c r="X502" s="1271"/>
      <c r="Y502" s="1270"/>
      <c r="Z502" s="1271"/>
      <c r="AA502" s="1271"/>
      <c r="AB502" s="1271"/>
      <c r="AC502" s="1271"/>
      <c r="AD502" s="1271"/>
      <c r="AE502" s="1271"/>
      <c r="AF502" s="1272"/>
      <c r="AG502" s="3056" t="str">
        <f>"tiikikbn_code:"&amp; IF(I502="■",1,IF(M502="■",6,IF(Q502="■",7,IF(U502="■",2,IF(I503="■",3,IF(M503="■",4,IF(Q503="■",9,IF(U503="■",5,0))))))))</f>
        <v>tiikikbn_code:0</v>
      </c>
    </row>
    <row r="503" spans="1:35" ht="18.75" customHeight="1">
      <c r="A503" s="3127"/>
      <c r="B503" s="3126"/>
      <c r="C503" s="3125"/>
      <c r="D503" s="3124"/>
      <c r="E503" s="1349"/>
      <c r="F503" s="1348"/>
      <c r="G503" s="1361"/>
      <c r="H503" s="3123"/>
      <c r="I503" s="3078" t="s">
        <v>121</v>
      </c>
      <c r="J503" s="3075" t="s">
        <v>1222</v>
      </c>
      <c r="K503" s="3121"/>
      <c r="L503" s="3121"/>
      <c r="M503" s="3077" t="s">
        <v>121</v>
      </c>
      <c r="N503" s="3075" t="s">
        <v>1223</v>
      </c>
      <c r="O503" s="3121"/>
      <c r="P503" s="3121"/>
      <c r="Q503" s="3077" t="s">
        <v>121</v>
      </c>
      <c r="R503" s="3075" t="s">
        <v>1224</v>
      </c>
      <c r="S503" s="3121"/>
      <c r="T503" s="3121"/>
      <c r="U503" s="3077" t="s">
        <v>121</v>
      </c>
      <c r="V503" s="3075" t="s">
        <v>1225</v>
      </c>
      <c r="W503" s="3121"/>
      <c r="X503" s="3121"/>
      <c r="Y503" s="1347"/>
      <c r="Z503" s="1360"/>
      <c r="AA503" s="1360"/>
      <c r="AB503" s="1360"/>
      <c r="AC503" s="1360"/>
      <c r="AD503" s="1360"/>
      <c r="AE503" s="1360"/>
      <c r="AF503" s="3242"/>
      <c r="AG503" s="3056"/>
    </row>
    <row r="504" spans="1:35" s="3056" customFormat="1" ht="19.5" hidden="1" customHeight="1">
      <c r="A504" s="1276"/>
      <c r="B504" s="1405"/>
      <c r="C504" s="1333"/>
      <c r="D504" s="1335"/>
      <c r="E504" s="1272"/>
      <c r="F504" s="1279"/>
      <c r="G504" s="1351"/>
      <c r="H504" s="3238" t="s">
        <v>1246</v>
      </c>
      <c r="I504" s="3213" t="s">
        <v>121</v>
      </c>
      <c r="J504" s="3210" t="s">
        <v>1242</v>
      </c>
      <c r="K504" s="3209"/>
      <c r="L504" s="3212"/>
      <c r="M504" s="3211" t="s">
        <v>121</v>
      </c>
      <c r="N504" s="3210" t="s">
        <v>1245</v>
      </c>
      <c r="O504" s="3237"/>
      <c r="P504" s="3235"/>
      <c r="Q504" s="3236"/>
      <c r="R504" s="3236"/>
      <c r="S504" s="3236"/>
      <c r="T504" s="3236"/>
      <c r="U504" s="3236"/>
      <c r="V504" s="3236"/>
      <c r="W504" s="3236"/>
      <c r="X504" s="3236"/>
      <c r="Y504" s="3236"/>
      <c r="Z504" s="3235"/>
      <c r="AA504" s="3235"/>
      <c r="AB504" s="3234"/>
      <c r="AC504" s="3233"/>
      <c r="AD504" s="3233"/>
      <c r="AE504" s="3233"/>
      <c r="AF504" s="3232"/>
      <c r="AG504" s="3056" t="str">
        <f>"ser_code = '" &amp; IF(A506="■","63S","") &amp; "'"</f>
        <v>ser_code = ''</v>
      </c>
      <c r="AI504" s="3056" t="str">
        <f>"63:field232:" &amp; IF(I504="■",1,IF(M504="■",2,0))</f>
        <v>63:field232:0</v>
      </c>
    </row>
    <row r="505" spans="1:35" ht="18.75" hidden="1" customHeight="1">
      <c r="A505" s="735"/>
      <c r="B505" s="1407"/>
      <c r="C505" s="1303"/>
      <c r="D505" s="1304"/>
      <c r="E505" s="1275"/>
      <c r="F505" s="3195"/>
      <c r="G505" s="1305"/>
      <c r="H505" s="3241" t="s">
        <v>1341</v>
      </c>
      <c r="I505" s="3063" t="s">
        <v>121</v>
      </c>
      <c r="J505" s="1296" t="s">
        <v>1230</v>
      </c>
      <c r="K505" s="1309"/>
      <c r="L505" s="3062" t="s">
        <v>121</v>
      </c>
      <c r="M505" s="1296" t="s">
        <v>1248</v>
      </c>
      <c r="N505" s="1309"/>
      <c r="O505" s="1330"/>
      <c r="P505" s="1330"/>
      <c r="Q505" s="1330"/>
      <c r="R505" s="1330"/>
      <c r="S505" s="1330"/>
      <c r="T505" s="1330"/>
      <c r="U505" s="1330"/>
      <c r="V505" s="1330"/>
      <c r="W505" s="1330"/>
      <c r="X505" s="1330"/>
      <c r="Y505" s="1330"/>
      <c r="Z505" s="1330"/>
      <c r="AA505" s="1330"/>
      <c r="AB505" s="1330"/>
      <c r="AC505" s="1330"/>
      <c r="AD505" s="1330"/>
      <c r="AE505" s="1330"/>
      <c r="AF505" s="1356"/>
      <c r="AG505" s="3056" t="str">
        <f>"63:sisetukbn_code:" &amp; IF(D506="■",1,IF(D507="■",2,0))</f>
        <v>63:sisetukbn_code:0</v>
      </c>
      <c r="AI505" s="3056" t="str">
        <f>"63:tokutiiki_code:" &amp; IF(I505="■",1,IF(L505="■",2,0))</f>
        <v>63:tokutiiki_code:0</v>
      </c>
    </row>
    <row r="506" spans="1:35" ht="18.75" hidden="1" customHeight="1">
      <c r="A506" s="3240" t="s">
        <v>121</v>
      </c>
      <c r="B506" s="1407">
        <v>63</v>
      </c>
      <c r="C506" s="1303" t="s">
        <v>2483</v>
      </c>
      <c r="D506" s="3240" t="s">
        <v>121</v>
      </c>
      <c r="E506" s="1275" t="s">
        <v>2268</v>
      </c>
      <c r="F506" s="3195"/>
      <c r="G506" s="1305"/>
      <c r="H506" s="3102" t="s">
        <v>1342</v>
      </c>
      <c r="I506" s="3086" t="s">
        <v>121</v>
      </c>
      <c r="J506" s="1528" t="s">
        <v>1343</v>
      </c>
      <c r="K506" s="1528"/>
      <c r="L506" s="1528"/>
      <c r="M506" s="3086" t="s">
        <v>121</v>
      </c>
      <c r="N506" s="1528" t="s">
        <v>1344</v>
      </c>
      <c r="O506" s="1528"/>
      <c r="P506" s="1528"/>
      <c r="Q506" s="1314"/>
      <c r="R506" s="1314"/>
      <c r="S506" s="1314"/>
      <c r="T506" s="1314"/>
      <c r="U506" s="1314"/>
      <c r="V506" s="1314"/>
      <c r="W506" s="1314"/>
      <c r="X506" s="1314"/>
      <c r="Y506" s="1314"/>
      <c r="Z506" s="1314"/>
      <c r="AA506" s="1314"/>
      <c r="AB506" s="1314"/>
      <c r="AC506" s="1314"/>
      <c r="AD506" s="1314"/>
      <c r="AE506" s="1314"/>
      <c r="AF506" s="1315"/>
      <c r="AG506" s="3056"/>
      <c r="AI506" s="3056" t="str">
        <f>"63:chuusankanti_tiiki_code:" &amp; IF(I506="■",1,IF(M506="■",2,0))</f>
        <v>63:chuusankanti_tiiki_code:0</v>
      </c>
    </row>
    <row r="507" spans="1:35" ht="18.75" hidden="1" customHeight="1">
      <c r="A507" s="735"/>
      <c r="B507" s="1407"/>
      <c r="C507" s="1303"/>
      <c r="D507" s="3240" t="s">
        <v>121</v>
      </c>
      <c r="E507" s="1275" t="s">
        <v>2267</v>
      </c>
      <c r="F507" s="3195"/>
      <c r="G507" s="1305"/>
      <c r="H507" s="3103"/>
      <c r="I507" s="3070"/>
      <c r="J507" s="1529"/>
      <c r="K507" s="1529"/>
      <c r="L507" s="1529"/>
      <c r="M507" s="3070"/>
      <c r="N507" s="1529"/>
      <c r="O507" s="1529"/>
      <c r="P507" s="1529"/>
      <c r="Q507" s="1330"/>
      <c r="R507" s="1330"/>
      <c r="S507" s="1330"/>
      <c r="T507" s="1330"/>
      <c r="U507" s="1330"/>
      <c r="V507" s="1330"/>
      <c r="W507" s="1330"/>
      <c r="X507" s="1330"/>
      <c r="Y507" s="1330"/>
      <c r="Z507" s="1330"/>
      <c r="AA507" s="1330"/>
      <c r="AB507" s="1330"/>
      <c r="AC507" s="1330"/>
      <c r="AD507" s="1330"/>
      <c r="AE507" s="1330"/>
      <c r="AF507" s="1356"/>
      <c r="AI507" s="3056"/>
    </row>
    <row r="508" spans="1:35" ht="18.75" hidden="1" customHeight="1">
      <c r="A508" s="735"/>
      <c r="B508" s="1407"/>
      <c r="C508" s="1303"/>
      <c r="D508" s="1304"/>
      <c r="E508" s="1275"/>
      <c r="F508" s="3195"/>
      <c r="G508" s="1305"/>
      <c r="H508" s="3102" t="s">
        <v>1345</v>
      </c>
      <c r="I508" s="3179" t="s">
        <v>121</v>
      </c>
      <c r="J508" s="1528" t="s">
        <v>1343</v>
      </c>
      <c r="K508" s="1528"/>
      <c r="L508" s="1528"/>
      <c r="M508" s="3086" t="s">
        <v>121</v>
      </c>
      <c r="N508" s="1528" t="s">
        <v>1344</v>
      </c>
      <c r="O508" s="1528"/>
      <c r="P508" s="1528"/>
      <c r="Q508" s="1314"/>
      <c r="R508" s="1314"/>
      <c r="S508" s="1314"/>
      <c r="T508" s="1314"/>
      <c r="U508" s="1314"/>
      <c r="V508" s="1314"/>
      <c r="W508" s="1314"/>
      <c r="X508" s="1314"/>
      <c r="Y508" s="1314"/>
      <c r="Z508" s="1314"/>
      <c r="AA508" s="1314"/>
      <c r="AB508" s="1314"/>
      <c r="AC508" s="1314"/>
      <c r="AD508" s="1314"/>
      <c r="AE508" s="1314"/>
      <c r="AF508" s="1315"/>
      <c r="AI508" s="3056" t="str">
        <f>"63:chuusankanti_kibo_code:" &amp; IF(I508="■",1,IF(M508="■",2,0))</f>
        <v>63:chuusankanti_kibo_code:0</v>
      </c>
    </row>
    <row r="509" spans="1:35" ht="18.75" hidden="1" customHeight="1">
      <c r="A509" s="736"/>
      <c r="B509" s="1316"/>
      <c r="C509" s="1346"/>
      <c r="D509" s="1348"/>
      <c r="E509" s="1317"/>
      <c r="F509" s="3239"/>
      <c r="G509" s="1361"/>
      <c r="H509" s="3230"/>
      <c r="I509" s="3174"/>
      <c r="J509" s="3159"/>
      <c r="K509" s="3159"/>
      <c r="L509" s="3159"/>
      <c r="M509" s="3173"/>
      <c r="N509" s="3159"/>
      <c r="O509" s="3159"/>
      <c r="P509" s="3159"/>
      <c r="Q509" s="3109"/>
      <c r="R509" s="3109"/>
      <c r="S509" s="3109"/>
      <c r="T509" s="3109"/>
      <c r="U509" s="3109"/>
      <c r="V509" s="3109"/>
      <c r="W509" s="3109"/>
      <c r="X509" s="3109"/>
      <c r="Y509" s="3109"/>
      <c r="Z509" s="3109"/>
      <c r="AA509" s="3109"/>
      <c r="AB509" s="3109"/>
      <c r="AC509" s="3109"/>
      <c r="AD509" s="3109"/>
      <c r="AE509" s="3109"/>
      <c r="AF509" s="3108"/>
    </row>
    <row r="510" spans="1:35" s="3056" customFormat="1" ht="19.5" customHeight="1">
      <c r="A510" s="1276"/>
      <c r="B510" s="1405"/>
      <c r="C510" s="1333"/>
      <c r="D510" s="1335"/>
      <c r="E510" s="1272"/>
      <c r="F510" s="1279"/>
      <c r="G510" s="1351"/>
      <c r="H510" s="3238" t="s">
        <v>1246</v>
      </c>
      <c r="I510" s="3213" t="s">
        <v>121</v>
      </c>
      <c r="J510" s="3210" t="s">
        <v>1242</v>
      </c>
      <c r="K510" s="3209"/>
      <c r="L510" s="3212"/>
      <c r="M510" s="3211" t="s">
        <v>121</v>
      </c>
      <c r="N510" s="3210" t="s">
        <v>1245</v>
      </c>
      <c r="O510" s="3237"/>
      <c r="P510" s="3235"/>
      <c r="Q510" s="3236"/>
      <c r="R510" s="3236"/>
      <c r="S510" s="3236"/>
      <c r="T510" s="3236"/>
      <c r="U510" s="3236"/>
      <c r="V510" s="3236"/>
      <c r="W510" s="3236"/>
      <c r="X510" s="3236"/>
      <c r="Y510" s="3236"/>
      <c r="Z510" s="3235"/>
      <c r="AA510" s="3235"/>
      <c r="AB510" s="3234"/>
      <c r="AC510" s="3233"/>
      <c r="AD510" s="3233"/>
      <c r="AE510" s="3233"/>
      <c r="AF510" s="3232"/>
      <c r="AG510" s="3056" t="str">
        <f>"ser_code = '" &amp; IF(A512="■","64S","") &amp; "'"</f>
        <v>ser_code = ''</v>
      </c>
      <c r="AI510" s="3056" t="str">
        <f>"64:field232:" &amp; IF(I510="■",1,IF(M510="■",2,0))</f>
        <v>64:field232:0</v>
      </c>
    </row>
    <row r="511" spans="1:35" ht="18.75" customHeight="1">
      <c r="A511" s="735"/>
      <c r="B511" s="1407"/>
      <c r="C511" s="1353"/>
      <c r="D511" s="1289"/>
      <c r="E511" s="1275"/>
      <c r="F511" s="1289"/>
      <c r="G511" s="1305"/>
      <c r="H511" s="3231" t="s">
        <v>1341</v>
      </c>
      <c r="I511" s="3063" t="s">
        <v>121</v>
      </c>
      <c r="J511" s="1296" t="s">
        <v>1230</v>
      </c>
      <c r="K511" s="1309"/>
      <c r="L511" s="3062" t="s">
        <v>121</v>
      </c>
      <c r="M511" s="1296" t="s">
        <v>1248</v>
      </c>
      <c r="N511" s="1309"/>
      <c r="O511" s="1330"/>
      <c r="P511" s="1330"/>
      <c r="Q511" s="1330"/>
      <c r="R511" s="1330"/>
      <c r="S511" s="1330"/>
      <c r="T511" s="1330"/>
      <c r="U511" s="1330"/>
      <c r="V511" s="1330"/>
      <c r="W511" s="1330"/>
      <c r="X511" s="1330"/>
      <c r="Y511" s="1330"/>
      <c r="Z511" s="1330"/>
      <c r="AA511" s="1330"/>
      <c r="AB511" s="1330"/>
      <c r="AC511" s="1330"/>
      <c r="AD511" s="1330"/>
      <c r="AE511" s="1330"/>
      <c r="AF511" s="1356"/>
      <c r="AG511" s="3056" t="str">
        <f>"64:sisetukbn_code:" &amp; IF(D512="■",1,IF(D513="■",2,IF(D514="■",3,0)))</f>
        <v>64:sisetukbn_code:0</v>
      </c>
      <c r="AI511" s="3056" t="str">
        <f>"64:tokutiiki_code:" &amp; IF(I511="■",1,IF(L511="■",2,0))</f>
        <v>64:tokutiiki_code:0</v>
      </c>
    </row>
    <row r="512" spans="1:35" ht="18.75" customHeight="1">
      <c r="A512" s="3069" t="s">
        <v>121</v>
      </c>
      <c r="B512" s="1407">
        <v>64</v>
      </c>
      <c r="C512" s="1353" t="s">
        <v>1350</v>
      </c>
      <c r="D512" s="3069" t="s">
        <v>121</v>
      </c>
      <c r="E512" s="1275" t="s">
        <v>1314</v>
      </c>
      <c r="F512" s="1289"/>
      <c r="G512" s="1305"/>
      <c r="H512" s="3102" t="s">
        <v>1342</v>
      </c>
      <c r="I512" s="3086" t="s">
        <v>121</v>
      </c>
      <c r="J512" s="1528" t="s">
        <v>1343</v>
      </c>
      <c r="K512" s="1528"/>
      <c r="L512" s="1528"/>
      <c r="M512" s="3086" t="s">
        <v>121</v>
      </c>
      <c r="N512" s="1528" t="s">
        <v>1344</v>
      </c>
      <c r="O512" s="1528"/>
      <c r="P512" s="1528"/>
      <c r="Q512" s="1314"/>
      <c r="R512" s="1314"/>
      <c r="S512" s="1314"/>
      <c r="T512" s="1314"/>
      <c r="U512" s="1314"/>
      <c r="V512" s="1314"/>
      <c r="W512" s="1314"/>
      <c r="X512" s="1314"/>
      <c r="Y512" s="1314"/>
      <c r="Z512" s="1314"/>
      <c r="AA512" s="1314"/>
      <c r="AB512" s="1314"/>
      <c r="AC512" s="1314"/>
      <c r="AD512" s="1314"/>
      <c r="AE512" s="1314"/>
      <c r="AF512" s="1315"/>
      <c r="AG512" s="3056"/>
      <c r="AI512" s="3056" t="str">
        <f>"64:chuusankanti_tiiki_code:" &amp; IF(I512="■",1,IF(M512="■",2,0))</f>
        <v>64:chuusankanti_tiiki_code:0</v>
      </c>
    </row>
    <row r="513" spans="1:35" ht="18.75" customHeight="1">
      <c r="A513" s="735"/>
      <c r="B513" s="1407"/>
      <c r="C513" s="1353" t="s">
        <v>1316</v>
      </c>
      <c r="D513" s="3069" t="s">
        <v>121</v>
      </c>
      <c r="E513" s="1275" t="s">
        <v>1317</v>
      </c>
      <c r="F513" s="1289"/>
      <c r="G513" s="1305"/>
      <c r="H513" s="3103"/>
      <c r="I513" s="3070"/>
      <c r="J513" s="1529"/>
      <c r="K513" s="1529"/>
      <c r="L513" s="1529"/>
      <c r="M513" s="3070"/>
      <c r="N513" s="1529"/>
      <c r="O513" s="1529"/>
      <c r="P513" s="1529"/>
      <c r="Q513" s="1330"/>
      <c r="R513" s="1330"/>
      <c r="S513" s="1330"/>
      <c r="T513" s="1330"/>
      <c r="U513" s="1330"/>
      <c r="V513" s="1330"/>
      <c r="W513" s="1330"/>
      <c r="X513" s="1330"/>
      <c r="Y513" s="1330"/>
      <c r="Z513" s="1330"/>
      <c r="AA513" s="1330"/>
      <c r="AB513" s="1330"/>
      <c r="AC513" s="1330"/>
      <c r="AD513" s="1330"/>
      <c r="AE513" s="1330"/>
      <c r="AF513" s="1356"/>
      <c r="AI513" s="3056"/>
    </row>
    <row r="514" spans="1:35" ht="18.75" customHeight="1">
      <c r="A514" s="735"/>
      <c r="B514" s="1407"/>
      <c r="C514" s="1353"/>
      <c r="D514" s="3069" t="s">
        <v>121</v>
      </c>
      <c r="E514" s="1275" t="s">
        <v>1319</v>
      </c>
      <c r="F514" s="1289"/>
      <c r="G514" s="1305"/>
      <c r="H514" s="3102" t="s">
        <v>1345</v>
      </c>
      <c r="I514" s="3086" t="s">
        <v>121</v>
      </c>
      <c r="J514" s="1528" t="s">
        <v>1343</v>
      </c>
      <c r="K514" s="1528"/>
      <c r="L514" s="1528"/>
      <c r="M514" s="3086" t="s">
        <v>121</v>
      </c>
      <c r="N514" s="1528" t="s">
        <v>1344</v>
      </c>
      <c r="O514" s="1528"/>
      <c r="P514" s="1528"/>
      <c r="Q514" s="1314"/>
      <c r="R514" s="1314"/>
      <c r="S514" s="1314"/>
      <c r="T514" s="1314"/>
      <c r="U514" s="1314"/>
      <c r="V514" s="1314"/>
      <c r="W514" s="1314"/>
      <c r="X514" s="1314"/>
      <c r="Y514" s="1314"/>
      <c r="Z514" s="1314"/>
      <c r="AA514" s="1314"/>
      <c r="AB514" s="1314"/>
      <c r="AC514" s="1314"/>
      <c r="AD514" s="1314"/>
      <c r="AE514" s="1314"/>
      <c r="AF514" s="1315"/>
      <c r="AI514" s="3056" t="str">
        <f>"64:chuusankanti_kibo_code:" &amp; IF(I514="■",1,IF(M514="■",2,0))</f>
        <v>64:chuusankanti_kibo_code:0</v>
      </c>
    </row>
    <row r="515" spans="1:35" ht="18.75" customHeight="1">
      <c r="A515" s="736"/>
      <c r="B515" s="1316"/>
      <c r="C515" s="1359"/>
      <c r="D515" s="1318"/>
      <c r="E515" s="1317"/>
      <c r="F515" s="1318"/>
      <c r="G515" s="1361"/>
      <c r="H515" s="3230"/>
      <c r="I515" s="3173"/>
      <c r="J515" s="3159"/>
      <c r="K515" s="3159"/>
      <c r="L515" s="3159"/>
      <c r="M515" s="3173"/>
      <c r="N515" s="3159"/>
      <c r="O515" s="3159"/>
      <c r="P515" s="3159"/>
      <c r="Q515" s="3109"/>
      <c r="R515" s="3109"/>
      <c r="S515" s="3109"/>
      <c r="T515" s="3109"/>
      <c r="U515" s="3109"/>
      <c r="V515" s="3109"/>
      <c r="W515" s="3109"/>
      <c r="X515" s="3109"/>
      <c r="Y515" s="3109"/>
      <c r="Z515" s="3109"/>
      <c r="AA515" s="3109"/>
      <c r="AB515" s="3109"/>
      <c r="AC515" s="3109"/>
      <c r="AD515" s="3109"/>
      <c r="AE515" s="3109"/>
      <c r="AF515" s="3108"/>
    </row>
    <row r="516" spans="1:35" ht="8.25" customHeight="1">
      <c r="A516" s="3057"/>
      <c r="B516" s="3057"/>
      <c r="G516" s="1273"/>
      <c r="H516" s="1273"/>
      <c r="I516" s="1273"/>
      <c r="J516" s="1273"/>
      <c r="K516" s="1273"/>
      <c r="L516" s="1273"/>
      <c r="M516" s="1273"/>
      <c r="N516" s="1273"/>
      <c r="O516" s="1273"/>
      <c r="P516" s="1273"/>
      <c r="Q516" s="1273"/>
      <c r="R516" s="1273"/>
      <c r="S516" s="1273"/>
      <c r="T516" s="1273"/>
      <c r="U516" s="1273"/>
      <c r="V516" s="1273"/>
      <c r="W516" s="1273"/>
      <c r="X516" s="1273"/>
      <c r="Y516" s="1273"/>
      <c r="Z516" s="1273"/>
      <c r="AA516" s="1273"/>
      <c r="AB516" s="1273"/>
    </row>
    <row r="517" spans="1:35" ht="20.25" customHeight="1">
      <c r="A517" s="3058"/>
      <c r="B517" s="3058"/>
      <c r="C517" s="2" t="s">
        <v>2244</v>
      </c>
      <c r="D517" s="1273"/>
      <c r="E517" s="3057"/>
      <c r="F517" s="3057"/>
      <c r="G517" s="3057"/>
      <c r="H517" s="3057"/>
      <c r="I517" s="3057"/>
      <c r="J517" s="3057"/>
      <c r="K517" s="3057"/>
      <c r="L517" s="3057"/>
      <c r="M517" s="3057"/>
      <c r="N517" s="3057"/>
      <c r="O517" s="3057"/>
      <c r="P517" s="3057"/>
      <c r="Q517" s="3057"/>
      <c r="R517" s="3057"/>
      <c r="S517" s="3057"/>
      <c r="T517" s="3057"/>
      <c r="U517" s="3057"/>
      <c r="V517" s="3057"/>
    </row>
  </sheetData>
  <sheetProtection algorithmName="SHA-512" hashValue="cVN6HDtU6MggmiRAEl52lDrrpMGA6B5SmHDod62vTX0HWMY88xOnPm7TnJNrp2Js9lD+VWZm2eygpTTeY3a2Gg==" saltValue="hMX0phQ0iaeiDciGxr0rvg==" spinCount="100000" sheet="1" objects="1" scenarios="1"/>
  <mergeCells count="290">
    <mergeCell ref="H314:H315"/>
    <mergeCell ref="AC314:AF336"/>
    <mergeCell ref="H316:H317"/>
    <mergeCell ref="H328:H329"/>
    <mergeCell ref="H330:H331"/>
    <mergeCell ref="H334:H335"/>
    <mergeCell ref="I334:I335"/>
    <mergeCell ref="J334:K335"/>
    <mergeCell ref="AC106:AF124"/>
    <mergeCell ref="H107:H108"/>
    <mergeCell ref="H122:H123"/>
    <mergeCell ref="I122:I123"/>
    <mergeCell ref="J122:K123"/>
    <mergeCell ref="L122:L123"/>
    <mergeCell ref="M122:N123"/>
    <mergeCell ref="H377:H378"/>
    <mergeCell ref="I377:I378"/>
    <mergeCell ref="J377:K378"/>
    <mergeCell ref="L377:L378"/>
    <mergeCell ref="M377:N378"/>
    <mergeCell ref="H337:H338"/>
    <mergeCell ref="L358:L359"/>
    <mergeCell ref="M358:N359"/>
    <mergeCell ref="H361:H362"/>
    <mergeCell ref="AC361:AF379"/>
    <mergeCell ref="AC337:AF360"/>
    <mergeCell ref="H339:H340"/>
    <mergeCell ref="H352:H353"/>
    <mergeCell ref="H354:H355"/>
    <mergeCell ref="H358:H359"/>
    <mergeCell ref="I358:I359"/>
    <mergeCell ref="J358:K359"/>
    <mergeCell ref="H363:H364"/>
    <mergeCell ref="AC189:AF206"/>
    <mergeCell ref="H190:H191"/>
    <mergeCell ref="H204:H205"/>
    <mergeCell ref="I204:I205"/>
    <mergeCell ref="J204:K205"/>
    <mergeCell ref="L204:L205"/>
    <mergeCell ref="M204:N205"/>
    <mergeCell ref="H380:H381"/>
    <mergeCell ref="AC380:AF399"/>
    <mergeCell ref="H382:H383"/>
    <mergeCell ref="H397:H398"/>
    <mergeCell ref="I397:I398"/>
    <mergeCell ref="J397:K398"/>
    <mergeCell ref="L397:L398"/>
    <mergeCell ref="M397:N398"/>
    <mergeCell ref="H512:H513"/>
    <mergeCell ref="I512:I513"/>
    <mergeCell ref="J512:L513"/>
    <mergeCell ref="M512:M513"/>
    <mergeCell ref="N512:P513"/>
    <mergeCell ref="H514:H515"/>
    <mergeCell ref="I514:I515"/>
    <mergeCell ref="J514:L515"/>
    <mergeCell ref="M514:M515"/>
    <mergeCell ref="N514:P515"/>
    <mergeCell ref="H506:H507"/>
    <mergeCell ref="I506:I507"/>
    <mergeCell ref="J506:L507"/>
    <mergeCell ref="M506:M507"/>
    <mergeCell ref="N506:P507"/>
    <mergeCell ref="H508:H509"/>
    <mergeCell ref="I508:I509"/>
    <mergeCell ref="J508:L509"/>
    <mergeCell ref="M508:M509"/>
    <mergeCell ref="N508:P509"/>
    <mergeCell ref="H494:H495"/>
    <mergeCell ref="I494:I495"/>
    <mergeCell ref="J494:L495"/>
    <mergeCell ref="M494:M495"/>
    <mergeCell ref="N494:P495"/>
    <mergeCell ref="A497:AF497"/>
    <mergeCell ref="S499:V499"/>
    <mergeCell ref="A501:C501"/>
    <mergeCell ref="D501:E501"/>
    <mergeCell ref="F501:G501"/>
    <mergeCell ref="H501:AF501"/>
    <mergeCell ref="A502:C503"/>
    <mergeCell ref="H502:H503"/>
    <mergeCell ref="AC482:AF487"/>
    <mergeCell ref="H484:H485"/>
    <mergeCell ref="I484:I485"/>
    <mergeCell ref="J484:L485"/>
    <mergeCell ref="M484:M485"/>
    <mergeCell ref="N484:P485"/>
    <mergeCell ref="H486:H487"/>
    <mergeCell ref="I486:I487"/>
    <mergeCell ref="J486:L487"/>
    <mergeCell ref="M486:M487"/>
    <mergeCell ref="N486:P487"/>
    <mergeCell ref="H488:H490"/>
    <mergeCell ref="I488:X490"/>
    <mergeCell ref="AC488:AF490"/>
    <mergeCell ref="AC491:AF495"/>
    <mergeCell ref="H492:H493"/>
    <mergeCell ref="I492:I493"/>
    <mergeCell ref="J492:L493"/>
    <mergeCell ref="M492:M493"/>
    <mergeCell ref="N492:P493"/>
    <mergeCell ref="H424:H425"/>
    <mergeCell ref="AC424:AF447"/>
    <mergeCell ref="H426:H427"/>
    <mergeCell ref="H439:H440"/>
    <mergeCell ref="H441:H442"/>
    <mergeCell ref="H445:H446"/>
    <mergeCell ref="I445:I446"/>
    <mergeCell ref="J445:K446"/>
    <mergeCell ref="L445:L446"/>
    <mergeCell ref="M445:N446"/>
    <mergeCell ref="H448:H449"/>
    <mergeCell ref="AC448:AF467"/>
    <mergeCell ref="H450:H451"/>
    <mergeCell ref="H465:H466"/>
    <mergeCell ref="I465:I466"/>
    <mergeCell ref="J465:K466"/>
    <mergeCell ref="L465:L466"/>
    <mergeCell ref="M465:N466"/>
    <mergeCell ref="H400:H401"/>
    <mergeCell ref="AC400:AF423"/>
    <mergeCell ref="H402:H403"/>
    <mergeCell ref="H415:H416"/>
    <mergeCell ref="H417:H418"/>
    <mergeCell ref="H421:H422"/>
    <mergeCell ref="I421:I422"/>
    <mergeCell ref="J421:K422"/>
    <mergeCell ref="L421:L422"/>
    <mergeCell ref="M421:N422"/>
    <mergeCell ref="L334:L335"/>
    <mergeCell ref="M334:N335"/>
    <mergeCell ref="AC294:AF313"/>
    <mergeCell ref="H305:H306"/>
    <mergeCell ref="H308:H309"/>
    <mergeCell ref="H311:H312"/>
    <mergeCell ref="I311:I312"/>
    <mergeCell ref="J311:K312"/>
    <mergeCell ref="L311:L312"/>
    <mergeCell ref="M311:N312"/>
    <mergeCell ref="H252:H253"/>
    <mergeCell ref="AC252:AF274"/>
    <mergeCell ref="H266:H267"/>
    <mergeCell ref="H269:H270"/>
    <mergeCell ref="H272:H273"/>
    <mergeCell ref="I272:I273"/>
    <mergeCell ref="J272:K273"/>
    <mergeCell ref="L272:L273"/>
    <mergeCell ref="M272:N273"/>
    <mergeCell ref="AC275:AF293"/>
    <mergeCell ref="H285:H286"/>
    <mergeCell ref="H288:H289"/>
    <mergeCell ref="H291:H292"/>
    <mergeCell ref="I291:I292"/>
    <mergeCell ref="J291:K292"/>
    <mergeCell ref="L291:L292"/>
    <mergeCell ref="M291:N292"/>
    <mergeCell ref="H229:H230"/>
    <mergeCell ref="AC229:AF251"/>
    <mergeCell ref="H243:H244"/>
    <mergeCell ref="H246:H247"/>
    <mergeCell ref="H249:H250"/>
    <mergeCell ref="I249:I250"/>
    <mergeCell ref="J249:K250"/>
    <mergeCell ref="L249:L250"/>
    <mergeCell ref="M249:N250"/>
    <mergeCell ref="H207:H208"/>
    <mergeCell ref="AC207:AF228"/>
    <mergeCell ref="H220:H221"/>
    <mergeCell ref="H223:H224"/>
    <mergeCell ref="H226:H227"/>
    <mergeCell ref="I226:I227"/>
    <mergeCell ref="J226:K227"/>
    <mergeCell ref="L226:L227"/>
    <mergeCell ref="M226:N227"/>
    <mergeCell ref="AC148:AF169"/>
    <mergeCell ref="H149:H150"/>
    <mergeCell ref="H167:H168"/>
    <mergeCell ref="I167:I168"/>
    <mergeCell ref="J167:K168"/>
    <mergeCell ref="L167:L168"/>
    <mergeCell ref="M167:N168"/>
    <mergeCell ref="AC125:AF147"/>
    <mergeCell ref="H126:H127"/>
    <mergeCell ref="H145:H146"/>
    <mergeCell ref="I145:I146"/>
    <mergeCell ref="J145:K146"/>
    <mergeCell ref="L145:L146"/>
    <mergeCell ref="M145:N146"/>
    <mergeCell ref="AC170:AF188"/>
    <mergeCell ref="H171:H172"/>
    <mergeCell ref="H186:H187"/>
    <mergeCell ref="I186:I187"/>
    <mergeCell ref="J186:K187"/>
    <mergeCell ref="L186:L187"/>
    <mergeCell ref="M186:N187"/>
    <mergeCell ref="P81:Q82"/>
    <mergeCell ref="R81:R82"/>
    <mergeCell ref="S81:T82"/>
    <mergeCell ref="H83:H84"/>
    <mergeCell ref="I83:I84"/>
    <mergeCell ref="J83:K84"/>
    <mergeCell ref="L83:L84"/>
    <mergeCell ref="M83:N84"/>
    <mergeCell ref="AC86:AF105"/>
    <mergeCell ref="H87:H88"/>
    <mergeCell ref="H103:H104"/>
    <mergeCell ref="I103:I104"/>
    <mergeCell ref="J103:K104"/>
    <mergeCell ref="L103:L104"/>
    <mergeCell ref="M103:N104"/>
    <mergeCell ref="O79:O80"/>
    <mergeCell ref="P79:Q80"/>
    <mergeCell ref="R79:R80"/>
    <mergeCell ref="S79:T80"/>
    <mergeCell ref="H81:H82"/>
    <mergeCell ref="I81:I82"/>
    <mergeCell ref="J81:K82"/>
    <mergeCell ref="L81:L82"/>
    <mergeCell ref="M81:N82"/>
    <mergeCell ref="O81:O82"/>
    <mergeCell ref="H67:H68"/>
    <mergeCell ref="J67:K68"/>
    <mergeCell ref="L67:L68"/>
    <mergeCell ref="M67:N68"/>
    <mergeCell ref="H79:H80"/>
    <mergeCell ref="I79:I80"/>
    <mergeCell ref="J79:K80"/>
    <mergeCell ref="L79:L80"/>
    <mergeCell ref="M79:N80"/>
    <mergeCell ref="AC33:AF41"/>
    <mergeCell ref="H36:H37"/>
    <mergeCell ref="I36:I37"/>
    <mergeCell ref="J36:L37"/>
    <mergeCell ref="M36:M37"/>
    <mergeCell ref="N36:P37"/>
    <mergeCell ref="N38:P39"/>
    <mergeCell ref="AC42:AF48"/>
    <mergeCell ref="H43:H44"/>
    <mergeCell ref="I43:I44"/>
    <mergeCell ref="J43:L44"/>
    <mergeCell ref="M43:M44"/>
    <mergeCell ref="N43:P44"/>
    <mergeCell ref="H45:H46"/>
    <mergeCell ref="I45:I46"/>
    <mergeCell ref="J45:L46"/>
    <mergeCell ref="M45:M46"/>
    <mergeCell ref="N45:P46"/>
    <mergeCell ref="J47:K47"/>
    <mergeCell ref="M47:N47"/>
    <mergeCell ref="H49:H50"/>
    <mergeCell ref="AC49:AF60"/>
    <mergeCell ref="J57:K57"/>
    <mergeCell ref="M57:N57"/>
    <mergeCell ref="H38:H39"/>
    <mergeCell ref="I38:I39"/>
    <mergeCell ref="J38:L39"/>
    <mergeCell ref="M38:M39"/>
    <mergeCell ref="N23:P24"/>
    <mergeCell ref="H25:H26"/>
    <mergeCell ref="I25:I26"/>
    <mergeCell ref="J25:L26"/>
    <mergeCell ref="M25:M26"/>
    <mergeCell ref="N25:P26"/>
    <mergeCell ref="H15:H16"/>
    <mergeCell ref="I15:I16"/>
    <mergeCell ref="J15:L16"/>
    <mergeCell ref="M15:M16"/>
    <mergeCell ref="N15:P16"/>
    <mergeCell ref="AC20:AF32"/>
    <mergeCell ref="H23:H24"/>
    <mergeCell ref="I23:I24"/>
    <mergeCell ref="J23:L24"/>
    <mergeCell ref="M23:M24"/>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3"/>
  <dataValidations count="1">
    <dataValidation type="list" allowBlank="1" showInputMessage="1" showErrorMessage="1" sqref="Q8:Q9 U8:U9 L12 M13:M16 L22 M23:M26 L35 A484 O41 U481 D26:D27 U49 O32 Q62 L67:L73 O70 M74 Y61:Y62 AC61:AC62 Q87:Q88 U87 L94:L96 O96 R102 M294:M299 Y86:Y87 Q126:Q127 U126 L133:L134 M135 O143:O144 R144 P136 O141 S142 Y125:Y126 M97 R274 Q171:Q172 U171 L178:L179 R185 Y170:Y171 F96:F97 U209 Q207 L215 A54 O219 P220 M223 Q223:Q224 O225 R225 Y207:Y208 U231 Q229 Q231 L238 O479:O481 O242 P243 M246 Q246:Q247 O248 R248 Y229:Y230 L240:L242 M262 F217 R18:R19 A96 L217:L219 M180 A512 U254 Q252 Q254 L261 L372:L379 O265 P266 M269 Q269:Q270 O271 R271 Y252:Y253 L263:L265 R447 L280 O284 P285 M288 Q288:Q289 O290 R290 O447 F240 L245 F242 F219 L300 O304 P305 M308 Q308:Q309 O310 R310 U360:U361 Q314 L323 L325:L327 O327 Q316 P328 M330 O332:O333 R333 Y314:Y315 L472:L481 F302 Q337 Q339 L347 L349:L351 O351 P352 M354 O356:O357 R357 Y337:Y338 A325 Q361 Q363 L370 F324:F326 R376 Y361:Y362 Q400 Q402 L410 L412:L414 O414 P415 M417 R420 O419:O420 Y400:Y401 D325 R379 R360 F287 Q424 Q426 L434 L436:L438 O438 P439 M441 R444 O443:O444 Y424:Y425 F411:F412 Q448 Q450 L458 R464 Y448:Y449 L356:L360 Y468:Y469 Q468 AC468:AC469 O293 U502:U503 M502:M504 L505 M512:M515 I502:I515 M506:M510 F215 O100:O102 N142 O183:O185 Q330:Q331 Q354:Q355 O374:O376 Q417:Q418 Q441:Q442 O462:O464 A26 M216 M239 L282:L284 L302:L304 O476 L483 F458:F459 A493 A262 M36:M39 M28 M459 D489 L137:L141 A73 Q502:Q503 M170:M177 L165:L169 M281 M301 M324 M348 M371 M411 M435 R79:R82 U147 O423 M484:M487 R423 M49:M52 M314:M322 D72:D75 D53:D55 AC10:AC11 U399:U400 L222 U423:U424 A217 F213 F223 U447:U448 L443:L447 A304 D304 L75:L85 D283 D370 O399 A370 A198 F221 F281 D411 O336 O360 R313 U336:U337 L310:L313 Y294:Y295 O472 L27 O27 A283 L47:L48 L29:L32 O17:O19 M43:M46 A45 Y42:Y43 L460:L467 O77:O82 M275:M279 M61:M66 Q209 Y10:Y11 A135 O222 A179 M33:M34 D240 O245 F238 O268 L268 D217 A240 L287 O287 D262:D263 F262:F263 L307 O307 F285 F283 U228:U229 F304 A411 R336 O313 M400:M409 M361:M369 D512:D514 Y20:Y21 M8:M11 M207:M214 M229:M237 R467 U206:U207 M252:M260 Y275:Y276 R293 L332:L336 A474 F306 M20:M21 U313:U314 A489 L117:L124 L491 M492:M495 Q49:Q50 A37 Y49:Y50 U467 O467 L40:L42 L17:L19 D493 A15 O59:O60 D36:D38 L53:L60 Y482:Y483 L511 R480:R481 U19 I491:I495 M424:M433 R59:R60 M448:M457 M468:M471 U60 M482 U85 O85 U105 R85 O105 R105 O147 R147 O188 L225:L228 L419:L423 R188 O228 L248:L251 R228 U251:U252 O251 R251 L271:L274 D348 U274 O274 L290:L293 Y33:Y34 U293 D473:D475 F473:F474 A506 D506:D507 Y488:Y489 Y491:Y492 A458 D458 D435 A435 M337:M346 D96 L98:L105 Q107:Q108 U107 L113:L115 O115 R121 Y106:Y107 M116 F115:F116 A115 O119:O121 M106:M112 F389 U124 O124 R124 M86:M93 D135:D136 L143:L147 Q149:Q150 U149 L155:L156 M157 O165:O166 R166 P158 O163 S164 Y148:Y149 N164 L159:L163 M125:M132 U169 A157 M148:M154 O169 R169 D157:D158 L199:L206 U188 L181:L188 Q190:Q191 U190 L196:L197 R203 Y189:Y190 M198 O201:O203 D179 D198 M189:M195 O206 R206 F347:F349 A348 M380:M389 U379:U380 O379 L392:L399 Q380 Q382 L390 R396 Y380:Y381 R399 O394:O396 M391 I8:I487 F370 D389 A389 D115" xr:uid="{6CB0622C-77B1-415D-B2BB-35D9F21571BD}">
      <formula1>"□,■"</formula1>
    </dataValidation>
  </dataValidations>
  <pageMargins left="0.7" right="0.7" top="0.75" bottom="0.75" header="0.3" footer="0.3"/>
  <pageSetup paperSize="9" scale="50" fitToHeight="0" orientation="landscape" r:id="rId1"/>
  <rowBreaks count="12" manualBreakCount="12">
    <brk id="48" min="4" max="31" man="1"/>
    <brk id="85" min="4" max="31" man="1"/>
    <brk id="124" max="16383" man="1"/>
    <brk id="169" min="4" max="31" man="1"/>
    <brk id="206" max="16383" man="1"/>
    <brk id="251" min="4" max="31" man="1"/>
    <brk id="293" min="4" max="31" man="1"/>
    <brk id="313" max="16383" man="1"/>
    <brk id="360" min="4" max="31" man="1"/>
    <brk id="399" max="16383" man="1"/>
    <brk id="447" min="4" max="31" man="1"/>
    <brk id="46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C9CBA-4154-42C3-9258-A089841D1A7D}">
  <sheetPr>
    <tabColor rgb="FFFFFF00"/>
    <pageSetUpPr fitToPage="1"/>
  </sheetPr>
  <dimension ref="B2:AN83"/>
  <sheetViews>
    <sheetView view="pageBreakPreview" zoomScale="70" zoomScaleNormal="100" zoomScaleSheetLayoutView="70" workbookViewId="0"/>
  </sheetViews>
  <sheetFormatPr defaultColWidth="9" defaultRowHeight="13.2"/>
  <cols>
    <col min="1" max="1" width="1.44140625" customWidth="1"/>
    <col min="2" max="3" width="4.21875" customWidth="1"/>
    <col min="4" max="4" width="0.6640625" customWidth="1"/>
    <col min="5" max="40" width="3.109375" customWidth="1"/>
    <col min="41" max="41" width="1.44140625" customWidth="1"/>
    <col min="257" max="257" width="1.44140625" customWidth="1"/>
    <col min="258" max="259" width="4.21875" customWidth="1"/>
    <col min="260" max="260" width="0.6640625" customWidth="1"/>
    <col min="261" max="296" width="3.109375" customWidth="1"/>
    <col min="297" max="297" width="1.44140625" customWidth="1"/>
    <col min="513" max="513" width="1.44140625" customWidth="1"/>
    <col min="514" max="515" width="4.21875" customWidth="1"/>
    <col min="516" max="516" width="0.6640625" customWidth="1"/>
    <col min="517" max="552" width="3.109375" customWidth="1"/>
    <col min="553" max="553" width="1.44140625" customWidth="1"/>
    <col min="769" max="769" width="1.44140625" customWidth="1"/>
    <col min="770" max="771" width="4.21875" customWidth="1"/>
    <col min="772" max="772" width="0.6640625" customWidth="1"/>
    <col min="773" max="808" width="3.109375" customWidth="1"/>
    <col min="809" max="809" width="1.44140625" customWidth="1"/>
    <col min="1025" max="1025" width="1.44140625" customWidth="1"/>
    <col min="1026" max="1027" width="4.21875" customWidth="1"/>
    <col min="1028" max="1028" width="0.6640625" customWidth="1"/>
    <col min="1029" max="1064" width="3.109375" customWidth="1"/>
    <col min="1065" max="1065" width="1.44140625" customWidth="1"/>
    <col min="1281" max="1281" width="1.44140625" customWidth="1"/>
    <col min="1282" max="1283" width="4.21875" customWidth="1"/>
    <col min="1284" max="1284" width="0.6640625" customWidth="1"/>
    <col min="1285" max="1320" width="3.109375" customWidth="1"/>
    <col min="1321" max="1321" width="1.44140625" customWidth="1"/>
    <col min="1537" max="1537" width="1.44140625" customWidth="1"/>
    <col min="1538" max="1539" width="4.21875" customWidth="1"/>
    <col min="1540" max="1540" width="0.6640625" customWidth="1"/>
    <col min="1541" max="1576" width="3.109375" customWidth="1"/>
    <col min="1577" max="1577" width="1.44140625" customWidth="1"/>
    <col min="1793" max="1793" width="1.44140625" customWidth="1"/>
    <col min="1794" max="1795" width="4.21875" customWidth="1"/>
    <col min="1796" max="1796" width="0.6640625" customWidth="1"/>
    <col min="1797" max="1832" width="3.109375" customWidth="1"/>
    <col min="1833" max="1833" width="1.44140625" customWidth="1"/>
    <col min="2049" max="2049" width="1.44140625" customWidth="1"/>
    <col min="2050" max="2051" width="4.21875" customWidth="1"/>
    <col min="2052" max="2052" width="0.6640625" customWidth="1"/>
    <col min="2053" max="2088" width="3.109375" customWidth="1"/>
    <col min="2089" max="2089" width="1.44140625" customWidth="1"/>
    <col min="2305" max="2305" width="1.44140625" customWidth="1"/>
    <col min="2306" max="2307" width="4.21875" customWidth="1"/>
    <col min="2308" max="2308" width="0.6640625" customWidth="1"/>
    <col min="2309" max="2344" width="3.109375" customWidth="1"/>
    <col min="2345" max="2345" width="1.44140625" customWidth="1"/>
    <col min="2561" max="2561" width="1.44140625" customWidth="1"/>
    <col min="2562" max="2563" width="4.21875" customWidth="1"/>
    <col min="2564" max="2564" width="0.6640625" customWidth="1"/>
    <col min="2565" max="2600" width="3.109375" customWidth="1"/>
    <col min="2601" max="2601" width="1.44140625" customWidth="1"/>
    <col min="2817" max="2817" width="1.44140625" customWidth="1"/>
    <col min="2818" max="2819" width="4.21875" customWidth="1"/>
    <col min="2820" max="2820" width="0.6640625" customWidth="1"/>
    <col min="2821" max="2856" width="3.109375" customWidth="1"/>
    <col min="2857" max="2857" width="1.44140625" customWidth="1"/>
    <col min="3073" max="3073" width="1.44140625" customWidth="1"/>
    <col min="3074" max="3075" width="4.21875" customWidth="1"/>
    <col min="3076" max="3076" width="0.6640625" customWidth="1"/>
    <col min="3077" max="3112" width="3.109375" customWidth="1"/>
    <col min="3113" max="3113" width="1.44140625" customWidth="1"/>
    <col min="3329" max="3329" width="1.44140625" customWidth="1"/>
    <col min="3330" max="3331" width="4.21875" customWidth="1"/>
    <col min="3332" max="3332" width="0.6640625" customWidth="1"/>
    <col min="3333" max="3368" width="3.109375" customWidth="1"/>
    <col min="3369" max="3369" width="1.44140625" customWidth="1"/>
    <col min="3585" max="3585" width="1.44140625" customWidth="1"/>
    <col min="3586" max="3587" width="4.21875" customWidth="1"/>
    <col min="3588" max="3588" width="0.6640625" customWidth="1"/>
    <col min="3589" max="3624" width="3.109375" customWidth="1"/>
    <col min="3625" max="3625" width="1.44140625" customWidth="1"/>
    <col min="3841" max="3841" width="1.44140625" customWidth="1"/>
    <col min="3842" max="3843" width="4.21875" customWidth="1"/>
    <col min="3844" max="3844" width="0.6640625" customWidth="1"/>
    <col min="3845" max="3880" width="3.109375" customWidth="1"/>
    <col min="3881" max="3881" width="1.44140625" customWidth="1"/>
    <col min="4097" max="4097" width="1.44140625" customWidth="1"/>
    <col min="4098" max="4099" width="4.21875" customWidth="1"/>
    <col min="4100" max="4100" width="0.6640625" customWidth="1"/>
    <col min="4101" max="4136" width="3.109375" customWidth="1"/>
    <col min="4137" max="4137" width="1.44140625" customWidth="1"/>
    <col min="4353" max="4353" width="1.44140625" customWidth="1"/>
    <col min="4354" max="4355" width="4.21875" customWidth="1"/>
    <col min="4356" max="4356" width="0.6640625" customWidth="1"/>
    <col min="4357" max="4392" width="3.109375" customWidth="1"/>
    <col min="4393" max="4393" width="1.44140625" customWidth="1"/>
    <col min="4609" max="4609" width="1.44140625" customWidth="1"/>
    <col min="4610" max="4611" width="4.21875" customWidth="1"/>
    <col min="4612" max="4612" width="0.6640625" customWidth="1"/>
    <col min="4613" max="4648" width="3.109375" customWidth="1"/>
    <col min="4649" max="4649" width="1.44140625" customWidth="1"/>
    <col min="4865" max="4865" width="1.44140625" customWidth="1"/>
    <col min="4866" max="4867" width="4.21875" customWidth="1"/>
    <col min="4868" max="4868" width="0.6640625" customWidth="1"/>
    <col min="4869" max="4904" width="3.109375" customWidth="1"/>
    <col min="4905" max="4905" width="1.44140625" customWidth="1"/>
    <col min="5121" max="5121" width="1.44140625" customWidth="1"/>
    <col min="5122" max="5123" width="4.21875" customWidth="1"/>
    <col min="5124" max="5124" width="0.6640625" customWidth="1"/>
    <col min="5125" max="5160" width="3.109375" customWidth="1"/>
    <col min="5161" max="5161" width="1.44140625" customWidth="1"/>
    <col min="5377" max="5377" width="1.44140625" customWidth="1"/>
    <col min="5378" max="5379" width="4.21875" customWidth="1"/>
    <col min="5380" max="5380" width="0.6640625" customWidth="1"/>
    <col min="5381" max="5416" width="3.109375" customWidth="1"/>
    <col min="5417" max="5417" width="1.44140625" customWidth="1"/>
    <col min="5633" max="5633" width="1.44140625" customWidth="1"/>
    <col min="5634" max="5635" width="4.21875" customWidth="1"/>
    <col min="5636" max="5636" width="0.6640625" customWidth="1"/>
    <col min="5637" max="5672" width="3.109375" customWidth="1"/>
    <col min="5673" max="5673" width="1.44140625" customWidth="1"/>
    <col min="5889" max="5889" width="1.44140625" customWidth="1"/>
    <col min="5890" max="5891" width="4.21875" customWidth="1"/>
    <col min="5892" max="5892" width="0.6640625" customWidth="1"/>
    <col min="5893" max="5928" width="3.109375" customWidth="1"/>
    <col min="5929" max="5929" width="1.44140625" customWidth="1"/>
    <col min="6145" max="6145" width="1.44140625" customWidth="1"/>
    <col min="6146" max="6147" width="4.21875" customWidth="1"/>
    <col min="6148" max="6148" width="0.6640625" customWidth="1"/>
    <col min="6149" max="6184" width="3.109375" customWidth="1"/>
    <col min="6185" max="6185" width="1.44140625" customWidth="1"/>
    <col min="6401" max="6401" width="1.44140625" customWidth="1"/>
    <col min="6402" max="6403" width="4.21875" customWidth="1"/>
    <col min="6404" max="6404" width="0.6640625" customWidth="1"/>
    <col min="6405" max="6440" width="3.109375" customWidth="1"/>
    <col min="6441" max="6441" width="1.44140625" customWidth="1"/>
    <col min="6657" max="6657" width="1.44140625" customWidth="1"/>
    <col min="6658" max="6659" width="4.21875" customWidth="1"/>
    <col min="6660" max="6660" width="0.6640625" customWidth="1"/>
    <col min="6661" max="6696" width="3.109375" customWidth="1"/>
    <col min="6697" max="6697" width="1.44140625" customWidth="1"/>
    <col min="6913" max="6913" width="1.44140625" customWidth="1"/>
    <col min="6914" max="6915" width="4.21875" customWidth="1"/>
    <col min="6916" max="6916" width="0.6640625" customWidth="1"/>
    <col min="6917" max="6952" width="3.109375" customWidth="1"/>
    <col min="6953" max="6953" width="1.44140625" customWidth="1"/>
    <col min="7169" max="7169" width="1.44140625" customWidth="1"/>
    <col min="7170" max="7171" width="4.21875" customWidth="1"/>
    <col min="7172" max="7172" width="0.6640625" customWidth="1"/>
    <col min="7173" max="7208" width="3.109375" customWidth="1"/>
    <col min="7209" max="7209" width="1.44140625" customWidth="1"/>
    <col min="7425" max="7425" width="1.44140625" customWidth="1"/>
    <col min="7426" max="7427" width="4.21875" customWidth="1"/>
    <col min="7428" max="7428" width="0.6640625" customWidth="1"/>
    <col min="7429" max="7464" width="3.109375" customWidth="1"/>
    <col min="7465" max="7465" width="1.44140625" customWidth="1"/>
    <col min="7681" max="7681" width="1.44140625" customWidth="1"/>
    <col min="7682" max="7683" width="4.21875" customWidth="1"/>
    <col min="7684" max="7684" width="0.6640625" customWidth="1"/>
    <col min="7685" max="7720" width="3.109375" customWidth="1"/>
    <col min="7721" max="7721" width="1.44140625" customWidth="1"/>
    <col min="7937" max="7937" width="1.44140625" customWidth="1"/>
    <col min="7938" max="7939" width="4.21875" customWidth="1"/>
    <col min="7940" max="7940" width="0.6640625" customWidth="1"/>
    <col min="7941" max="7976" width="3.109375" customWidth="1"/>
    <col min="7977" max="7977" width="1.44140625" customWidth="1"/>
    <col min="8193" max="8193" width="1.44140625" customWidth="1"/>
    <col min="8194" max="8195" width="4.21875" customWidth="1"/>
    <col min="8196" max="8196" width="0.6640625" customWidth="1"/>
    <col min="8197" max="8232" width="3.109375" customWidth="1"/>
    <col min="8233" max="8233" width="1.44140625" customWidth="1"/>
    <col min="8449" max="8449" width="1.44140625" customWidth="1"/>
    <col min="8450" max="8451" width="4.21875" customWidth="1"/>
    <col min="8452" max="8452" width="0.6640625" customWidth="1"/>
    <col min="8453" max="8488" width="3.109375" customWidth="1"/>
    <col min="8489" max="8489" width="1.44140625" customWidth="1"/>
    <col min="8705" max="8705" width="1.44140625" customWidth="1"/>
    <col min="8706" max="8707" width="4.21875" customWidth="1"/>
    <col min="8708" max="8708" width="0.6640625" customWidth="1"/>
    <col min="8709" max="8744" width="3.109375" customWidth="1"/>
    <col min="8745" max="8745" width="1.44140625" customWidth="1"/>
    <col min="8961" max="8961" width="1.44140625" customWidth="1"/>
    <col min="8962" max="8963" width="4.21875" customWidth="1"/>
    <col min="8964" max="8964" width="0.6640625" customWidth="1"/>
    <col min="8965" max="9000" width="3.109375" customWidth="1"/>
    <col min="9001" max="9001" width="1.44140625" customWidth="1"/>
    <col min="9217" max="9217" width="1.44140625" customWidth="1"/>
    <col min="9218" max="9219" width="4.21875" customWidth="1"/>
    <col min="9220" max="9220" width="0.6640625" customWidth="1"/>
    <col min="9221" max="9256" width="3.109375" customWidth="1"/>
    <col min="9257" max="9257" width="1.44140625" customWidth="1"/>
    <col min="9473" max="9473" width="1.44140625" customWidth="1"/>
    <col min="9474" max="9475" width="4.21875" customWidth="1"/>
    <col min="9476" max="9476" width="0.6640625" customWidth="1"/>
    <col min="9477" max="9512" width="3.109375" customWidth="1"/>
    <col min="9513" max="9513" width="1.44140625" customWidth="1"/>
    <col min="9729" max="9729" width="1.44140625" customWidth="1"/>
    <col min="9730" max="9731" width="4.21875" customWidth="1"/>
    <col min="9732" max="9732" width="0.6640625" customWidth="1"/>
    <col min="9733" max="9768" width="3.109375" customWidth="1"/>
    <col min="9769" max="9769" width="1.44140625" customWidth="1"/>
    <col min="9985" max="9985" width="1.44140625" customWidth="1"/>
    <col min="9986" max="9987" width="4.21875" customWidth="1"/>
    <col min="9988" max="9988" width="0.6640625" customWidth="1"/>
    <col min="9989" max="10024" width="3.109375" customWidth="1"/>
    <col min="10025" max="10025" width="1.44140625" customWidth="1"/>
    <col min="10241" max="10241" width="1.44140625" customWidth="1"/>
    <col min="10242" max="10243" width="4.21875" customWidth="1"/>
    <col min="10244" max="10244" width="0.6640625" customWidth="1"/>
    <col min="10245" max="10280" width="3.109375" customWidth="1"/>
    <col min="10281" max="10281" width="1.44140625" customWidth="1"/>
    <col min="10497" max="10497" width="1.44140625" customWidth="1"/>
    <col min="10498" max="10499" width="4.21875" customWidth="1"/>
    <col min="10500" max="10500" width="0.6640625" customWidth="1"/>
    <col min="10501" max="10536" width="3.109375" customWidth="1"/>
    <col min="10537" max="10537" width="1.44140625" customWidth="1"/>
    <col min="10753" max="10753" width="1.44140625" customWidth="1"/>
    <col min="10754" max="10755" width="4.21875" customWidth="1"/>
    <col min="10756" max="10756" width="0.6640625" customWidth="1"/>
    <col min="10757" max="10792" width="3.109375" customWidth="1"/>
    <col min="10793" max="10793" width="1.44140625" customWidth="1"/>
    <col min="11009" max="11009" width="1.44140625" customWidth="1"/>
    <col min="11010" max="11011" width="4.21875" customWidth="1"/>
    <col min="11012" max="11012" width="0.6640625" customWidth="1"/>
    <col min="11013" max="11048" width="3.109375" customWidth="1"/>
    <col min="11049" max="11049" width="1.44140625" customWidth="1"/>
    <col min="11265" max="11265" width="1.44140625" customWidth="1"/>
    <col min="11266" max="11267" width="4.21875" customWidth="1"/>
    <col min="11268" max="11268" width="0.6640625" customWidth="1"/>
    <col min="11269" max="11304" width="3.109375" customWidth="1"/>
    <col min="11305" max="11305" width="1.44140625" customWidth="1"/>
    <col min="11521" max="11521" width="1.44140625" customWidth="1"/>
    <col min="11522" max="11523" width="4.21875" customWidth="1"/>
    <col min="11524" max="11524" width="0.6640625" customWidth="1"/>
    <col min="11525" max="11560" width="3.109375" customWidth="1"/>
    <col min="11561" max="11561" width="1.44140625" customWidth="1"/>
    <col min="11777" max="11777" width="1.44140625" customWidth="1"/>
    <col min="11778" max="11779" width="4.21875" customWidth="1"/>
    <col min="11780" max="11780" width="0.6640625" customWidth="1"/>
    <col min="11781" max="11816" width="3.109375" customWidth="1"/>
    <col min="11817" max="11817" width="1.44140625" customWidth="1"/>
    <col min="12033" max="12033" width="1.44140625" customWidth="1"/>
    <col min="12034" max="12035" width="4.21875" customWidth="1"/>
    <col min="12036" max="12036" width="0.6640625" customWidth="1"/>
    <col min="12037" max="12072" width="3.109375" customWidth="1"/>
    <col min="12073" max="12073" width="1.44140625" customWidth="1"/>
    <col min="12289" max="12289" width="1.44140625" customWidth="1"/>
    <col min="12290" max="12291" width="4.21875" customWidth="1"/>
    <col min="12292" max="12292" width="0.6640625" customWidth="1"/>
    <col min="12293" max="12328" width="3.109375" customWidth="1"/>
    <col min="12329" max="12329" width="1.44140625" customWidth="1"/>
    <col min="12545" max="12545" width="1.44140625" customWidth="1"/>
    <col min="12546" max="12547" width="4.21875" customWidth="1"/>
    <col min="12548" max="12548" width="0.6640625" customWidth="1"/>
    <col min="12549" max="12584" width="3.109375" customWidth="1"/>
    <col min="12585" max="12585" width="1.44140625" customWidth="1"/>
    <col min="12801" max="12801" width="1.44140625" customWidth="1"/>
    <col min="12802" max="12803" width="4.21875" customWidth="1"/>
    <col min="12804" max="12804" width="0.6640625" customWidth="1"/>
    <col min="12805" max="12840" width="3.109375" customWidth="1"/>
    <col min="12841" max="12841" width="1.44140625" customWidth="1"/>
    <col min="13057" max="13057" width="1.44140625" customWidth="1"/>
    <col min="13058" max="13059" width="4.21875" customWidth="1"/>
    <col min="13060" max="13060" width="0.6640625" customWidth="1"/>
    <col min="13061" max="13096" width="3.109375" customWidth="1"/>
    <col min="13097" max="13097" width="1.44140625" customWidth="1"/>
    <col min="13313" max="13313" width="1.44140625" customWidth="1"/>
    <col min="13314" max="13315" width="4.21875" customWidth="1"/>
    <col min="13316" max="13316" width="0.6640625" customWidth="1"/>
    <col min="13317" max="13352" width="3.109375" customWidth="1"/>
    <col min="13353" max="13353" width="1.44140625" customWidth="1"/>
    <col min="13569" max="13569" width="1.44140625" customWidth="1"/>
    <col min="13570" max="13571" width="4.21875" customWidth="1"/>
    <col min="13572" max="13572" width="0.6640625" customWidth="1"/>
    <col min="13573" max="13608" width="3.109375" customWidth="1"/>
    <col min="13609" max="13609" width="1.44140625" customWidth="1"/>
    <col min="13825" max="13825" width="1.44140625" customWidth="1"/>
    <col min="13826" max="13827" width="4.21875" customWidth="1"/>
    <col min="13828" max="13828" width="0.6640625" customWidth="1"/>
    <col min="13829" max="13864" width="3.109375" customWidth="1"/>
    <col min="13865" max="13865" width="1.44140625" customWidth="1"/>
    <col min="14081" max="14081" width="1.44140625" customWidth="1"/>
    <col min="14082" max="14083" width="4.21875" customWidth="1"/>
    <col min="14084" max="14084" width="0.6640625" customWidth="1"/>
    <col min="14085" max="14120" width="3.109375" customWidth="1"/>
    <col min="14121" max="14121" width="1.44140625" customWidth="1"/>
    <col min="14337" max="14337" width="1.44140625" customWidth="1"/>
    <col min="14338" max="14339" width="4.21875" customWidth="1"/>
    <col min="14340" max="14340" width="0.6640625" customWidth="1"/>
    <col min="14341" max="14376" width="3.109375" customWidth="1"/>
    <col min="14377" max="14377" width="1.44140625" customWidth="1"/>
    <col min="14593" max="14593" width="1.44140625" customWidth="1"/>
    <col min="14594" max="14595" width="4.21875" customWidth="1"/>
    <col min="14596" max="14596" width="0.6640625" customWidth="1"/>
    <col min="14597" max="14632" width="3.109375" customWidth="1"/>
    <col min="14633" max="14633" width="1.44140625" customWidth="1"/>
    <col min="14849" max="14849" width="1.44140625" customWidth="1"/>
    <col min="14850" max="14851" width="4.21875" customWidth="1"/>
    <col min="14852" max="14852" width="0.6640625" customWidth="1"/>
    <col min="14853" max="14888" width="3.109375" customWidth="1"/>
    <col min="14889" max="14889" width="1.44140625" customWidth="1"/>
    <col min="15105" max="15105" width="1.44140625" customWidth="1"/>
    <col min="15106" max="15107" width="4.21875" customWidth="1"/>
    <col min="15108" max="15108" width="0.6640625" customWidth="1"/>
    <col min="15109" max="15144" width="3.109375" customWidth="1"/>
    <col min="15145" max="15145" width="1.44140625" customWidth="1"/>
    <col min="15361" max="15361" width="1.44140625" customWidth="1"/>
    <col min="15362" max="15363" width="4.21875" customWidth="1"/>
    <col min="15364" max="15364" width="0.6640625" customWidth="1"/>
    <col min="15365" max="15400" width="3.109375" customWidth="1"/>
    <col min="15401" max="15401" width="1.44140625" customWidth="1"/>
    <col min="15617" max="15617" width="1.44140625" customWidth="1"/>
    <col min="15618" max="15619" width="4.21875" customWidth="1"/>
    <col min="15620" max="15620" width="0.6640625" customWidth="1"/>
    <col min="15621" max="15656" width="3.109375" customWidth="1"/>
    <col min="15657" max="15657" width="1.44140625" customWidth="1"/>
    <col min="15873" max="15873" width="1.44140625" customWidth="1"/>
    <col min="15874" max="15875" width="4.21875" customWidth="1"/>
    <col min="15876" max="15876" width="0.6640625" customWidth="1"/>
    <col min="15877" max="15912" width="3.109375" customWidth="1"/>
    <col min="15913" max="15913" width="1.44140625" customWidth="1"/>
    <col min="16129" max="16129" width="1.44140625" customWidth="1"/>
    <col min="16130" max="16131" width="4.21875" customWidth="1"/>
    <col min="16132" max="16132" width="0.6640625" customWidth="1"/>
    <col min="16133" max="16168" width="3.109375" customWidth="1"/>
    <col min="16169" max="16169" width="1.44140625" customWidth="1"/>
  </cols>
  <sheetData>
    <row r="2" spans="2:40">
      <c r="B2" t="s">
        <v>1374</v>
      </c>
    </row>
    <row r="3" spans="2:40" ht="14.25" customHeight="1">
      <c r="AB3" s="1577" t="s">
        <v>77</v>
      </c>
      <c r="AC3" s="1578"/>
      <c r="AD3" s="1578"/>
      <c r="AE3" s="1578"/>
      <c r="AF3" s="1579"/>
      <c r="AG3" s="1580"/>
      <c r="AH3" s="1581"/>
      <c r="AI3" s="1581"/>
      <c r="AJ3" s="1581"/>
      <c r="AK3" s="1581"/>
      <c r="AL3" s="1581"/>
      <c r="AM3" s="1581"/>
      <c r="AN3" s="1582"/>
    </row>
    <row r="5" spans="2:40">
      <c r="B5" s="1575" t="s">
        <v>526</v>
      </c>
      <c r="C5" s="1575"/>
      <c r="D5" s="1575"/>
      <c r="E5" s="1575"/>
      <c r="F5" s="1575"/>
      <c r="G5" s="1575"/>
      <c r="H5" s="1575"/>
      <c r="I5" s="1575"/>
      <c r="J5" s="1575"/>
      <c r="K5" s="1575"/>
      <c r="L5" s="1575"/>
      <c r="M5" s="1575"/>
      <c r="N5" s="1575"/>
      <c r="O5" s="1575"/>
      <c r="P5" s="1575"/>
      <c r="Q5" s="1575"/>
      <c r="R5" s="1575"/>
      <c r="S5" s="1575"/>
      <c r="T5" s="1575"/>
      <c r="U5" s="1575"/>
      <c r="V5" s="1575"/>
      <c r="W5" s="1575"/>
      <c r="X5" s="1575"/>
      <c r="Y5" s="1575"/>
      <c r="Z5" s="1575"/>
      <c r="AA5" s="1575"/>
      <c r="AB5" s="1575"/>
      <c r="AC5" s="1575"/>
      <c r="AD5" s="1575"/>
      <c r="AE5" s="1575"/>
      <c r="AF5" s="1575"/>
      <c r="AG5" s="1575"/>
      <c r="AH5" s="1575"/>
      <c r="AI5" s="1575"/>
      <c r="AJ5" s="1575"/>
      <c r="AK5" s="1575"/>
      <c r="AL5" s="1575"/>
      <c r="AM5" s="1575"/>
      <c r="AN5" s="1575"/>
    </row>
    <row r="6" spans="2:40" ht="13.5" customHeight="1">
      <c r="AE6" s="662" t="s">
        <v>544</v>
      </c>
      <c r="AF6" s="1575"/>
      <c r="AG6" s="1575"/>
      <c r="AH6" t="s">
        <v>34</v>
      </c>
      <c r="AI6" s="1575"/>
      <c r="AJ6" s="1575"/>
      <c r="AK6" t="s">
        <v>392</v>
      </c>
      <c r="AL6" s="1575"/>
      <c r="AM6" s="1575"/>
      <c r="AN6" t="s">
        <v>29</v>
      </c>
    </row>
    <row r="7" spans="2:40">
      <c r="B7" s="1575"/>
      <c r="C7" s="1575"/>
      <c r="D7" s="1575"/>
      <c r="E7" s="1575"/>
      <c r="F7" s="1575"/>
      <c r="G7" s="1575"/>
      <c r="H7" s="1575" t="s">
        <v>1375</v>
      </c>
      <c r="I7" s="1575"/>
      <c r="J7" s="1575"/>
      <c r="K7" t="s">
        <v>1376</v>
      </c>
    </row>
    <row r="8" spans="2:40">
      <c r="V8" s="1576" t="s">
        <v>1377</v>
      </c>
      <c r="W8" s="1576"/>
      <c r="X8" s="1576"/>
      <c r="Y8" s="1576"/>
      <c r="Z8" s="1576"/>
      <c r="AA8" s="1576"/>
      <c r="AB8" s="1576"/>
      <c r="AC8" s="1576"/>
      <c r="AD8" s="1576"/>
      <c r="AE8" s="1576"/>
      <c r="AF8" s="1576"/>
      <c r="AG8" s="1576"/>
      <c r="AH8" s="1576"/>
      <c r="AI8" s="1576"/>
      <c r="AJ8" s="1576"/>
      <c r="AK8" s="1576"/>
      <c r="AL8" s="1576"/>
      <c r="AM8" s="1576"/>
      <c r="AN8" s="1576"/>
    </row>
    <row r="9" spans="2:40">
      <c r="Y9" s="1575"/>
      <c r="Z9" s="1575"/>
      <c r="AA9" s="1575"/>
      <c r="AB9" s="1575"/>
      <c r="AC9" s="1575"/>
      <c r="AD9" s="1575"/>
      <c r="AE9" s="1575"/>
      <c r="AF9" s="1575"/>
      <c r="AG9" s="1575"/>
      <c r="AH9" s="1575"/>
      <c r="AI9" s="1575"/>
      <c r="AJ9" s="1575"/>
      <c r="AK9" s="1575"/>
      <c r="AL9" s="1575"/>
      <c r="AM9" s="1575"/>
      <c r="AN9" s="1575"/>
    </row>
    <row r="10" spans="2:40">
      <c r="V10" s="1575" t="s">
        <v>527</v>
      </c>
      <c r="W10" s="1575"/>
      <c r="X10" s="1575"/>
      <c r="Y10" s="1575"/>
      <c r="Z10" s="1575"/>
      <c r="AA10" s="1575"/>
      <c r="AB10" s="1575"/>
      <c r="AC10" s="1575"/>
      <c r="AD10" s="1575"/>
      <c r="AE10" s="1575"/>
      <c r="AF10" s="1575"/>
      <c r="AG10" s="1575"/>
      <c r="AH10" s="1575"/>
      <c r="AI10" s="1575"/>
      <c r="AJ10" s="1575"/>
      <c r="AK10" s="1575"/>
      <c r="AL10" s="1575"/>
      <c r="AM10" s="1575"/>
      <c r="AN10" s="1575"/>
    </row>
    <row r="11" spans="2:40">
      <c r="Y11" s="1575"/>
      <c r="Z11" s="1575"/>
      <c r="AA11" s="1575"/>
      <c r="AB11" s="1575"/>
      <c r="AC11" s="1575"/>
      <c r="AD11" s="1575"/>
      <c r="AE11" s="1575"/>
      <c r="AF11" s="1575"/>
      <c r="AG11" s="1575"/>
      <c r="AH11" s="1575"/>
      <c r="AI11" s="1575"/>
      <c r="AJ11" s="1575"/>
      <c r="AK11" s="1575"/>
      <c r="AL11" s="1575"/>
      <c r="AM11" s="1575"/>
      <c r="AN11" s="1575"/>
    </row>
    <row r="12" spans="2:40">
      <c r="C12" t="s">
        <v>529</v>
      </c>
    </row>
    <row r="13" spans="2:40">
      <c r="N13" s="1583"/>
      <c r="O13" s="1583"/>
      <c r="AB13" s="1577" t="s">
        <v>1378</v>
      </c>
      <c r="AC13" s="1578"/>
      <c r="AD13" s="1578"/>
      <c r="AE13" s="1578"/>
      <c r="AF13" s="1578"/>
      <c r="AG13" s="1578"/>
      <c r="AH13" s="1578"/>
      <c r="AI13" s="1579"/>
      <c r="AJ13" s="1584"/>
      <c r="AK13" s="1585"/>
      <c r="AL13" s="1585"/>
      <c r="AM13" s="1585"/>
      <c r="AN13" s="1586"/>
    </row>
    <row r="14" spans="2:40" ht="14.25" customHeight="1">
      <c r="B14" s="1587" t="s">
        <v>79</v>
      </c>
      <c r="C14" s="1590" t="s">
        <v>7</v>
      </c>
      <c r="D14" s="1591"/>
      <c r="E14" s="1591"/>
      <c r="F14" s="1591"/>
      <c r="G14" s="1591"/>
      <c r="H14" s="1591"/>
      <c r="I14" s="1591"/>
      <c r="J14" s="1591"/>
      <c r="K14" s="1591"/>
      <c r="L14" s="1592"/>
      <c r="M14" s="1593"/>
      <c r="N14" s="1594"/>
      <c r="O14" s="1594"/>
      <c r="P14" s="1594"/>
      <c r="Q14" s="1594"/>
      <c r="R14" s="1594"/>
      <c r="S14" s="1594"/>
      <c r="T14" s="1594"/>
      <c r="U14" s="1594"/>
      <c r="V14" s="1594"/>
      <c r="W14" s="1594"/>
      <c r="X14" s="1594"/>
      <c r="Y14" s="1594"/>
      <c r="Z14" s="1594"/>
      <c r="AA14" s="1594"/>
      <c r="AB14" s="1594"/>
      <c r="AC14" s="1594"/>
      <c r="AD14" s="1594"/>
      <c r="AE14" s="1594"/>
      <c r="AF14" s="1594"/>
      <c r="AG14" s="1594"/>
      <c r="AH14" s="1594"/>
      <c r="AI14" s="1594"/>
      <c r="AJ14" s="1594"/>
      <c r="AK14" s="1594"/>
      <c r="AL14" s="1594"/>
      <c r="AM14" s="1594"/>
      <c r="AN14" s="1595"/>
    </row>
    <row r="15" spans="2:40" ht="14.25" customHeight="1">
      <c r="B15" s="1588"/>
      <c r="C15" s="1596" t="s">
        <v>80</v>
      </c>
      <c r="D15" s="1597"/>
      <c r="E15" s="1597"/>
      <c r="F15" s="1597"/>
      <c r="G15" s="1597"/>
      <c r="H15" s="1597"/>
      <c r="I15" s="1597"/>
      <c r="J15" s="1597"/>
      <c r="K15" s="1597"/>
      <c r="L15" s="1597"/>
      <c r="M15" s="1598"/>
      <c r="N15" s="1599"/>
      <c r="O15" s="1599"/>
      <c r="P15" s="1599"/>
      <c r="Q15" s="1599"/>
      <c r="R15" s="1599"/>
      <c r="S15" s="1599"/>
      <c r="T15" s="1599"/>
      <c r="U15" s="1599"/>
      <c r="V15" s="1599"/>
      <c r="W15" s="1599"/>
      <c r="X15" s="1599"/>
      <c r="Y15" s="1599"/>
      <c r="Z15" s="1599"/>
      <c r="AA15" s="1599"/>
      <c r="AB15" s="1599"/>
      <c r="AC15" s="1599"/>
      <c r="AD15" s="1599"/>
      <c r="AE15" s="1599"/>
      <c r="AF15" s="1599"/>
      <c r="AG15" s="1599"/>
      <c r="AH15" s="1599"/>
      <c r="AI15" s="1599"/>
      <c r="AJ15" s="1599"/>
      <c r="AK15" s="1599"/>
      <c r="AL15" s="1599"/>
      <c r="AM15" s="1599"/>
      <c r="AN15" s="1600"/>
    </row>
    <row r="16" spans="2:40" ht="13.5" customHeight="1">
      <c r="B16" s="1588"/>
      <c r="C16" s="1590" t="s">
        <v>1379</v>
      </c>
      <c r="D16" s="1591"/>
      <c r="E16" s="1591"/>
      <c r="F16" s="1591"/>
      <c r="G16" s="1591"/>
      <c r="H16" s="1591"/>
      <c r="I16" s="1591"/>
      <c r="J16" s="1591"/>
      <c r="K16" s="1591"/>
      <c r="L16" s="1601"/>
      <c r="M16" s="1584" t="s">
        <v>530</v>
      </c>
      <c r="N16" s="1585"/>
      <c r="O16" s="1585"/>
      <c r="P16" s="1585"/>
      <c r="Q16" s="1585"/>
      <c r="R16" s="1585"/>
      <c r="S16" s="1585"/>
      <c r="T16" t="s">
        <v>531</v>
      </c>
      <c r="U16" s="1585"/>
      <c r="V16" s="1585"/>
      <c r="W16" s="1585"/>
      <c r="X16" t="s">
        <v>446</v>
      </c>
      <c r="Y16" s="1591"/>
      <c r="Z16" s="1591"/>
      <c r="AA16" s="1591"/>
      <c r="AB16" s="1591"/>
      <c r="AC16" s="1591"/>
      <c r="AD16" s="1591"/>
      <c r="AE16" s="1591"/>
      <c r="AF16" s="1591"/>
      <c r="AG16" s="1591"/>
      <c r="AH16" s="1591"/>
      <c r="AI16" s="1591"/>
      <c r="AJ16" s="1591"/>
      <c r="AK16" s="1591"/>
      <c r="AL16" s="1591"/>
      <c r="AM16" s="1591"/>
      <c r="AN16" s="1601"/>
    </row>
    <row r="17" spans="2:40" ht="13.5" customHeight="1">
      <c r="B17" s="1588"/>
      <c r="C17" s="1596"/>
      <c r="D17" s="1597"/>
      <c r="E17" s="1597"/>
      <c r="F17" s="1597"/>
      <c r="G17" s="1597"/>
      <c r="H17" s="1597"/>
      <c r="I17" s="1597"/>
      <c r="J17" s="1597"/>
      <c r="K17" s="1597"/>
      <c r="L17" s="1602"/>
      <c r="M17" s="1612" t="s">
        <v>1380</v>
      </c>
      <c r="N17" s="1613"/>
      <c r="O17" s="1613"/>
      <c r="P17" s="1613"/>
      <c r="Q17" t="s">
        <v>1381</v>
      </c>
      <c r="R17" s="1613"/>
      <c r="S17" s="1613"/>
      <c r="T17" s="1613"/>
      <c r="U17" s="1613"/>
      <c r="V17" s="1613" t="s">
        <v>1382</v>
      </c>
      <c r="W17" s="1613"/>
      <c r="X17" s="1614"/>
      <c r="Y17" s="1614"/>
      <c r="Z17" s="1614"/>
      <c r="AA17" s="1614"/>
      <c r="AB17" s="1614"/>
      <c r="AC17" s="1614"/>
      <c r="AD17" s="1614"/>
      <c r="AE17" s="1614"/>
      <c r="AF17" s="1614"/>
      <c r="AG17" s="1614"/>
      <c r="AH17" s="1614"/>
      <c r="AI17" s="1614"/>
      <c r="AJ17" s="1614"/>
      <c r="AK17" s="1614"/>
      <c r="AL17" s="1614"/>
      <c r="AM17" s="1614"/>
      <c r="AN17" s="1615"/>
    </row>
    <row r="18" spans="2:40" ht="13.5" customHeight="1">
      <c r="B18" s="1588"/>
      <c r="C18" s="1603"/>
      <c r="D18" s="1604"/>
      <c r="E18" s="1604"/>
      <c r="F18" s="1604"/>
      <c r="G18" s="1604"/>
      <c r="H18" s="1604"/>
      <c r="I18" s="1604"/>
      <c r="J18" s="1604"/>
      <c r="K18" s="1604"/>
      <c r="L18" s="1605"/>
      <c r="M18" s="1606" t="s">
        <v>83</v>
      </c>
      <c r="N18" s="1607"/>
      <c r="O18" s="1607"/>
      <c r="P18" s="1607"/>
      <c r="Q18" s="1607"/>
      <c r="R18" s="1607"/>
      <c r="S18" s="1607"/>
      <c r="T18" s="1607"/>
      <c r="U18" s="1607"/>
      <c r="V18" s="1607"/>
      <c r="W18" s="1607"/>
      <c r="X18" s="1607"/>
      <c r="Y18" s="1607"/>
      <c r="Z18" s="1607"/>
      <c r="AA18" s="1607"/>
      <c r="AB18" s="1607"/>
      <c r="AC18" s="1607"/>
      <c r="AD18" s="1607"/>
      <c r="AE18" s="1607"/>
      <c r="AF18" s="1607"/>
      <c r="AG18" s="1607"/>
      <c r="AH18" s="1607"/>
      <c r="AI18" s="1607"/>
      <c r="AJ18" s="1607"/>
      <c r="AK18" s="1607"/>
      <c r="AL18" s="1607"/>
      <c r="AM18" s="1607"/>
      <c r="AN18" s="1608"/>
    </row>
    <row r="19" spans="2:40" ht="14.25" customHeight="1">
      <c r="B19" s="1588"/>
      <c r="C19" s="1609" t="s">
        <v>84</v>
      </c>
      <c r="D19" s="1610"/>
      <c r="E19" s="1610"/>
      <c r="F19" s="1610"/>
      <c r="G19" s="1610"/>
      <c r="H19" s="1610"/>
      <c r="I19" s="1610"/>
      <c r="J19" s="1610"/>
      <c r="K19" s="1610"/>
      <c r="L19" s="1611"/>
      <c r="M19" s="1577" t="s">
        <v>9</v>
      </c>
      <c r="N19" s="1578"/>
      <c r="O19" s="1578"/>
      <c r="P19" s="1578"/>
      <c r="Q19" s="1579"/>
      <c r="R19" s="1580"/>
      <c r="S19" s="1581"/>
      <c r="T19" s="1581"/>
      <c r="U19" s="1581"/>
      <c r="V19" s="1581"/>
      <c r="W19" s="1581"/>
      <c r="X19" s="1581"/>
      <c r="Y19" s="1581"/>
      <c r="Z19" s="1581"/>
      <c r="AA19" s="1582"/>
      <c r="AB19" s="1584" t="s">
        <v>10</v>
      </c>
      <c r="AC19" s="1585"/>
      <c r="AD19" s="1585"/>
      <c r="AE19" s="1585"/>
      <c r="AF19" s="1586"/>
      <c r="AG19" s="1580"/>
      <c r="AH19" s="1581"/>
      <c r="AI19" s="1581"/>
      <c r="AJ19" s="1581"/>
      <c r="AK19" s="1581"/>
      <c r="AL19" s="1581"/>
      <c r="AM19" s="1581"/>
      <c r="AN19" s="1582"/>
    </row>
    <row r="20" spans="2:40" ht="14.25" customHeight="1">
      <c r="B20" s="1588"/>
      <c r="C20" s="1616" t="s">
        <v>1383</v>
      </c>
      <c r="D20" s="1616"/>
      <c r="E20" s="1616"/>
      <c r="F20" s="1616"/>
      <c r="G20" s="1616"/>
      <c r="H20" s="1616"/>
      <c r="I20" s="1616"/>
      <c r="J20" s="1616"/>
      <c r="K20" s="1616"/>
      <c r="L20" s="1616"/>
      <c r="M20" s="1617"/>
      <c r="N20" s="1618"/>
      <c r="O20" s="1618"/>
      <c r="P20" s="1618"/>
      <c r="Q20" s="1618"/>
      <c r="R20" s="1618"/>
      <c r="S20" s="1618"/>
      <c r="T20" s="1618"/>
      <c r="U20" s="1619"/>
      <c r="V20" s="1617" t="s">
        <v>11</v>
      </c>
      <c r="W20" s="1618"/>
      <c r="X20" s="1618"/>
      <c r="Y20" s="1618"/>
      <c r="Z20" s="1618"/>
      <c r="AA20" s="1619"/>
      <c r="AB20" s="1617"/>
      <c r="AC20" s="1618"/>
      <c r="AD20" s="1618"/>
      <c r="AE20" s="1618"/>
      <c r="AF20" s="1618"/>
      <c r="AG20" s="1618"/>
      <c r="AH20" s="1618"/>
      <c r="AI20" s="1618"/>
      <c r="AJ20" s="1618"/>
      <c r="AK20" s="1618"/>
      <c r="AL20" s="1618"/>
      <c r="AM20" s="1618"/>
      <c r="AN20" s="1619"/>
    </row>
    <row r="21" spans="2:40" ht="14.25" customHeight="1">
      <c r="B21" s="1588"/>
      <c r="C21" s="1616" t="s">
        <v>528</v>
      </c>
      <c r="D21" s="1616"/>
      <c r="E21" s="1616"/>
      <c r="F21" s="1616"/>
      <c r="G21" s="1616"/>
      <c r="H21" s="1616"/>
      <c r="I21" s="1616"/>
      <c r="J21" s="1620"/>
      <c r="K21" s="1620"/>
      <c r="L21" s="1621"/>
      <c r="M21" s="1617" t="s">
        <v>13</v>
      </c>
      <c r="N21" s="1618"/>
      <c r="O21" s="1618"/>
      <c r="P21" s="1618"/>
      <c r="Q21" s="1619"/>
      <c r="R21" s="1622"/>
      <c r="S21" s="1623"/>
      <c r="T21" s="1623"/>
      <c r="U21" s="1623"/>
      <c r="V21" s="1623"/>
      <c r="W21" s="1623"/>
      <c r="X21" s="1623"/>
      <c r="Y21" s="1623"/>
      <c r="Z21" s="1623"/>
      <c r="AA21" s="1624"/>
      <c r="AB21" s="1618" t="s">
        <v>14</v>
      </c>
      <c r="AC21" s="1618"/>
      <c r="AD21" s="1618"/>
      <c r="AE21" s="1618"/>
      <c r="AF21" s="1619"/>
      <c r="AG21" s="1622"/>
      <c r="AH21" s="1623"/>
      <c r="AI21" s="1623"/>
      <c r="AJ21" s="1623"/>
      <c r="AK21" s="1623"/>
      <c r="AL21" s="1623"/>
      <c r="AM21" s="1623"/>
      <c r="AN21" s="1624"/>
    </row>
    <row r="22" spans="2:40" ht="13.5" customHeight="1">
      <c r="B22" s="1588"/>
      <c r="C22" s="1625" t="s">
        <v>15</v>
      </c>
      <c r="D22" s="1625"/>
      <c r="E22" s="1625"/>
      <c r="F22" s="1625"/>
      <c r="G22" s="1625"/>
      <c r="H22" s="1625"/>
      <c r="I22" s="1625"/>
      <c r="J22" s="1626"/>
      <c r="K22" s="1626"/>
      <c r="L22" s="1626"/>
      <c r="M22" s="1584" t="s">
        <v>530</v>
      </c>
      <c r="N22" s="1585"/>
      <c r="O22" s="1585"/>
      <c r="P22" s="1585"/>
      <c r="Q22" s="1585"/>
      <c r="R22" s="1585"/>
      <c r="S22" s="1585"/>
      <c r="T22" t="s">
        <v>531</v>
      </c>
      <c r="U22" s="1585"/>
      <c r="V22" s="1585"/>
      <c r="W22" s="1585"/>
      <c r="X22" t="s">
        <v>446</v>
      </c>
      <c r="Y22" s="1591"/>
      <c r="Z22" s="1591"/>
      <c r="AA22" s="1591"/>
      <c r="AB22" s="1591"/>
      <c r="AC22" s="1591"/>
      <c r="AD22" s="1591"/>
      <c r="AE22" s="1591"/>
      <c r="AF22" s="1591"/>
      <c r="AG22" s="1591"/>
      <c r="AH22" s="1591"/>
      <c r="AI22" s="1591"/>
      <c r="AJ22" s="1591"/>
      <c r="AK22" s="1591"/>
      <c r="AL22" s="1591"/>
      <c r="AM22" s="1591"/>
      <c r="AN22" s="1601"/>
    </row>
    <row r="23" spans="2:40" ht="14.25" customHeight="1">
      <c r="B23" s="1588"/>
      <c r="C23" s="1625"/>
      <c r="D23" s="1625"/>
      <c r="E23" s="1625"/>
      <c r="F23" s="1625"/>
      <c r="G23" s="1625"/>
      <c r="H23" s="1625"/>
      <c r="I23" s="1625"/>
      <c r="J23" s="1626"/>
      <c r="K23" s="1626"/>
      <c r="L23" s="1626"/>
      <c r="M23" s="1612" t="s">
        <v>1380</v>
      </c>
      <c r="N23" s="1613"/>
      <c r="O23" s="1613"/>
      <c r="P23" s="1613"/>
      <c r="Q23" t="s">
        <v>1381</v>
      </c>
      <c r="R23" s="1613"/>
      <c r="S23" s="1613"/>
      <c r="T23" s="1613"/>
      <c r="U23" s="1613"/>
      <c r="V23" s="1613" t="s">
        <v>1382</v>
      </c>
      <c r="W23" s="1613"/>
      <c r="X23" s="1614"/>
      <c r="Y23" s="1614"/>
      <c r="Z23" s="1614"/>
      <c r="AA23" s="1614"/>
      <c r="AB23" s="1614"/>
      <c r="AC23" s="1614"/>
      <c r="AD23" s="1614"/>
      <c r="AE23" s="1614"/>
      <c r="AF23" s="1614"/>
      <c r="AG23" s="1614"/>
      <c r="AH23" s="1614"/>
      <c r="AI23" s="1614"/>
      <c r="AJ23" s="1614"/>
      <c r="AK23" s="1614"/>
      <c r="AL23" s="1614"/>
      <c r="AM23" s="1614"/>
      <c r="AN23" s="1615"/>
    </row>
    <row r="24" spans="2:40">
      <c r="B24" s="1589"/>
      <c r="C24" s="1627"/>
      <c r="D24" s="1627"/>
      <c r="E24" s="1627"/>
      <c r="F24" s="1627"/>
      <c r="G24" s="1627"/>
      <c r="H24" s="1627"/>
      <c r="I24" s="1627"/>
      <c r="J24" s="1628"/>
      <c r="K24" s="1628"/>
      <c r="L24" s="1628"/>
      <c r="M24" s="1629"/>
      <c r="N24" s="1630"/>
      <c r="O24" s="1630"/>
      <c r="P24" s="1630"/>
      <c r="Q24" s="1630"/>
      <c r="R24" s="1630"/>
      <c r="S24" s="1630"/>
      <c r="T24" s="1630"/>
      <c r="U24" s="1630"/>
      <c r="V24" s="1630"/>
      <c r="W24" s="1630"/>
      <c r="X24" s="1630"/>
      <c r="Y24" s="1630"/>
      <c r="Z24" s="1630"/>
      <c r="AA24" s="1630"/>
      <c r="AB24" s="1630"/>
      <c r="AC24" s="1630"/>
      <c r="AD24" s="1630"/>
      <c r="AE24" s="1630"/>
      <c r="AF24" s="1630"/>
      <c r="AG24" s="1630"/>
      <c r="AH24" s="1630"/>
      <c r="AI24" s="1630"/>
      <c r="AJ24" s="1630"/>
      <c r="AK24" s="1630"/>
      <c r="AL24" s="1630"/>
      <c r="AM24" s="1630"/>
      <c r="AN24" s="1631"/>
    </row>
    <row r="25" spans="2:40" ht="14.25" customHeight="1">
      <c r="B25" s="1632" t="s">
        <v>1384</v>
      </c>
      <c r="C25" s="1590" t="s">
        <v>467</v>
      </c>
      <c r="D25" s="1591"/>
      <c r="E25" s="1591"/>
      <c r="F25" s="1591"/>
      <c r="G25" s="1591"/>
      <c r="H25" s="1591"/>
      <c r="I25" s="1591"/>
      <c r="J25" s="1591"/>
      <c r="K25" s="1591"/>
      <c r="L25" s="1601"/>
      <c r="M25" s="1635"/>
      <c r="N25" s="1636"/>
      <c r="O25" s="1636"/>
      <c r="P25" s="1636"/>
      <c r="Q25" s="1636"/>
      <c r="R25" s="1636"/>
      <c r="S25" s="1636"/>
      <c r="T25" s="1636"/>
      <c r="U25" s="1636"/>
      <c r="V25" s="1636"/>
      <c r="W25" s="1636"/>
      <c r="X25" s="1636"/>
      <c r="Y25" s="1636"/>
      <c r="Z25" s="1636"/>
      <c r="AA25" s="1636"/>
      <c r="AB25" s="1636"/>
      <c r="AC25" s="1636"/>
      <c r="AD25" s="1636"/>
      <c r="AE25" s="1636"/>
      <c r="AF25" s="1636"/>
      <c r="AG25" s="1636"/>
      <c r="AH25" s="1636"/>
      <c r="AI25" s="1636"/>
      <c r="AJ25" s="1636"/>
      <c r="AK25" s="1636"/>
      <c r="AL25" s="1636"/>
      <c r="AM25" s="1636"/>
      <c r="AN25" s="1637"/>
    </row>
    <row r="26" spans="2:40" ht="14.25" customHeight="1">
      <c r="B26" s="1633"/>
      <c r="C26" s="1603" t="s">
        <v>1385</v>
      </c>
      <c r="D26" s="1604"/>
      <c r="E26" s="1604"/>
      <c r="F26" s="1604"/>
      <c r="G26" s="1604"/>
      <c r="H26" s="1604"/>
      <c r="I26" s="1604"/>
      <c r="J26" s="1604"/>
      <c r="K26" s="1604"/>
      <c r="L26" s="1605"/>
      <c r="M26" s="1603"/>
      <c r="N26" s="1604"/>
      <c r="O26" s="1604"/>
      <c r="P26" s="1604"/>
      <c r="Q26" s="1604"/>
      <c r="R26" s="1604"/>
      <c r="S26" s="1604"/>
      <c r="T26" s="1604"/>
      <c r="U26" s="1604"/>
      <c r="V26" s="1604"/>
      <c r="W26" s="1604"/>
      <c r="X26" s="1604"/>
      <c r="Y26" s="1604"/>
      <c r="Z26" s="1604"/>
      <c r="AA26" s="1604"/>
      <c r="AB26" s="1604"/>
      <c r="AC26" s="1604"/>
      <c r="AD26" s="1604"/>
      <c r="AE26" s="1604"/>
      <c r="AF26" s="1604"/>
      <c r="AG26" s="1604"/>
      <c r="AH26" s="1604"/>
      <c r="AI26" s="1604"/>
      <c r="AJ26" s="1604"/>
      <c r="AK26" s="1604"/>
      <c r="AL26" s="1604"/>
      <c r="AM26" s="1604"/>
      <c r="AN26" s="1605"/>
    </row>
    <row r="27" spans="2:40" ht="13.5" customHeight="1">
      <c r="B27" s="1633"/>
      <c r="C27" s="1625" t="s">
        <v>1386</v>
      </c>
      <c r="D27" s="1625"/>
      <c r="E27" s="1625"/>
      <c r="F27" s="1625"/>
      <c r="G27" s="1625"/>
      <c r="H27" s="1625"/>
      <c r="I27" s="1625"/>
      <c r="J27" s="1625"/>
      <c r="K27" s="1625"/>
      <c r="L27" s="1625"/>
      <c r="M27" s="1584" t="s">
        <v>530</v>
      </c>
      <c r="N27" s="1585"/>
      <c r="O27" s="1585"/>
      <c r="P27" s="1585"/>
      <c r="Q27" s="1585"/>
      <c r="R27" s="1585"/>
      <c r="S27" s="1585"/>
      <c r="T27" t="s">
        <v>531</v>
      </c>
      <c r="U27" s="1585"/>
      <c r="V27" s="1585"/>
      <c r="W27" s="1585"/>
      <c r="X27" t="s">
        <v>446</v>
      </c>
      <c r="Y27" s="1591"/>
      <c r="Z27" s="1591"/>
      <c r="AA27" s="1591"/>
      <c r="AB27" s="1591"/>
      <c r="AC27" s="1591"/>
      <c r="AD27" s="1591"/>
      <c r="AE27" s="1591"/>
      <c r="AF27" s="1591"/>
      <c r="AG27" s="1591"/>
      <c r="AH27" s="1591"/>
      <c r="AI27" s="1591"/>
      <c r="AJ27" s="1591"/>
      <c r="AK27" s="1591"/>
      <c r="AL27" s="1591"/>
      <c r="AM27" s="1591"/>
      <c r="AN27" s="1601"/>
    </row>
    <row r="28" spans="2:40" ht="14.25" customHeight="1">
      <c r="B28" s="1633"/>
      <c r="C28" s="1625"/>
      <c r="D28" s="1625"/>
      <c r="E28" s="1625"/>
      <c r="F28" s="1625"/>
      <c r="G28" s="1625"/>
      <c r="H28" s="1625"/>
      <c r="I28" s="1625"/>
      <c r="J28" s="1625"/>
      <c r="K28" s="1625"/>
      <c r="L28" s="1625"/>
      <c r="M28" s="1612" t="s">
        <v>1380</v>
      </c>
      <c r="N28" s="1613"/>
      <c r="O28" s="1613"/>
      <c r="P28" s="1613"/>
      <c r="Q28" t="s">
        <v>1381</v>
      </c>
      <c r="R28" s="1613"/>
      <c r="S28" s="1613"/>
      <c r="T28" s="1613"/>
      <c r="U28" s="1613"/>
      <c r="V28" s="1613" t="s">
        <v>1382</v>
      </c>
      <c r="W28" s="1613"/>
      <c r="X28" s="1614"/>
      <c r="Y28" s="1614"/>
      <c r="Z28" s="1614"/>
      <c r="AA28" s="1614"/>
      <c r="AB28" s="1614"/>
      <c r="AC28" s="1614"/>
      <c r="AD28" s="1614"/>
      <c r="AE28" s="1614"/>
      <c r="AF28" s="1614"/>
      <c r="AG28" s="1614"/>
      <c r="AH28" s="1614"/>
      <c r="AI28" s="1614"/>
      <c r="AJ28" s="1614"/>
      <c r="AK28" s="1614"/>
      <c r="AL28" s="1614"/>
      <c r="AM28" s="1614"/>
      <c r="AN28" s="1615"/>
    </row>
    <row r="29" spans="2:40">
      <c r="B29" s="1633"/>
      <c r="C29" s="1625"/>
      <c r="D29" s="1625"/>
      <c r="E29" s="1625"/>
      <c r="F29" s="1625"/>
      <c r="G29" s="1625"/>
      <c r="H29" s="1625"/>
      <c r="I29" s="1625"/>
      <c r="J29" s="1625"/>
      <c r="K29" s="1625"/>
      <c r="L29" s="1625"/>
      <c r="M29" s="1629"/>
      <c r="N29" s="1630"/>
      <c r="O29" s="1630"/>
      <c r="P29" s="1630"/>
      <c r="Q29" s="1630"/>
      <c r="R29" s="1630"/>
      <c r="S29" s="1630"/>
      <c r="T29" s="1630"/>
      <c r="U29" s="1630"/>
      <c r="V29" s="1630"/>
      <c r="W29" s="1630"/>
      <c r="X29" s="1630"/>
      <c r="Y29" s="1630"/>
      <c r="Z29" s="1630"/>
      <c r="AA29" s="1630"/>
      <c r="AB29" s="1630"/>
      <c r="AC29" s="1630"/>
      <c r="AD29" s="1630"/>
      <c r="AE29" s="1630"/>
      <c r="AF29" s="1630"/>
      <c r="AG29" s="1630"/>
      <c r="AH29" s="1630"/>
      <c r="AI29" s="1630"/>
      <c r="AJ29" s="1630"/>
      <c r="AK29" s="1630"/>
      <c r="AL29" s="1630"/>
      <c r="AM29" s="1630"/>
      <c r="AN29" s="1631"/>
    </row>
    <row r="30" spans="2:40" ht="14.25" customHeight="1">
      <c r="B30" s="1633"/>
      <c r="C30" s="1625" t="s">
        <v>84</v>
      </c>
      <c r="D30" s="1625"/>
      <c r="E30" s="1625"/>
      <c r="F30" s="1625"/>
      <c r="G30" s="1625"/>
      <c r="H30" s="1625"/>
      <c r="I30" s="1625"/>
      <c r="J30" s="1625"/>
      <c r="K30" s="1625"/>
      <c r="L30" s="1625"/>
      <c r="M30" s="1577" t="s">
        <v>9</v>
      </c>
      <c r="N30" s="1578"/>
      <c r="O30" s="1578"/>
      <c r="P30" s="1578"/>
      <c r="Q30" s="1579"/>
      <c r="R30" s="1580"/>
      <c r="S30" s="1581"/>
      <c r="T30" s="1581"/>
      <c r="U30" s="1581"/>
      <c r="V30" s="1581"/>
      <c r="W30" s="1581"/>
      <c r="X30" s="1581"/>
      <c r="Y30" s="1581"/>
      <c r="Z30" s="1581"/>
      <c r="AA30" s="1582"/>
      <c r="AB30" s="1584" t="s">
        <v>10</v>
      </c>
      <c r="AC30" s="1585"/>
      <c r="AD30" s="1585"/>
      <c r="AE30" s="1585"/>
      <c r="AF30" s="1586"/>
      <c r="AG30" s="1580"/>
      <c r="AH30" s="1581"/>
      <c r="AI30" s="1581"/>
      <c r="AJ30" s="1581"/>
      <c r="AK30" s="1581"/>
      <c r="AL30" s="1581"/>
      <c r="AM30" s="1581"/>
      <c r="AN30" s="1582"/>
    </row>
    <row r="31" spans="2:40" ht="13.5" customHeight="1">
      <c r="B31" s="1633"/>
      <c r="C31" s="1638" t="s">
        <v>1387</v>
      </c>
      <c r="D31" s="1638"/>
      <c r="E31" s="1638"/>
      <c r="F31" s="1638"/>
      <c r="G31" s="1638"/>
      <c r="H31" s="1638"/>
      <c r="I31" s="1638"/>
      <c r="J31" s="1638"/>
      <c r="K31" s="1638"/>
      <c r="L31" s="1638"/>
      <c r="M31" s="1584" t="s">
        <v>530</v>
      </c>
      <c r="N31" s="1585"/>
      <c r="O31" s="1585"/>
      <c r="P31" s="1585"/>
      <c r="Q31" s="1585"/>
      <c r="R31" s="1585"/>
      <c r="S31" s="1585"/>
      <c r="T31" t="s">
        <v>531</v>
      </c>
      <c r="U31" s="1585"/>
      <c r="V31" s="1585"/>
      <c r="W31" s="1585"/>
      <c r="X31" t="s">
        <v>446</v>
      </c>
      <c r="Y31" s="1591"/>
      <c r="Z31" s="1591"/>
      <c r="AA31" s="1591"/>
      <c r="AB31" s="1591"/>
      <c r="AC31" s="1591"/>
      <c r="AD31" s="1591"/>
      <c r="AE31" s="1591"/>
      <c r="AF31" s="1591"/>
      <c r="AG31" s="1591"/>
      <c r="AH31" s="1591"/>
      <c r="AI31" s="1591"/>
      <c r="AJ31" s="1591"/>
      <c r="AK31" s="1591"/>
      <c r="AL31" s="1591"/>
      <c r="AM31" s="1591"/>
      <c r="AN31" s="1601"/>
    </row>
    <row r="32" spans="2:40" ht="14.25" customHeight="1">
      <c r="B32" s="1633"/>
      <c r="C32" s="1638"/>
      <c r="D32" s="1638"/>
      <c r="E32" s="1638"/>
      <c r="F32" s="1638"/>
      <c r="G32" s="1638"/>
      <c r="H32" s="1638"/>
      <c r="I32" s="1638"/>
      <c r="J32" s="1638"/>
      <c r="K32" s="1638"/>
      <c r="L32" s="1638"/>
      <c r="M32" s="1612" t="s">
        <v>1380</v>
      </c>
      <c r="N32" s="1613"/>
      <c r="O32" s="1613"/>
      <c r="P32" s="1613"/>
      <c r="Q32" t="s">
        <v>1381</v>
      </c>
      <c r="R32" s="1613"/>
      <c r="S32" s="1613"/>
      <c r="T32" s="1613"/>
      <c r="U32" s="1613"/>
      <c r="V32" s="1613" t="s">
        <v>1382</v>
      </c>
      <c r="W32" s="1613"/>
      <c r="X32" s="1614"/>
      <c r="Y32" s="1614"/>
      <c r="Z32" s="1614"/>
      <c r="AA32" s="1614"/>
      <c r="AB32" s="1614"/>
      <c r="AC32" s="1614"/>
      <c r="AD32" s="1614"/>
      <c r="AE32" s="1614"/>
      <c r="AF32" s="1614"/>
      <c r="AG32" s="1614"/>
      <c r="AH32" s="1614"/>
      <c r="AI32" s="1614"/>
      <c r="AJ32" s="1614"/>
      <c r="AK32" s="1614"/>
      <c r="AL32" s="1614"/>
      <c r="AM32" s="1614"/>
      <c r="AN32" s="1615"/>
    </row>
    <row r="33" spans="2:40">
      <c r="B33" s="1633"/>
      <c r="C33" s="1638"/>
      <c r="D33" s="1638"/>
      <c r="E33" s="1638"/>
      <c r="F33" s="1638"/>
      <c r="G33" s="1638"/>
      <c r="H33" s="1638"/>
      <c r="I33" s="1638"/>
      <c r="J33" s="1638"/>
      <c r="K33" s="1638"/>
      <c r="L33" s="1638"/>
      <c r="M33" s="1629"/>
      <c r="N33" s="1630"/>
      <c r="O33" s="1630"/>
      <c r="P33" s="1630"/>
      <c r="Q33" s="1630"/>
      <c r="R33" s="1630"/>
      <c r="S33" s="1630"/>
      <c r="T33" s="1630"/>
      <c r="U33" s="1630"/>
      <c r="V33" s="1630"/>
      <c r="W33" s="1630"/>
      <c r="X33" s="1630"/>
      <c r="Y33" s="1630"/>
      <c r="Z33" s="1630"/>
      <c r="AA33" s="1630"/>
      <c r="AB33" s="1630"/>
      <c r="AC33" s="1630"/>
      <c r="AD33" s="1630"/>
      <c r="AE33" s="1630"/>
      <c r="AF33" s="1630"/>
      <c r="AG33" s="1630"/>
      <c r="AH33" s="1630"/>
      <c r="AI33" s="1630"/>
      <c r="AJ33" s="1630"/>
      <c r="AK33" s="1630"/>
      <c r="AL33" s="1630"/>
      <c r="AM33" s="1630"/>
      <c r="AN33" s="1631"/>
    </row>
    <row r="34" spans="2:40" ht="14.25" customHeight="1">
      <c r="B34" s="1633"/>
      <c r="C34" s="1625"/>
      <c r="D34" s="1625"/>
      <c r="E34" s="1625"/>
      <c r="F34" s="1625"/>
      <c r="G34" s="1625"/>
      <c r="H34" s="1625"/>
      <c r="I34" s="1625"/>
      <c r="J34" s="1625"/>
      <c r="K34" s="1625"/>
      <c r="L34" s="1625"/>
      <c r="M34" s="1577" t="s">
        <v>9</v>
      </c>
      <c r="N34" s="1578"/>
      <c r="O34" s="1578"/>
      <c r="P34" s="1578"/>
      <c r="Q34" s="1579"/>
      <c r="R34" s="1580"/>
      <c r="S34" s="1581"/>
      <c r="T34" s="1581"/>
      <c r="U34" s="1581"/>
      <c r="V34" s="1581"/>
      <c r="W34" s="1581"/>
      <c r="X34" s="1581"/>
      <c r="Y34" s="1581"/>
      <c r="Z34" s="1581"/>
      <c r="AA34" s="1582"/>
      <c r="AB34" s="1584" t="s">
        <v>10</v>
      </c>
      <c r="AC34" s="1585"/>
      <c r="AD34" s="1585"/>
      <c r="AE34" s="1585"/>
      <c r="AF34" s="1586"/>
      <c r="AG34" s="1580"/>
      <c r="AH34" s="1581"/>
      <c r="AI34" s="1581"/>
      <c r="AJ34" s="1581"/>
      <c r="AK34" s="1581"/>
      <c r="AL34" s="1581"/>
      <c r="AM34" s="1581"/>
      <c r="AN34" s="1582"/>
    </row>
    <row r="35" spans="2:40" ht="14.25" customHeight="1">
      <c r="B35" s="1633"/>
      <c r="C35" s="1625" t="s">
        <v>17</v>
      </c>
      <c r="D35" s="1625"/>
      <c r="E35" s="1625"/>
      <c r="F35" s="1625"/>
      <c r="G35" s="1625"/>
      <c r="H35" s="1625"/>
      <c r="I35" s="1625"/>
      <c r="J35" s="1625"/>
      <c r="K35" s="1625"/>
      <c r="L35" s="1625"/>
      <c r="M35" s="1616"/>
      <c r="N35" s="1616"/>
      <c r="O35" s="1616"/>
      <c r="P35" s="1616"/>
      <c r="Q35" s="1616"/>
      <c r="R35" s="1616"/>
      <c r="S35" s="1616"/>
      <c r="T35" s="1616"/>
      <c r="U35" s="1616"/>
      <c r="V35" s="1616"/>
      <c r="W35" s="1616"/>
      <c r="X35" s="1616"/>
      <c r="Y35" s="1616"/>
      <c r="Z35" s="1616"/>
      <c r="AA35" s="1616"/>
      <c r="AB35" s="1616"/>
      <c r="AC35" s="1616"/>
      <c r="AD35" s="1616"/>
      <c r="AE35" s="1616"/>
      <c r="AF35" s="1616"/>
      <c r="AG35" s="1616"/>
      <c r="AH35" s="1616"/>
      <c r="AI35" s="1616"/>
      <c r="AJ35" s="1616"/>
      <c r="AK35" s="1616"/>
      <c r="AL35" s="1616"/>
      <c r="AM35" s="1616"/>
      <c r="AN35" s="1616"/>
    </row>
    <row r="36" spans="2:40" ht="13.5" customHeight="1">
      <c r="B36" s="1633"/>
      <c r="C36" s="1625" t="s">
        <v>18</v>
      </c>
      <c r="D36" s="1625"/>
      <c r="E36" s="1625"/>
      <c r="F36" s="1625"/>
      <c r="G36" s="1625"/>
      <c r="H36" s="1625"/>
      <c r="I36" s="1625"/>
      <c r="J36" s="1625"/>
      <c r="K36" s="1625"/>
      <c r="L36" s="1625"/>
      <c r="M36" s="1584" t="s">
        <v>530</v>
      </c>
      <c r="N36" s="1585"/>
      <c r="O36" s="1585"/>
      <c r="P36" s="1585"/>
      <c r="Q36" s="1585"/>
      <c r="R36" s="1585"/>
      <c r="S36" s="1585"/>
      <c r="T36" t="s">
        <v>531</v>
      </c>
      <c r="U36" s="1585"/>
      <c r="V36" s="1585"/>
      <c r="W36" s="1585"/>
      <c r="X36" t="s">
        <v>446</v>
      </c>
      <c r="Y36" s="1591"/>
      <c r="Z36" s="1591"/>
      <c r="AA36" s="1591"/>
      <c r="AB36" s="1591"/>
      <c r="AC36" s="1591"/>
      <c r="AD36" s="1591"/>
      <c r="AE36" s="1591"/>
      <c r="AF36" s="1591"/>
      <c r="AG36" s="1591"/>
      <c r="AH36" s="1591"/>
      <c r="AI36" s="1591"/>
      <c r="AJ36" s="1591"/>
      <c r="AK36" s="1591"/>
      <c r="AL36" s="1591"/>
      <c r="AM36" s="1591"/>
      <c r="AN36" s="1601"/>
    </row>
    <row r="37" spans="2:40" ht="14.25" customHeight="1">
      <c r="B37" s="1633"/>
      <c r="C37" s="1625"/>
      <c r="D37" s="1625"/>
      <c r="E37" s="1625"/>
      <c r="F37" s="1625"/>
      <c r="G37" s="1625"/>
      <c r="H37" s="1625"/>
      <c r="I37" s="1625"/>
      <c r="J37" s="1625"/>
      <c r="K37" s="1625"/>
      <c r="L37" s="1625"/>
      <c r="M37" s="1612" t="s">
        <v>1380</v>
      </c>
      <c r="N37" s="1613"/>
      <c r="O37" s="1613"/>
      <c r="P37" s="1613"/>
      <c r="Q37" t="s">
        <v>1381</v>
      </c>
      <c r="R37" s="1613"/>
      <c r="S37" s="1613"/>
      <c r="T37" s="1613"/>
      <c r="U37" s="1613"/>
      <c r="V37" s="1613" t="s">
        <v>1382</v>
      </c>
      <c r="W37" s="1613"/>
      <c r="X37" s="1614"/>
      <c r="Y37" s="1614"/>
      <c r="Z37" s="1614"/>
      <c r="AA37" s="1614"/>
      <c r="AB37" s="1614"/>
      <c r="AC37" s="1614"/>
      <c r="AD37" s="1614"/>
      <c r="AE37" s="1614"/>
      <c r="AF37" s="1614"/>
      <c r="AG37" s="1614"/>
      <c r="AH37" s="1614"/>
      <c r="AI37" s="1614"/>
      <c r="AJ37" s="1614"/>
      <c r="AK37" s="1614"/>
      <c r="AL37" s="1614"/>
      <c r="AM37" s="1614"/>
      <c r="AN37" s="1615"/>
    </row>
    <row r="38" spans="2:40">
      <c r="B38" s="1634"/>
      <c r="C38" s="1625"/>
      <c r="D38" s="1625"/>
      <c r="E38" s="1625"/>
      <c r="F38" s="1625"/>
      <c r="G38" s="1625"/>
      <c r="H38" s="1625"/>
      <c r="I38" s="1625"/>
      <c r="J38" s="1625"/>
      <c r="K38" s="1625"/>
      <c r="L38" s="1625"/>
      <c r="M38" s="1629"/>
      <c r="N38" s="1630"/>
      <c r="O38" s="1639"/>
      <c r="P38" s="1639"/>
      <c r="Q38" s="1639"/>
      <c r="R38" s="1639"/>
      <c r="S38" s="1639"/>
      <c r="T38" s="1639"/>
      <c r="U38" s="1639"/>
      <c r="V38" s="1639"/>
      <c r="W38" s="1639"/>
      <c r="X38" s="1639"/>
      <c r="Y38" s="1639"/>
      <c r="Z38" s="1639"/>
      <c r="AA38" s="1639"/>
      <c r="AB38" s="1639"/>
      <c r="AC38" s="1639"/>
      <c r="AD38" s="1639"/>
      <c r="AE38" s="1630"/>
      <c r="AF38" s="1630"/>
      <c r="AG38" s="1630"/>
      <c r="AH38" s="1630"/>
      <c r="AI38" s="1630"/>
      <c r="AJ38" s="1639"/>
      <c r="AK38" s="1639"/>
      <c r="AL38" s="1639"/>
      <c r="AM38" s="1639"/>
      <c r="AN38" s="1640"/>
    </row>
    <row r="39" spans="2:40" ht="13.5" customHeight="1">
      <c r="B39" s="1632" t="s">
        <v>1388</v>
      </c>
      <c r="C39" s="1641" t="s">
        <v>86</v>
      </c>
      <c r="D39" s="1642"/>
      <c r="E39" s="1642"/>
      <c r="F39" s="1642"/>
      <c r="G39" s="1642"/>
      <c r="H39" s="1642"/>
      <c r="I39" s="1642"/>
      <c r="J39" s="1642"/>
      <c r="K39" s="1642"/>
      <c r="L39" s="1642"/>
      <c r="M39" s="1642"/>
      <c r="N39" s="1707"/>
      <c r="O39" s="1709" t="s">
        <v>19</v>
      </c>
      <c r="P39" s="1710"/>
      <c r="Q39" s="1713" t="s">
        <v>532</v>
      </c>
      <c r="R39" s="1642"/>
      <c r="S39" s="1642"/>
      <c r="T39" s="1642"/>
      <c r="U39" s="1650"/>
      <c r="V39" s="1700" t="s">
        <v>20</v>
      </c>
      <c r="W39" s="1701"/>
      <c r="X39" s="1701"/>
      <c r="Y39" s="1701"/>
      <c r="Z39" s="1701"/>
      <c r="AA39" s="1701"/>
      <c r="AB39" s="1701"/>
      <c r="AC39" s="1701"/>
      <c r="AD39" s="1702"/>
      <c r="AE39" s="1641" t="s">
        <v>55</v>
      </c>
      <c r="AF39" s="1642"/>
      <c r="AG39" s="1642"/>
      <c r="AH39" s="1642"/>
      <c r="AI39" s="1642"/>
      <c r="AJ39" s="1641" t="s">
        <v>56</v>
      </c>
      <c r="AK39" s="1642"/>
      <c r="AL39" s="1642"/>
      <c r="AM39" s="1642"/>
      <c r="AN39" s="1650"/>
    </row>
    <row r="40" spans="2:40" ht="14.25" customHeight="1">
      <c r="B40" s="1633"/>
      <c r="C40" s="1657"/>
      <c r="D40" s="1658"/>
      <c r="E40" s="1658"/>
      <c r="F40" s="1658"/>
      <c r="G40" s="1658"/>
      <c r="H40" s="1658"/>
      <c r="I40" s="1658"/>
      <c r="J40" s="1658"/>
      <c r="K40" s="1658"/>
      <c r="L40" s="1658"/>
      <c r="M40" s="1658"/>
      <c r="N40" s="1708"/>
      <c r="O40" s="1711"/>
      <c r="P40" s="1712"/>
      <c r="Q40" s="1651" t="s">
        <v>31</v>
      </c>
      <c r="R40" s="1652"/>
      <c r="S40" s="1652"/>
      <c r="T40" s="1652"/>
      <c r="U40" s="1653"/>
      <c r="V40" s="1654"/>
      <c r="W40" s="1655"/>
      <c r="X40" s="1655"/>
      <c r="Y40" s="1655"/>
      <c r="Z40" s="1655"/>
      <c r="AA40" s="1655"/>
      <c r="AB40" s="1655"/>
      <c r="AC40" s="1655"/>
      <c r="AD40" s="1656"/>
      <c r="AE40" s="1657" t="s">
        <v>31</v>
      </c>
      <c r="AF40" s="1658"/>
      <c r="AG40" s="1658"/>
      <c r="AH40" s="1658"/>
      <c r="AI40" s="1658"/>
      <c r="AJ40" s="1659" t="s">
        <v>32</v>
      </c>
      <c r="AK40" s="1652"/>
      <c r="AL40" s="1652"/>
      <c r="AM40" s="1652"/>
      <c r="AN40" s="1653"/>
    </row>
    <row r="41" spans="2:40" ht="14.25" customHeight="1">
      <c r="B41" s="1633"/>
      <c r="C41" s="1588" t="s">
        <v>1389</v>
      </c>
      <c r="E41" s="1645" t="s">
        <v>2</v>
      </c>
      <c r="F41" s="1645"/>
      <c r="G41" s="1645"/>
      <c r="H41" s="1645"/>
      <c r="I41" s="1645"/>
      <c r="J41" s="1645"/>
      <c r="K41" s="1645"/>
      <c r="L41" s="1645"/>
      <c r="M41" s="1645"/>
      <c r="N41" s="1647"/>
      <c r="O41" s="1648"/>
      <c r="P41" s="1649"/>
      <c r="Q41" s="1648"/>
      <c r="R41" s="1618"/>
      <c r="S41" s="1618"/>
      <c r="T41" s="1618"/>
      <c r="U41" s="1619"/>
      <c r="V41" t="s">
        <v>121</v>
      </c>
      <c r="W41" s="1643" t="s">
        <v>1390</v>
      </c>
      <c r="X41" s="1643"/>
      <c r="Y41" t="s">
        <v>121</v>
      </c>
      <c r="Z41" s="1643" t="s">
        <v>533</v>
      </c>
      <c r="AA41" s="1643"/>
      <c r="AB41" t="s">
        <v>121</v>
      </c>
      <c r="AC41" s="1643" t="s">
        <v>534</v>
      </c>
      <c r="AD41" s="1644"/>
      <c r="AE41" s="1580"/>
      <c r="AF41" s="1581"/>
      <c r="AG41" s="1581"/>
      <c r="AH41" s="1581"/>
      <c r="AI41" s="1582"/>
      <c r="AJ41" s="1622"/>
      <c r="AK41" s="1623"/>
      <c r="AL41" s="1623"/>
      <c r="AM41" s="1623"/>
      <c r="AN41" s="1624"/>
    </row>
    <row r="42" spans="2:40" ht="14.25" customHeight="1">
      <c r="B42" s="1633"/>
      <c r="C42" s="1588"/>
      <c r="E42" s="1645" t="s">
        <v>3</v>
      </c>
      <c r="F42" s="1646"/>
      <c r="G42" s="1646"/>
      <c r="H42" s="1646"/>
      <c r="I42" s="1646"/>
      <c r="J42" s="1646"/>
      <c r="K42" s="1646"/>
      <c r="L42" s="1646"/>
      <c r="M42" s="1646"/>
      <c r="N42" s="1647"/>
      <c r="O42" s="1648"/>
      <c r="P42" s="1649"/>
      <c r="Q42" s="1648"/>
      <c r="R42" s="1618"/>
      <c r="S42" s="1618"/>
      <c r="T42" s="1618"/>
      <c r="U42" s="1619"/>
      <c r="V42" t="s">
        <v>121</v>
      </c>
      <c r="W42" s="1643" t="s">
        <v>1390</v>
      </c>
      <c r="X42" s="1643"/>
      <c r="Y42" t="s">
        <v>121</v>
      </c>
      <c r="Z42" s="1643" t="s">
        <v>533</v>
      </c>
      <c r="AA42" s="1643"/>
      <c r="AB42" t="s">
        <v>121</v>
      </c>
      <c r="AC42" s="1643" t="s">
        <v>534</v>
      </c>
      <c r="AD42" s="1644"/>
      <c r="AE42" s="1580"/>
      <c r="AF42" s="1581"/>
      <c r="AG42" s="1581"/>
      <c r="AH42" s="1581"/>
      <c r="AI42" s="1582"/>
      <c r="AJ42" s="1622"/>
      <c r="AK42" s="1623"/>
      <c r="AL42" s="1623"/>
      <c r="AM42" s="1623"/>
      <c r="AN42" s="1624"/>
    </row>
    <row r="43" spans="2:40" ht="14.25" customHeight="1">
      <c r="B43" s="1633"/>
      <c r="C43" s="1588"/>
      <c r="E43" s="1645" t="s">
        <v>535</v>
      </c>
      <c r="F43" s="1646"/>
      <c r="G43" s="1646"/>
      <c r="H43" s="1646"/>
      <c r="I43" s="1646"/>
      <c r="J43" s="1646"/>
      <c r="K43" s="1646"/>
      <c r="L43" s="1646"/>
      <c r="M43" s="1646"/>
      <c r="N43" s="1647"/>
      <c r="O43" s="1648"/>
      <c r="P43" s="1649"/>
      <c r="Q43" s="1648"/>
      <c r="R43" s="1618"/>
      <c r="S43" s="1618"/>
      <c r="T43" s="1618"/>
      <c r="U43" s="1619"/>
      <c r="V43" t="s">
        <v>121</v>
      </c>
      <c r="W43" s="1643" t="s">
        <v>1390</v>
      </c>
      <c r="X43" s="1643"/>
      <c r="Y43" t="s">
        <v>121</v>
      </c>
      <c r="Z43" s="1643" t="s">
        <v>533</v>
      </c>
      <c r="AA43" s="1643"/>
      <c r="AB43" t="s">
        <v>121</v>
      </c>
      <c r="AC43" s="1643" t="s">
        <v>534</v>
      </c>
      <c r="AD43" s="1644"/>
      <c r="AE43" s="1580"/>
      <c r="AF43" s="1581"/>
      <c r="AG43" s="1581"/>
      <c r="AH43" s="1581"/>
      <c r="AI43" s="1582"/>
      <c r="AJ43" s="1622"/>
      <c r="AK43" s="1623"/>
      <c r="AL43" s="1623"/>
      <c r="AM43" s="1623"/>
      <c r="AN43" s="1624"/>
    </row>
    <row r="44" spans="2:40" ht="14.25" customHeight="1">
      <c r="B44" s="1633"/>
      <c r="C44" s="1588"/>
      <c r="E44" s="1645" t="s">
        <v>489</v>
      </c>
      <c r="F44" s="1646"/>
      <c r="G44" s="1646"/>
      <c r="H44" s="1646"/>
      <c r="I44" s="1646"/>
      <c r="J44" s="1646"/>
      <c r="K44" s="1646"/>
      <c r="L44" s="1646"/>
      <c r="M44" s="1646"/>
      <c r="N44" s="1647"/>
      <c r="O44" s="1648"/>
      <c r="P44" s="1649"/>
      <c r="Q44" s="1648"/>
      <c r="R44" s="1618"/>
      <c r="S44" s="1618"/>
      <c r="T44" s="1618"/>
      <c r="U44" s="1619"/>
      <c r="V44" t="s">
        <v>121</v>
      </c>
      <c r="W44" s="1643" t="s">
        <v>1390</v>
      </c>
      <c r="X44" s="1643"/>
      <c r="Y44" t="s">
        <v>121</v>
      </c>
      <c r="Z44" s="1643" t="s">
        <v>533</v>
      </c>
      <c r="AA44" s="1643"/>
      <c r="AB44" t="s">
        <v>121</v>
      </c>
      <c r="AC44" s="1643" t="s">
        <v>534</v>
      </c>
      <c r="AD44" s="1644"/>
      <c r="AE44" s="1580"/>
      <c r="AF44" s="1581"/>
      <c r="AG44" s="1581"/>
      <c r="AH44" s="1581"/>
      <c r="AI44" s="1582"/>
      <c r="AJ44" s="1622"/>
      <c r="AK44" s="1623"/>
      <c r="AL44" s="1623"/>
      <c r="AM44" s="1623"/>
      <c r="AN44" s="1624"/>
    </row>
    <row r="45" spans="2:40" ht="14.25" customHeight="1">
      <c r="B45" s="1633"/>
      <c r="C45" s="1588"/>
      <c r="E45" s="1645" t="s">
        <v>536</v>
      </c>
      <c r="F45" s="1646"/>
      <c r="G45" s="1646"/>
      <c r="H45" s="1646"/>
      <c r="I45" s="1646"/>
      <c r="J45" s="1646"/>
      <c r="K45" s="1646"/>
      <c r="L45" s="1646"/>
      <c r="M45" s="1646"/>
      <c r="N45" s="1647"/>
      <c r="O45" s="1648"/>
      <c r="P45" s="1649"/>
      <c r="Q45" s="1648"/>
      <c r="R45" s="1618"/>
      <c r="S45" s="1618"/>
      <c r="T45" s="1618"/>
      <c r="U45" s="1619"/>
      <c r="V45" t="s">
        <v>121</v>
      </c>
      <c r="W45" s="1643" t="s">
        <v>1390</v>
      </c>
      <c r="X45" s="1643"/>
      <c r="Y45" t="s">
        <v>121</v>
      </c>
      <c r="Z45" s="1643" t="s">
        <v>533</v>
      </c>
      <c r="AA45" s="1643"/>
      <c r="AB45" t="s">
        <v>121</v>
      </c>
      <c r="AC45" s="1643" t="s">
        <v>534</v>
      </c>
      <c r="AD45" s="1644"/>
      <c r="AE45" s="1580"/>
      <c r="AF45" s="1581"/>
      <c r="AG45" s="1581"/>
      <c r="AH45" s="1581"/>
      <c r="AI45" s="1582"/>
      <c r="AJ45" s="1622"/>
      <c r="AK45" s="1623"/>
      <c r="AL45" s="1623"/>
      <c r="AM45" s="1623"/>
      <c r="AN45" s="1624"/>
    </row>
    <row r="46" spans="2:40" ht="14.25" customHeight="1">
      <c r="B46" s="1633"/>
      <c r="C46" s="1588"/>
      <c r="E46" s="1645" t="s">
        <v>4</v>
      </c>
      <c r="F46" s="1646"/>
      <c r="G46" s="1646"/>
      <c r="H46" s="1646"/>
      <c r="I46" s="1646"/>
      <c r="J46" s="1646"/>
      <c r="K46" s="1646"/>
      <c r="L46" s="1646"/>
      <c r="M46" s="1646"/>
      <c r="N46" s="1647"/>
      <c r="O46" s="1648"/>
      <c r="P46" s="1649"/>
      <c r="Q46" s="1648"/>
      <c r="R46" s="1618"/>
      <c r="S46" s="1618"/>
      <c r="T46" s="1618"/>
      <c r="U46" s="1619"/>
      <c r="V46" t="s">
        <v>121</v>
      </c>
      <c r="W46" s="1643" t="s">
        <v>1390</v>
      </c>
      <c r="X46" s="1643"/>
      <c r="Y46" t="s">
        <v>121</v>
      </c>
      <c r="Z46" s="1643" t="s">
        <v>533</v>
      </c>
      <c r="AA46" s="1643"/>
      <c r="AB46" t="s">
        <v>121</v>
      </c>
      <c r="AC46" s="1643" t="s">
        <v>534</v>
      </c>
      <c r="AD46" s="1644"/>
      <c r="AE46" s="1580"/>
      <c r="AF46" s="1581"/>
      <c r="AG46" s="1581"/>
      <c r="AH46" s="1581"/>
      <c r="AI46" s="1582"/>
      <c r="AJ46" s="1622"/>
      <c r="AK46" s="1623"/>
      <c r="AL46" s="1623"/>
      <c r="AM46" s="1623"/>
      <c r="AN46" s="1624"/>
    </row>
    <row r="47" spans="2:40" ht="14.25" customHeight="1">
      <c r="B47" s="1633"/>
      <c r="C47" s="1588"/>
      <c r="E47" s="1645" t="s">
        <v>1391</v>
      </c>
      <c r="F47" s="1646"/>
      <c r="G47" s="1646"/>
      <c r="H47" s="1646"/>
      <c r="I47" s="1646"/>
      <c r="J47" s="1646"/>
      <c r="K47" s="1646"/>
      <c r="L47" s="1646"/>
      <c r="M47" s="1646"/>
      <c r="N47" s="1647"/>
      <c r="O47" s="1648"/>
      <c r="P47" s="1649"/>
      <c r="Q47" s="1648"/>
      <c r="R47" s="1618"/>
      <c r="S47" s="1618"/>
      <c r="T47" s="1618"/>
      <c r="U47" s="1619"/>
      <c r="V47" t="s">
        <v>121</v>
      </c>
      <c r="W47" s="1643" t="s">
        <v>1390</v>
      </c>
      <c r="X47" s="1643"/>
      <c r="Y47" t="s">
        <v>121</v>
      </c>
      <c r="Z47" s="1643" t="s">
        <v>533</v>
      </c>
      <c r="AA47" s="1643"/>
      <c r="AB47" t="s">
        <v>121</v>
      </c>
      <c r="AC47" s="1643" t="s">
        <v>534</v>
      </c>
      <c r="AD47" s="1644"/>
      <c r="AE47" s="1580"/>
      <c r="AF47" s="1581"/>
      <c r="AG47" s="1581"/>
      <c r="AH47" s="1581"/>
      <c r="AI47" s="1582"/>
      <c r="AJ47" s="1622"/>
      <c r="AK47" s="1623"/>
      <c r="AL47" s="1623"/>
      <c r="AM47" s="1623"/>
      <c r="AN47" s="1624"/>
    </row>
    <row r="48" spans="2:40" ht="14.25" customHeight="1">
      <c r="B48" s="1633"/>
      <c r="C48" s="1588"/>
      <c r="E48" s="1645" t="s">
        <v>6</v>
      </c>
      <c r="F48" s="1646"/>
      <c r="G48" s="1646"/>
      <c r="H48" s="1646"/>
      <c r="I48" s="1646"/>
      <c r="J48" s="1646"/>
      <c r="K48" s="1646"/>
      <c r="L48" s="1646"/>
      <c r="M48" s="1646"/>
      <c r="N48" s="1647"/>
      <c r="O48" s="1648"/>
      <c r="P48" s="1649"/>
      <c r="Q48" s="1648"/>
      <c r="R48" s="1618"/>
      <c r="S48" s="1618"/>
      <c r="T48" s="1618"/>
      <c r="U48" s="1619"/>
      <c r="V48" t="s">
        <v>121</v>
      </c>
      <c r="W48" s="1643" t="s">
        <v>1390</v>
      </c>
      <c r="X48" s="1643"/>
      <c r="Y48" t="s">
        <v>121</v>
      </c>
      <c r="Z48" s="1643" t="s">
        <v>533</v>
      </c>
      <c r="AA48" s="1643"/>
      <c r="AB48" t="s">
        <v>121</v>
      </c>
      <c r="AC48" s="1643" t="s">
        <v>534</v>
      </c>
      <c r="AD48" s="1644"/>
      <c r="AE48" s="1580"/>
      <c r="AF48" s="1581"/>
      <c r="AG48" s="1581"/>
      <c r="AH48" s="1581"/>
      <c r="AI48" s="1582"/>
      <c r="AJ48" s="1622"/>
      <c r="AK48" s="1623"/>
      <c r="AL48" s="1623"/>
      <c r="AM48" s="1623"/>
      <c r="AN48" s="1624"/>
    </row>
    <row r="49" spans="2:40" ht="14.25" customHeight="1">
      <c r="B49" s="1633"/>
      <c r="C49" s="1588"/>
      <c r="E49" s="1645" t="s">
        <v>508</v>
      </c>
      <c r="F49" s="1646"/>
      <c r="G49" s="1646"/>
      <c r="H49" s="1646"/>
      <c r="I49" s="1646"/>
      <c r="J49" s="1646"/>
      <c r="K49" s="1646"/>
      <c r="L49" s="1646"/>
      <c r="M49" s="1646"/>
      <c r="N49" s="1647"/>
      <c r="O49" s="1648"/>
      <c r="P49" s="1649"/>
      <c r="Q49" s="1648"/>
      <c r="R49" s="1618"/>
      <c r="S49" s="1618"/>
      <c r="T49" s="1618"/>
      <c r="U49" s="1619"/>
      <c r="V49" t="s">
        <v>121</v>
      </c>
      <c r="W49" s="1643" t="s">
        <v>1390</v>
      </c>
      <c r="X49" s="1643"/>
      <c r="Y49" t="s">
        <v>121</v>
      </c>
      <c r="Z49" s="1643" t="s">
        <v>533</v>
      </c>
      <c r="AA49" s="1643"/>
      <c r="AB49" t="s">
        <v>121</v>
      </c>
      <c r="AC49" s="1643" t="s">
        <v>534</v>
      </c>
      <c r="AD49" s="1644"/>
      <c r="AE49" s="1580"/>
      <c r="AF49" s="1581"/>
      <c r="AG49" s="1581"/>
      <c r="AH49" s="1581"/>
      <c r="AI49" s="1582"/>
      <c r="AJ49" s="1622"/>
      <c r="AK49" s="1623"/>
      <c r="AL49" s="1623"/>
      <c r="AM49" s="1623"/>
      <c r="AN49" s="1624"/>
    </row>
    <row r="50" spans="2:40" ht="14.25" customHeight="1">
      <c r="B50" s="1633"/>
      <c r="C50" s="1588"/>
      <c r="E50" s="1645" t="s">
        <v>537</v>
      </c>
      <c r="F50" s="1646"/>
      <c r="G50" s="1646"/>
      <c r="H50" s="1646"/>
      <c r="I50" s="1646"/>
      <c r="J50" s="1646"/>
      <c r="K50" s="1646"/>
      <c r="L50" s="1646"/>
      <c r="M50" s="1646"/>
      <c r="N50" s="1647"/>
      <c r="O50" s="1648"/>
      <c r="P50" s="1649"/>
      <c r="Q50" s="1648"/>
      <c r="R50" s="1618"/>
      <c r="S50" s="1618"/>
      <c r="T50" s="1618"/>
      <c r="U50" s="1619"/>
      <c r="V50" t="s">
        <v>121</v>
      </c>
      <c r="W50" s="1643" t="s">
        <v>1390</v>
      </c>
      <c r="X50" s="1643"/>
      <c r="Y50" t="s">
        <v>121</v>
      </c>
      <c r="Z50" s="1643" t="s">
        <v>533</v>
      </c>
      <c r="AA50" s="1643"/>
      <c r="AB50" t="s">
        <v>121</v>
      </c>
      <c r="AC50" s="1643" t="s">
        <v>534</v>
      </c>
      <c r="AD50" s="1644"/>
      <c r="AE50" s="1580"/>
      <c r="AF50" s="1581"/>
      <c r="AG50" s="1581"/>
      <c r="AH50" s="1581"/>
      <c r="AI50" s="1582"/>
      <c r="AJ50" s="1622"/>
      <c r="AK50" s="1623"/>
      <c r="AL50" s="1623"/>
      <c r="AM50" s="1623"/>
      <c r="AN50" s="1624"/>
    </row>
    <row r="51" spans="2:40" ht="14.25" customHeight="1" thickBot="1">
      <c r="B51" s="1633"/>
      <c r="C51" s="1588"/>
      <c r="E51" s="1681" t="s">
        <v>5</v>
      </c>
      <c r="F51" s="1682"/>
      <c r="G51" s="1682"/>
      <c r="H51" s="1682"/>
      <c r="I51" s="1682"/>
      <c r="J51" s="1682"/>
      <c r="K51" s="1682"/>
      <c r="L51" s="1682"/>
      <c r="M51" s="1682"/>
      <c r="N51" s="1683"/>
      <c r="O51" s="1684"/>
      <c r="P51" s="1685"/>
      <c r="Q51" s="1684"/>
      <c r="R51" s="1686"/>
      <c r="S51" s="1686"/>
      <c r="T51" s="1686"/>
      <c r="U51" s="1687"/>
      <c r="V51" t="s">
        <v>121</v>
      </c>
      <c r="W51" s="1688" t="s">
        <v>1390</v>
      </c>
      <c r="X51" s="1688"/>
      <c r="Y51" t="s">
        <v>121</v>
      </c>
      <c r="Z51" s="1688" t="s">
        <v>533</v>
      </c>
      <c r="AA51" s="1688"/>
      <c r="AB51" t="s">
        <v>121</v>
      </c>
      <c r="AC51" s="1688" t="s">
        <v>534</v>
      </c>
      <c r="AD51" s="1689"/>
      <c r="AE51" s="1660"/>
      <c r="AF51" s="1661"/>
      <c r="AG51" s="1661"/>
      <c r="AH51" s="1661"/>
      <c r="AI51" s="1662"/>
      <c r="AJ51" s="1663"/>
      <c r="AK51" s="1664"/>
      <c r="AL51" s="1664"/>
      <c r="AM51" s="1664"/>
      <c r="AN51" s="1665"/>
    </row>
    <row r="52" spans="2:40" ht="14.25" customHeight="1" thickTop="1">
      <c r="B52" s="1633"/>
      <c r="C52" s="1588"/>
      <c r="E52" s="1666" t="s">
        <v>72</v>
      </c>
      <c r="F52" s="1667"/>
      <c r="G52" s="1667"/>
      <c r="H52" s="1667"/>
      <c r="I52" s="1667"/>
      <c r="J52" s="1667"/>
      <c r="K52" s="1667"/>
      <c r="L52" s="1667"/>
      <c r="M52" s="1667"/>
      <c r="N52" s="1668"/>
      <c r="O52" s="1669"/>
      <c r="P52" s="1670"/>
      <c r="Q52" s="1669"/>
      <c r="R52" s="1671"/>
      <c r="S52" s="1671"/>
      <c r="T52" s="1671"/>
      <c r="U52" s="1672"/>
      <c r="V52" t="s">
        <v>121</v>
      </c>
      <c r="W52" s="1673" t="s">
        <v>1390</v>
      </c>
      <c r="X52" s="1673"/>
      <c r="Y52" t="s">
        <v>121</v>
      </c>
      <c r="Z52" s="1673" t="s">
        <v>533</v>
      </c>
      <c r="AA52" s="1673"/>
      <c r="AB52" t="s">
        <v>121</v>
      </c>
      <c r="AC52" s="1673" t="s">
        <v>534</v>
      </c>
      <c r="AD52" s="1674"/>
      <c r="AE52" s="1675"/>
      <c r="AF52" s="1676"/>
      <c r="AG52" s="1676"/>
      <c r="AH52" s="1676"/>
      <c r="AI52" s="1677"/>
      <c r="AJ52" s="1678"/>
      <c r="AK52" s="1679"/>
      <c r="AL52" s="1679"/>
      <c r="AM52" s="1679"/>
      <c r="AN52" s="1680"/>
    </row>
    <row r="53" spans="2:40" ht="14.25" customHeight="1">
      <c r="B53" s="1633"/>
      <c r="C53" s="1588"/>
      <c r="E53" s="1690" t="s">
        <v>538</v>
      </c>
      <c r="F53" s="1691"/>
      <c r="G53" s="1691"/>
      <c r="H53" s="1691"/>
      <c r="I53" s="1691"/>
      <c r="J53" s="1691"/>
      <c r="K53" s="1691"/>
      <c r="L53" s="1691"/>
      <c r="M53" s="1691"/>
      <c r="N53" s="1692"/>
      <c r="O53" s="1648"/>
      <c r="P53" s="1649"/>
      <c r="Q53" s="1648"/>
      <c r="R53" s="1618"/>
      <c r="S53" s="1618"/>
      <c r="T53" s="1618"/>
      <c r="U53" s="1619"/>
      <c r="V53" t="s">
        <v>121</v>
      </c>
      <c r="W53" s="1643" t="s">
        <v>1390</v>
      </c>
      <c r="X53" s="1643"/>
      <c r="Y53" t="s">
        <v>121</v>
      </c>
      <c r="Z53" s="1643" t="s">
        <v>533</v>
      </c>
      <c r="AA53" s="1643"/>
      <c r="AB53" t="s">
        <v>121</v>
      </c>
      <c r="AC53" s="1643" t="s">
        <v>534</v>
      </c>
      <c r="AD53" s="1644"/>
      <c r="AE53" s="1580"/>
      <c r="AF53" s="1581"/>
      <c r="AG53" s="1581"/>
      <c r="AH53" s="1581"/>
      <c r="AI53" s="1582"/>
      <c r="AJ53" s="1622"/>
      <c r="AK53" s="1623"/>
      <c r="AL53" s="1623"/>
      <c r="AM53" s="1623"/>
      <c r="AN53" s="1624"/>
    </row>
    <row r="54" spans="2:40" ht="14.25" customHeight="1">
      <c r="B54" s="1633"/>
      <c r="C54" s="1588"/>
      <c r="E54" s="1690" t="s">
        <v>539</v>
      </c>
      <c r="F54" s="1691"/>
      <c r="G54" s="1691"/>
      <c r="H54" s="1691"/>
      <c r="I54" s="1691"/>
      <c r="J54" s="1691"/>
      <c r="K54" s="1691"/>
      <c r="L54" s="1691"/>
      <c r="M54" s="1691"/>
      <c r="N54" s="1692"/>
      <c r="O54" s="1648"/>
      <c r="P54" s="1649"/>
      <c r="Q54" s="1648"/>
      <c r="R54" s="1618"/>
      <c r="S54" s="1618"/>
      <c r="T54" s="1618"/>
      <c r="U54" s="1619"/>
      <c r="V54" t="s">
        <v>121</v>
      </c>
      <c r="W54" s="1643" t="s">
        <v>1390</v>
      </c>
      <c r="X54" s="1643"/>
      <c r="Y54" t="s">
        <v>121</v>
      </c>
      <c r="Z54" s="1643" t="s">
        <v>533</v>
      </c>
      <c r="AA54" s="1643"/>
      <c r="AB54" t="s">
        <v>121</v>
      </c>
      <c r="AC54" s="1643" t="s">
        <v>534</v>
      </c>
      <c r="AD54" s="1644"/>
      <c r="AE54" s="1580"/>
      <c r="AF54" s="1581"/>
      <c r="AG54" s="1581"/>
      <c r="AH54" s="1581"/>
      <c r="AI54" s="1582"/>
      <c r="AJ54" s="1622"/>
      <c r="AK54" s="1623"/>
      <c r="AL54" s="1623"/>
      <c r="AM54" s="1623"/>
      <c r="AN54" s="1624"/>
    </row>
    <row r="55" spans="2:40" ht="14.25" customHeight="1">
      <c r="B55" s="1633"/>
      <c r="C55" s="1588"/>
      <c r="E55" s="1690" t="s">
        <v>540</v>
      </c>
      <c r="F55" s="1691"/>
      <c r="G55" s="1691"/>
      <c r="H55" s="1691"/>
      <c r="I55" s="1691"/>
      <c r="J55" s="1691"/>
      <c r="K55" s="1691"/>
      <c r="L55" s="1691"/>
      <c r="M55" s="1691"/>
      <c r="N55" s="1692"/>
      <c r="O55" s="1648"/>
      <c r="P55" s="1649"/>
      <c r="Q55" s="1648"/>
      <c r="R55" s="1618"/>
      <c r="S55" s="1618"/>
      <c r="T55" s="1618"/>
      <c r="U55" s="1619"/>
      <c r="V55" t="s">
        <v>121</v>
      </c>
      <c r="W55" s="1643" t="s">
        <v>1390</v>
      </c>
      <c r="X55" s="1643"/>
      <c r="Y55" t="s">
        <v>121</v>
      </c>
      <c r="Z55" s="1643" t="s">
        <v>533</v>
      </c>
      <c r="AA55" s="1643"/>
      <c r="AB55" t="s">
        <v>121</v>
      </c>
      <c r="AC55" s="1643" t="s">
        <v>534</v>
      </c>
      <c r="AD55" s="1644"/>
      <c r="AE55" s="1580"/>
      <c r="AF55" s="1581"/>
      <c r="AG55" s="1581"/>
      <c r="AH55" s="1581"/>
      <c r="AI55" s="1582"/>
      <c r="AJ55" s="1622"/>
      <c r="AK55" s="1623"/>
      <c r="AL55" s="1623"/>
      <c r="AM55" s="1623"/>
      <c r="AN55" s="1624"/>
    </row>
    <row r="56" spans="2:40" ht="14.25" customHeight="1">
      <c r="B56" s="1633"/>
      <c r="C56" s="1588"/>
      <c r="E56" s="1690" t="s">
        <v>541</v>
      </c>
      <c r="F56" s="1691"/>
      <c r="G56" s="1691"/>
      <c r="H56" s="1691"/>
      <c r="I56" s="1691"/>
      <c r="J56" s="1691"/>
      <c r="K56" s="1691"/>
      <c r="L56" s="1691"/>
      <c r="M56" s="1691"/>
      <c r="N56" s="1692"/>
      <c r="O56" s="1648"/>
      <c r="P56" s="1649"/>
      <c r="Q56" s="1648"/>
      <c r="R56" s="1618"/>
      <c r="S56" s="1618"/>
      <c r="T56" s="1618"/>
      <c r="U56" s="1619"/>
      <c r="V56" t="s">
        <v>121</v>
      </c>
      <c r="W56" s="1643" t="s">
        <v>1390</v>
      </c>
      <c r="X56" s="1643"/>
      <c r="Y56" t="s">
        <v>121</v>
      </c>
      <c r="Z56" s="1643" t="s">
        <v>533</v>
      </c>
      <c r="AA56" s="1643"/>
      <c r="AB56" t="s">
        <v>121</v>
      </c>
      <c r="AC56" s="1643" t="s">
        <v>534</v>
      </c>
      <c r="AD56" s="1644"/>
      <c r="AE56" s="1580"/>
      <c r="AF56" s="1581"/>
      <c r="AG56" s="1581"/>
      <c r="AH56" s="1581"/>
      <c r="AI56" s="1582"/>
      <c r="AJ56" s="1622"/>
      <c r="AK56" s="1623"/>
      <c r="AL56" s="1623"/>
      <c r="AM56" s="1623"/>
      <c r="AN56" s="1624"/>
    </row>
    <row r="57" spans="2:40" ht="14.25" customHeight="1">
      <c r="B57" s="1633"/>
      <c r="C57" s="1588"/>
      <c r="E57" s="1690" t="s">
        <v>74</v>
      </c>
      <c r="F57" s="1691"/>
      <c r="G57" s="1691"/>
      <c r="H57" s="1691"/>
      <c r="I57" s="1691"/>
      <c r="J57" s="1691"/>
      <c r="K57" s="1691"/>
      <c r="L57" s="1691"/>
      <c r="M57" s="1691"/>
      <c r="N57" s="1692"/>
      <c r="O57" s="1648"/>
      <c r="P57" s="1649"/>
      <c r="Q57" s="1648"/>
      <c r="R57" s="1618"/>
      <c r="S57" s="1618"/>
      <c r="T57" s="1618"/>
      <c r="U57" s="1619"/>
      <c r="V57" t="s">
        <v>121</v>
      </c>
      <c r="W57" s="1643" t="s">
        <v>1390</v>
      </c>
      <c r="X57" s="1643"/>
      <c r="Y57" t="s">
        <v>121</v>
      </c>
      <c r="Z57" s="1643" t="s">
        <v>533</v>
      </c>
      <c r="AA57" s="1643"/>
      <c r="AB57" t="s">
        <v>121</v>
      </c>
      <c r="AC57" s="1643" t="s">
        <v>534</v>
      </c>
      <c r="AD57" s="1644"/>
      <c r="AE57" s="1580"/>
      <c r="AF57" s="1581"/>
      <c r="AG57" s="1581"/>
      <c r="AH57" s="1581"/>
      <c r="AI57" s="1582"/>
      <c r="AJ57" s="1622"/>
      <c r="AK57" s="1623"/>
      <c r="AL57" s="1623"/>
      <c r="AM57" s="1623"/>
      <c r="AN57" s="1624"/>
    </row>
    <row r="58" spans="2:40" ht="14.25" customHeight="1">
      <c r="B58" s="1633"/>
      <c r="C58" s="1588"/>
      <c r="E58" s="1690" t="s">
        <v>542</v>
      </c>
      <c r="F58" s="1691"/>
      <c r="G58" s="1691"/>
      <c r="H58" s="1691"/>
      <c r="I58" s="1691"/>
      <c r="J58" s="1691"/>
      <c r="K58" s="1691"/>
      <c r="L58" s="1691"/>
      <c r="M58" s="1691"/>
      <c r="N58" s="1692"/>
      <c r="O58" s="1648"/>
      <c r="P58" s="1649"/>
      <c r="Q58" s="1648"/>
      <c r="R58" s="1618"/>
      <c r="S58" s="1618"/>
      <c r="T58" s="1618"/>
      <c r="U58" s="1619"/>
      <c r="V58" t="s">
        <v>121</v>
      </c>
      <c r="W58" s="1643" t="s">
        <v>1390</v>
      </c>
      <c r="X58" s="1643"/>
      <c r="Y58" t="s">
        <v>121</v>
      </c>
      <c r="Z58" s="1643" t="s">
        <v>533</v>
      </c>
      <c r="AA58" s="1643"/>
      <c r="AB58" t="s">
        <v>121</v>
      </c>
      <c r="AC58" s="1643" t="s">
        <v>534</v>
      </c>
      <c r="AD58" s="1644"/>
      <c r="AE58" s="1580"/>
      <c r="AF58" s="1581"/>
      <c r="AG58" s="1581"/>
      <c r="AH58" s="1581"/>
      <c r="AI58" s="1582"/>
      <c r="AJ58" s="1622"/>
      <c r="AK58" s="1623"/>
      <c r="AL58" s="1623"/>
      <c r="AM58" s="1623"/>
      <c r="AN58" s="1624"/>
    </row>
    <row r="59" spans="2:40" ht="14.25" customHeight="1">
      <c r="B59" s="1633"/>
      <c r="C59" s="1588"/>
      <c r="E59" s="1690" t="s">
        <v>543</v>
      </c>
      <c r="F59" s="1691"/>
      <c r="G59" s="1691"/>
      <c r="H59" s="1691"/>
      <c r="I59" s="1691"/>
      <c r="J59" s="1691"/>
      <c r="K59" s="1691"/>
      <c r="L59" s="1691"/>
      <c r="M59" s="1691"/>
      <c r="N59" s="1692"/>
      <c r="O59" s="1648"/>
      <c r="P59" s="1649"/>
      <c r="Q59" s="1648"/>
      <c r="R59" s="1618"/>
      <c r="S59" s="1618"/>
      <c r="T59" s="1618"/>
      <c r="U59" s="1619"/>
      <c r="V59" t="s">
        <v>121</v>
      </c>
      <c r="W59" s="1643" t="s">
        <v>1390</v>
      </c>
      <c r="X59" s="1643"/>
      <c r="Y59" t="s">
        <v>121</v>
      </c>
      <c r="Z59" s="1643" t="s">
        <v>533</v>
      </c>
      <c r="AA59" s="1643"/>
      <c r="AB59" t="s">
        <v>121</v>
      </c>
      <c r="AC59" s="1643" t="s">
        <v>534</v>
      </c>
      <c r="AD59" s="1644"/>
      <c r="AE59" s="1580"/>
      <c r="AF59" s="1581"/>
      <c r="AG59" s="1581"/>
      <c r="AH59" s="1581"/>
      <c r="AI59" s="1582"/>
      <c r="AJ59" s="1622"/>
      <c r="AK59" s="1623"/>
      <c r="AL59" s="1623"/>
      <c r="AM59" s="1623"/>
      <c r="AN59" s="1624"/>
    </row>
    <row r="60" spans="2:40" ht="14.25" customHeight="1">
      <c r="B60" s="1633"/>
      <c r="C60" s="1589"/>
      <c r="E60" s="1690" t="s">
        <v>75</v>
      </c>
      <c r="F60" s="1691"/>
      <c r="G60" s="1691"/>
      <c r="H60" s="1691"/>
      <c r="I60" s="1691"/>
      <c r="J60" s="1691"/>
      <c r="K60" s="1691"/>
      <c r="L60" s="1691"/>
      <c r="M60" s="1691"/>
      <c r="N60" s="1692"/>
      <c r="O60" s="1648"/>
      <c r="P60" s="1649"/>
      <c r="Q60" s="1648"/>
      <c r="R60" s="1618"/>
      <c r="S60" s="1618"/>
      <c r="T60" s="1618"/>
      <c r="U60" s="1619"/>
      <c r="V60" t="s">
        <v>121</v>
      </c>
      <c r="W60" s="1643" t="s">
        <v>1390</v>
      </c>
      <c r="X60" s="1643"/>
      <c r="Y60" t="s">
        <v>121</v>
      </c>
      <c r="Z60" s="1643" t="s">
        <v>533</v>
      </c>
      <c r="AA60" s="1643"/>
      <c r="AB60" t="s">
        <v>121</v>
      </c>
      <c r="AC60" s="1643" t="s">
        <v>534</v>
      </c>
      <c r="AD60" s="1644"/>
      <c r="AE60" s="1580"/>
      <c r="AF60" s="1581"/>
      <c r="AG60" s="1581"/>
      <c r="AH60" s="1581"/>
      <c r="AI60" s="1582"/>
      <c r="AJ60" s="1622"/>
      <c r="AK60" s="1623"/>
      <c r="AL60" s="1623"/>
      <c r="AM60" s="1623"/>
      <c r="AN60" s="1624"/>
    </row>
    <row r="61" spans="2:40" ht="14.25" customHeight="1">
      <c r="B61" s="1633"/>
      <c r="C61" s="1706" t="s">
        <v>1392</v>
      </c>
      <c r="E61" s="1645" t="s">
        <v>1393</v>
      </c>
      <c r="F61" s="1645"/>
      <c r="G61" s="1645"/>
      <c r="H61" s="1645"/>
      <c r="I61" s="1645"/>
      <c r="J61" s="1645"/>
      <c r="K61" s="1645"/>
      <c r="L61" s="1645"/>
      <c r="M61" s="1645"/>
      <c r="N61" s="1693"/>
      <c r="O61" s="1648"/>
      <c r="P61" s="1649"/>
      <c r="Q61" s="1648"/>
      <c r="R61" s="1618"/>
      <c r="S61" s="1618"/>
      <c r="T61" s="1618"/>
      <c r="U61" s="1619"/>
      <c r="V61" t="s">
        <v>121</v>
      </c>
      <c r="W61" s="1643" t="s">
        <v>1390</v>
      </c>
      <c r="X61" s="1643"/>
      <c r="Y61" t="s">
        <v>121</v>
      </c>
      <c r="Z61" s="1643" t="s">
        <v>533</v>
      </c>
      <c r="AA61" s="1643"/>
      <c r="AB61" t="s">
        <v>121</v>
      </c>
      <c r="AC61" s="1643" t="s">
        <v>534</v>
      </c>
      <c r="AD61" s="1644"/>
      <c r="AE61" s="1580"/>
      <c r="AF61" s="1581"/>
      <c r="AG61" s="1581"/>
      <c r="AH61" s="1581"/>
      <c r="AI61" s="1582"/>
      <c r="AJ61" s="1622"/>
      <c r="AK61" s="1623"/>
      <c r="AL61" s="1623"/>
      <c r="AM61" s="1623"/>
      <c r="AN61" s="1624"/>
    </row>
    <row r="62" spans="2:40" ht="14.25" customHeight="1">
      <c r="B62" s="1633"/>
      <c r="C62" s="1706"/>
      <c r="E62" s="1645" t="s">
        <v>514</v>
      </c>
      <c r="F62" s="1645"/>
      <c r="G62" s="1645"/>
      <c r="H62" s="1645"/>
      <c r="I62" s="1645"/>
      <c r="J62" s="1645"/>
      <c r="K62" s="1645"/>
      <c r="L62" s="1645"/>
      <c r="M62" s="1645"/>
      <c r="N62" s="1693"/>
      <c r="O62" s="1648"/>
      <c r="P62" s="1649"/>
      <c r="Q62" s="1648"/>
      <c r="R62" s="1618"/>
      <c r="S62" s="1618"/>
      <c r="T62" s="1618"/>
      <c r="U62" s="1619"/>
      <c r="V62" t="s">
        <v>121</v>
      </c>
      <c r="W62" s="1643" t="s">
        <v>1390</v>
      </c>
      <c r="X62" s="1643"/>
      <c r="Y62" t="s">
        <v>121</v>
      </c>
      <c r="Z62" s="1643" t="s">
        <v>533</v>
      </c>
      <c r="AA62" s="1643"/>
      <c r="AB62" t="s">
        <v>121</v>
      </c>
      <c r="AC62" s="1643" t="s">
        <v>534</v>
      </c>
      <c r="AD62" s="1644"/>
      <c r="AE62" s="1580"/>
      <c r="AF62" s="1581"/>
      <c r="AG62" s="1581"/>
      <c r="AH62" s="1581"/>
      <c r="AI62" s="1582"/>
      <c r="AJ62" s="1622"/>
      <c r="AK62" s="1623"/>
      <c r="AL62" s="1623"/>
      <c r="AM62" s="1623"/>
      <c r="AN62" s="1624"/>
    </row>
    <row r="63" spans="2:40" ht="14.25" customHeight="1">
      <c r="B63" s="1634"/>
      <c r="C63" s="1706"/>
      <c r="E63" s="1645" t="s">
        <v>515</v>
      </c>
      <c r="F63" s="1645"/>
      <c r="G63" s="1645"/>
      <c r="H63" s="1645"/>
      <c r="I63" s="1645"/>
      <c r="J63" s="1645"/>
      <c r="K63" s="1645"/>
      <c r="L63" s="1645"/>
      <c r="M63" s="1645"/>
      <c r="N63" s="1693"/>
      <c r="O63" s="1648"/>
      <c r="P63" s="1649"/>
      <c r="Q63" s="1648"/>
      <c r="R63" s="1618"/>
      <c r="S63" s="1618"/>
      <c r="T63" s="1618"/>
      <c r="U63" s="1619"/>
      <c r="V63" t="s">
        <v>121</v>
      </c>
      <c r="W63" s="1643" t="s">
        <v>1390</v>
      </c>
      <c r="X63" s="1643"/>
      <c r="Y63" t="s">
        <v>121</v>
      </c>
      <c r="Z63" s="1643" t="s">
        <v>533</v>
      </c>
      <c r="AA63" s="1643"/>
      <c r="AB63" t="s">
        <v>121</v>
      </c>
      <c r="AC63" s="1643" t="s">
        <v>534</v>
      </c>
      <c r="AD63" s="1644"/>
      <c r="AE63" s="1580"/>
      <c r="AF63" s="1581"/>
      <c r="AG63" s="1581"/>
      <c r="AH63" s="1581"/>
      <c r="AI63" s="1582"/>
      <c r="AJ63" s="1622"/>
      <c r="AK63" s="1623"/>
      <c r="AL63" s="1623"/>
      <c r="AM63" s="1623"/>
      <c r="AN63" s="1624"/>
    </row>
    <row r="64" spans="2:40" ht="14.25" customHeight="1">
      <c r="B64" s="1694" t="s">
        <v>21</v>
      </c>
      <c r="C64" s="1645"/>
      <c r="D64" s="1645"/>
      <c r="E64" s="1645"/>
      <c r="F64" s="1645"/>
      <c r="G64" s="1645"/>
      <c r="H64" s="1645"/>
      <c r="I64" s="1645"/>
      <c r="J64" s="1645"/>
      <c r="K64" s="1645"/>
      <c r="L64" s="1695"/>
      <c r="W64" s="1696"/>
      <c r="X64" s="1696"/>
      <c r="Y64" s="1696"/>
      <c r="Z64" s="1696"/>
      <c r="AA64" s="1696"/>
      <c r="AB64" s="1696"/>
      <c r="AC64" s="1696"/>
      <c r="AD64" s="1696"/>
      <c r="AE64" s="1696"/>
      <c r="AF64" s="1696"/>
      <c r="AG64" s="1696"/>
      <c r="AH64" s="1696"/>
      <c r="AI64" s="1696"/>
      <c r="AJ64" s="1696"/>
      <c r="AK64" s="1696"/>
      <c r="AL64" s="1696"/>
      <c r="AM64" s="1696"/>
      <c r="AN64" s="1696"/>
    </row>
    <row r="65" spans="2:40" ht="14.25" customHeight="1">
      <c r="B65" s="1697" t="s">
        <v>40</v>
      </c>
      <c r="C65" s="1698"/>
      <c r="D65" s="1698"/>
      <c r="E65" s="1698"/>
      <c r="F65" s="1698"/>
      <c r="G65" s="1698"/>
      <c r="H65" s="1698"/>
      <c r="I65" s="1698"/>
      <c r="J65" s="1698"/>
      <c r="K65" s="1698"/>
      <c r="L65" s="1698"/>
      <c r="M65" s="1698"/>
      <c r="N65" s="1698"/>
      <c r="O65" s="1699"/>
      <c r="W65" s="1696"/>
      <c r="X65" s="1696"/>
      <c r="Y65" s="1696"/>
      <c r="Z65" s="1696"/>
      <c r="AA65" s="1696"/>
      <c r="AB65" s="1696"/>
      <c r="AC65" s="1696"/>
      <c r="AD65" s="1696"/>
      <c r="AE65" s="1696"/>
      <c r="AF65" s="1696"/>
      <c r="AG65" s="1696"/>
      <c r="AH65" s="1696"/>
      <c r="AI65" s="1696"/>
      <c r="AJ65" s="1696"/>
      <c r="AK65" s="1696"/>
      <c r="AL65" s="1696"/>
      <c r="AM65" s="1696"/>
      <c r="AN65" s="1696"/>
    </row>
    <row r="66" spans="2:40" ht="14.25" customHeight="1">
      <c r="B66" s="1587" t="s">
        <v>22</v>
      </c>
      <c r="C66" s="1617" t="s">
        <v>87</v>
      </c>
      <c r="D66" s="1618"/>
      <c r="E66" s="1618"/>
      <c r="F66" s="1618"/>
      <c r="G66" s="1618"/>
      <c r="H66" s="1618"/>
      <c r="I66" s="1618"/>
      <c r="J66" s="1618"/>
      <c r="K66" s="1618"/>
      <c r="L66" s="1618"/>
      <c r="M66" s="1618"/>
      <c r="N66" s="1618"/>
      <c r="O66" s="1618"/>
      <c r="P66" s="1618"/>
      <c r="Q66" s="1618"/>
      <c r="R66" s="1618"/>
      <c r="S66" s="1618"/>
      <c r="T66" s="1618"/>
      <c r="U66" s="1619"/>
      <c r="V66" s="1617" t="s">
        <v>33</v>
      </c>
      <c r="W66" s="1618"/>
      <c r="X66" s="1618"/>
      <c r="Y66" s="1618"/>
      <c r="Z66" s="1618"/>
      <c r="AA66" s="1618"/>
      <c r="AB66" s="1618"/>
      <c r="AC66" s="1618"/>
      <c r="AD66" s="1618"/>
      <c r="AE66" s="1618"/>
      <c r="AF66" s="1618"/>
      <c r="AG66" s="1618"/>
      <c r="AH66" s="1618"/>
      <c r="AI66" s="1618"/>
      <c r="AJ66" s="1618"/>
      <c r="AK66" s="1618"/>
      <c r="AL66" s="1618"/>
      <c r="AM66" s="1618"/>
      <c r="AN66" s="1619"/>
    </row>
    <row r="67" spans="2:40">
      <c r="B67" s="1588"/>
      <c r="C67" s="1700"/>
      <c r="D67" s="1701"/>
      <c r="E67" s="1701"/>
      <c r="F67" s="1701"/>
      <c r="G67" s="1701"/>
      <c r="H67" s="1701"/>
      <c r="I67" s="1701"/>
      <c r="J67" s="1701"/>
      <c r="K67" s="1701"/>
      <c r="L67" s="1701"/>
      <c r="M67" s="1701"/>
      <c r="N67" s="1701"/>
      <c r="O67" s="1701"/>
      <c r="P67" s="1701"/>
      <c r="Q67" s="1701"/>
      <c r="R67" s="1701"/>
      <c r="S67" s="1701"/>
      <c r="T67" s="1701"/>
      <c r="U67" s="1702"/>
      <c r="V67" s="1700"/>
      <c r="W67" s="1701"/>
      <c r="X67" s="1701"/>
      <c r="Y67" s="1701"/>
      <c r="Z67" s="1701"/>
      <c r="AA67" s="1701"/>
      <c r="AB67" s="1701"/>
      <c r="AC67" s="1701"/>
      <c r="AD67" s="1701"/>
      <c r="AE67" s="1701"/>
      <c r="AF67" s="1701"/>
      <c r="AG67" s="1701"/>
      <c r="AH67" s="1701"/>
      <c r="AI67" s="1701"/>
      <c r="AJ67" s="1701"/>
      <c r="AK67" s="1701"/>
      <c r="AL67" s="1701"/>
      <c r="AM67" s="1701"/>
      <c r="AN67" s="1702"/>
    </row>
    <row r="68" spans="2:40">
      <c r="B68" s="1588"/>
      <c r="C68" s="1703"/>
      <c r="D68" s="1704"/>
      <c r="E68" s="1704"/>
      <c r="F68" s="1704"/>
      <c r="G68" s="1704"/>
      <c r="H68" s="1704"/>
      <c r="I68" s="1704"/>
      <c r="J68" s="1704"/>
      <c r="K68" s="1704"/>
      <c r="L68" s="1704"/>
      <c r="M68" s="1704"/>
      <c r="N68" s="1704"/>
      <c r="O68" s="1704"/>
      <c r="P68" s="1704"/>
      <c r="Q68" s="1704"/>
      <c r="R68" s="1704"/>
      <c r="S68" s="1704"/>
      <c r="T68" s="1704"/>
      <c r="U68" s="1705"/>
      <c r="V68" s="1703"/>
      <c r="W68" s="1704"/>
      <c r="X68" s="1704"/>
      <c r="Y68" s="1704"/>
      <c r="Z68" s="1704"/>
      <c r="AA68" s="1704"/>
      <c r="AB68" s="1704"/>
      <c r="AC68" s="1704"/>
      <c r="AD68" s="1704"/>
      <c r="AE68" s="1704"/>
      <c r="AF68" s="1704"/>
      <c r="AG68" s="1704"/>
      <c r="AH68" s="1704"/>
      <c r="AI68" s="1704"/>
      <c r="AJ68" s="1704"/>
      <c r="AK68" s="1704"/>
      <c r="AL68" s="1704"/>
      <c r="AM68" s="1704"/>
      <c r="AN68" s="1705"/>
    </row>
    <row r="69" spans="2:40">
      <c r="B69" s="1588"/>
      <c r="C69" s="1703"/>
      <c r="D69" s="1704"/>
      <c r="E69" s="1704"/>
      <c r="F69" s="1704"/>
      <c r="G69" s="1704"/>
      <c r="H69" s="1704"/>
      <c r="I69" s="1704"/>
      <c r="J69" s="1704"/>
      <c r="K69" s="1704"/>
      <c r="L69" s="1704"/>
      <c r="M69" s="1704"/>
      <c r="N69" s="1704"/>
      <c r="O69" s="1704"/>
      <c r="P69" s="1704"/>
      <c r="Q69" s="1704"/>
      <c r="R69" s="1704"/>
      <c r="S69" s="1704"/>
      <c r="T69" s="1704"/>
      <c r="U69" s="1705"/>
      <c r="V69" s="1703"/>
      <c r="W69" s="1704"/>
      <c r="X69" s="1704"/>
      <c r="Y69" s="1704"/>
      <c r="Z69" s="1704"/>
      <c r="AA69" s="1704"/>
      <c r="AB69" s="1704"/>
      <c r="AC69" s="1704"/>
      <c r="AD69" s="1704"/>
      <c r="AE69" s="1704"/>
      <c r="AF69" s="1704"/>
      <c r="AG69" s="1704"/>
      <c r="AH69" s="1704"/>
      <c r="AI69" s="1704"/>
      <c r="AJ69" s="1704"/>
      <c r="AK69" s="1704"/>
      <c r="AL69" s="1704"/>
      <c r="AM69" s="1704"/>
      <c r="AN69" s="1705"/>
    </row>
    <row r="70" spans="2:40">
      <c r="B70" s="1589"/>
      <c r="C70" s="1654"/>
      <c r="D70" s="1655"/>
      <c r="E70" s="1655"/>
      <c r="F70" s="1655"/>
      <c r="G70" s="1655"/>
      <c r="H70" s="1655"/>
      <c r="I70" s="1655"/>
      <c r="J70" s="1655"/>
      <c r="K70" s="1655"/>
      <c r="L70" s="1655"/>
      <c r="M70" s="1655"/>
      <c r="N70" s="1655"/>
      <c r="O70" s="1655"/>
      <c r="P70" s="1655"/>
      <c r="Q70" s="1655"/>
      <c r="R70" s="1655"/>
      <c r="S70" s="1655"/>
      <c r="T70" s="1655"/>
      <c r="U70" s="1656"/>
      <c r="V70" s="1654"/>
      <c r="W70" s="1655"/>
      <c r="X70" s="1655"/>
      <c r="Y70" s="1655"/>
      <c r="Z70" s="1655"/>
      <c r="AA70" s="1655"/>
      <c r="AB70" s="1655"/>
      <c r="AC70" s="1655"/>
      <c r="AD70" s="1655"/>
      <c r="AE70" s="1655"/>
      <c r="AF70" s="1655"/>
      <c r="AG70" s="1655"/>
      <c r="AH70" s="1655"/>
      <c r="AI70" s="1655"/>
      <c r="AJ70" s="1655"/>
      <c r="AK70" s="1655"/>
      <c r="AL70" s="1655"/>
      <c r="AM70" s="1655"/>
      <c r="AN70" s="1656"/>
    </row>
    <row r="71" spans="2:40" ht="14.25" customHeight="1">
      <c r="B71" s="1577" t="s">
        <v>23</v>
      </c>
      <c r="C71" s="1578"/>
      <c r="D71" s="1578"/>
      <c r="E71" s="1578"/>
      <c r="F71" s="1579"/>
      <c r="G71" s="1616" t="s">
        <v>24</v>
      </c>
      <c r="H71" s="1616"/>
      <c r="I71" s="1616"/>
      <c r="J71" s="1616"/>
      <c r="K71" s="1616"/>
      <c r="L71" s="1616"/>
      <c r="M71" s="1616"/>
      <c r="N71" s="1616"/>
      <c r="O71" s="1616"/>
      <c r="P71" s="1616"/>
      <c r="Q71" s="1616"/>
      <c r="R71" s="1616"/>
      <c r="S71" s="1616"/>
      <c r="T71" s="1616"/>
      <c r="U71" s="1616"/>
      <c r="V71" s="1616"/>
      <c r="W71" s="1616"/>
      <c r="X71" s="1616"/>
      <c r="Y71" s="1616"/>
      <c r="Z71" s="1616"/>
      <c r="AA71" s="1616"/>
      <c r="AB71" s="1616"/>
      <c r="AC71" s="1616"/>
      <c r="AD71" s="1616"/>
      <c r="AE71" s="1616"/>
      <c r="AF71" s="1616"/>
      <c r="AG71" s="1616"/>
      <c r="AH71" s="1616"/>
      <c r="AI71" s="1616"/>
      <c r="AJ71" s="1616"/>
      <c r="AK71" s="1616"/>
      <c r="AL71" s="1616"/>
      <c r="AM71" s="1616"/>
      <c r="AN71" s="1616"/>
    </row>
    <row r="73" spans="2:40">
      <c r="B73" t="s">
        <v>1394</v>
      </c>
    </row>
    <row r="74" spans="2:40">
      <c r="B74" t="s">
        <v>1395</v>
      </c>
    </row>
    <row r="75" spans="2:40">
      <c r="B75" t="s">
        <v>1396</v>
      </c>
    </row>
    <row r="76" spans="2:40">
      <c r="B76" t="s">
        <v>101</v>
      </c>
    </row>
    <row r="77" spans="2:40">
      <c r="B77" t="s">
        <v>58</v>
      </c>
    </row>
    <row r="78" spans="2:40">
      <c r="B78" t="s">
        <v>1397</v>
      </c>
    </row>
    <row r="79" spans="2:40">
      <c r="B79" t="s">
        <v>1398</v>
      </c>
    </row>
    <row r="80" spans="2:40">
      <c r="D80" t="s">
        <v>1399</v>
      </c>
    </row>
    <row r="81" spans="2:2">
      <c r="B81" t="s">
        <v>1400</v>
      </c>
    </row>
    <row r="82" spans="2:2">
      <c r="B82" t="s">
        <v>1401</v>
      </c>
    </row>
    <row r="83" spans="2:2">
      <c r="B83" t="s">
        <v>96</v>
      </c>
    </row>
  </sheetData>
  <mergeCells count="310">
    <mergeCell ref="E63:N63"/>
    <mergeCell ref="O63:P63"/>
    <mergeCell ref="Q63:U63"/>
    <mergeCell ref="W63:X63"/>
    <mergeCell ref="Z63:AA63"/>
    <mergeCell ref="AC63:AD63"/>
    <mergeCell ref="AE63:AI63"/>
    <mergeCell ref="AJ63:AN63"/>
    <mergeCell ref="B71:F71"/>
    <mergeCell ref="G71:AN71"/>
    <mergeCell ref="B64:L64"/>
    <mergeCell ref="W64:AN65"/>
    <mergeCell ref="B65:O65"/>
    <mergeCell ref="B66:B70"/>
    <mergeCell ref="C66:U66"/>
    <mergeCell ref="V66:AN66"/>
    <mergeCell ref="C67:U70"/>
    <mergeCell ref="V67:AN70"/>
    <mergeCell ref="C61:C63"/>
    <mergeCell ref="B39:B63"/>
    <mergeCell ref="C39:N40"/>
    <mergeCell ref="O39:P40"/>
    <mergeCell ref="Q39:U39"/>
    <mergeCell ref="V39:AD39"/>
    <mergeCell ref="AJ61:AN61"/>
    <mergeCell ref="E62:N62"/>
    <mergeCell ref="O62:P62"/>
    <mergeCell ref="Q62:U62"/>
    <mergeCell ref="W62:X62"/>
    <mergeCell ref="Z62:AA62"/>
    <mergeCell ref="AC62:AD62"/>
    <mergeCell ref="AE62:AI62"/>
    <mergeCell ref="AJ62:AN62"/>
    <mergeCell ref="E61:N61"/>
    <mergeCell ref="O61:P61"/>
    <mergeCell ref="Q61:U61"/>
    <mergeCell ref="W61:X61"/>
    <mergeCell ref="Z61:AA61"/>
    <mergeCell ref="AC61:AD61"/>
    <mergeCell ref="AE61:AI61"/>
    <mergeCell ref="AE59:AI59"/>
    <mergeCell ref="AJ59:AN59"/>
    <mergeCell ref="E60:N60"/>
    <mergeCell ref="O60:P60"/>
    <mergeCell ref="Q60:U60"/>
    <mergeCell ref="W60:X60"/>
    <mergeCell ref="Z60:AA60"/>
    <mergeCell ref="AC60:AD60"/>
    <mergeCell ref="AE60:AI60"/>
    <mergeCell ref="AJ60:AN60"/>
    <mergeCell ref="E59:N59"/>
    <mergeCell ref="O59:P59"/>
    <mergeCell ref="Q59:U59"/>
    <mergeCell ref="W59:X59"/>
    <mergeCell ref="Z59:AA59"/>
    <mergeCell ref="AC59:AD59"/>
    <mergeCell ref="AE57:AI57"/>
    <mergeCell ref="AJ57:AN57"/>
    <mergeCell ref="E58:N58"/>
    <mergeCell ref="O58:P58"/>
    <mergeCell ref="Q58:U58"/>
    <mergeCell ref="W58:X58"/>
    <mergeCell ref="Z58:AA58"/>
    <mergeCell ref="AC58:AD58"/>
    <mergeCell ref="AE58:AI58"/>
    <mergeCell ref="AJ58:AN58"/>
    <mergeCell ref="E57:N57"/>
    <mergeCell ref="O57:P57"/>
    <mergeCell ref="Q57:U57"/>
    <mergeCell ref="W57:X57"/>
    <mergeCell ref="Z57:AA57"/>
    <mergeCell ref="AC57:AD57"/>
    <mergeCell ref="AE55:AI55"/>
    <mergeCell ref="AJ55:AN55"/>
    <mergeCell ref="E56:N56"/>
    <mergeCell ref="O56:P56"/>
    <mergeCell ref="Q56:U56"/>
    <mergeCell ref="W56:X56"/>
    <mergeCell ref="Z56:AA56"/>
    <mergeCell ref="AC56:AD56"/>
    <mergeCell ref="AE56:AI56"/>
    <mergeCell ref="AJ56:AN56"/>
    <mergeCell ref="E55:N55"/>
    <mergeCell ref="O55:P55"/>
    <mergeCell ref="Q55:U55"/>
    <mergeCell ref="W55:X55"/>
    <mergeCell ref="Z55:AA55"/>
    <mergeCell ref="AC55:AD55"/>
    <mergeCell ref="AE53:AI53"/>
    <mergeCell ref="AJ53:AN53"/>
    <mergeCell ref="E54:N54"/>
    <mergeCell ref="O54:P54"/>
    <mergeCell ref="Q54:U54"/>
    <mergeCell ref="W54:X54"/>
    <mergeCell ref="Z54:AA54"/>
    <mergeCell ref="AC54:AD54"/>
    <mergeCell ref="AE54:AI54"/>
    <mergeCell ref="AJ54:AN54"/>
    <mergeCell ref="E53:N53"/>
    <mergeCell ref="O53:P53"/>
    <mergeCell ref="Q53:U53"/>
    <mergeCell ref="W53:X53"/>
    <mergeCell ref="Z53:AA53"/>
    <mergeCell ref="AC53:AD53"/>
    <mergeCell ref="AE51:AI51"/>
    <mergeCell ref="AJ51:AN51"/>
    <mergeCell ref="E52:N52"/>
    <mergeCell ref="O52:P52"/>
    <mergeCell ref="Q52:U52"/>
    <mergeCell ref="W52:X52"/>
    <mergeCell ref="Z52:AA52"/>
    <mergeCell ref="AC52:AD52"/>
    <mergeCell ref="AE52:AI52"/>
    <mergeCell ref="AJ52:AN52"/>
    <mergeCell ref="E51:N51"/>
    <mergeCell ref="O51:P51"/>
    <mergeCell ref="Q51:U51"/>
    <mergeCell ref="W51:X51"/>
    <mergeCell ref="Z51:AA51"/>
    <mergeCell ref="AC51:AD51"/>
    <mergeCell ref="AE49:AI49"/>
    <mergeCell ref="AJ49:AN49"/>
    <mergeCell ref="E50:N50"/>
    <mergeCell ref="O50:P50"/>
    <mergeCell ref="Q50:U50"/>
    <mergeCell ref="W50:X50"/>
    <mergeCell ref="Z50:AA50"/>
    <mergeCell ref="AC50:AD50"/>
    <mergeCell ref="AE50:AI50"/>
    <mergeCell ref="AJ50:AN50"/>
    <mergeCell ref="E49:N49"/>
    <mergeCell ref="O49:P49"/>
    <mergeCell ref="Q49:U49"/>
    <mergeCell ref="W49:X49"/>
    <mergeCell ref="Z49:AA49"/>
    <mergeCell ref="AC49:AD49"/>
    <mergeCell ref="Z48:AA48"/>
    <mergeCell ref="AC48:AD48"/>
    <mergeCell ref="AE48:AI48"/>
    <mergeCell ref="AJ48:AN48"/>
    <mergeCell ref="E47:N47"/>
    <mergeCell ref="O47:P47"/>
    <mergeCell ref="Q47:U47"/>
    <mergeCell ref="W47:X47"/>
    <mergeCell ref="Z47:AA47"/>
    <mergeCell ref="AC47:AD47"/>
    <mergeCell ref="E48:N48"/>
    <mergeCell ref="O48:P48"/>
    <mergeCell ref="Q48:U48"/>
    <mergeCell ref="W48:X48"/>
    <mergeCell ref="AJ46:AN46"/>
    <mergeCell ref="E45:N45"/>
    <mergeCell ref="O45:P45"/>
    <mergeCell ref="Q45:U45"/>
    <mergeCell ref="W45:X45"/>
    <mergeCell ref="Z45:AA45"/>
    <mergeCell ref="AC45:AD45"/>
    <mergeCell ref="AE47:AI47"/>
    <mergeCell ref="AJ47:AN47"/>
    <mergeCell ref="AJ44:AN44"/>
    <mergeCell ref="O43:P43"/>
    <mergeCell ref="Q43:U43"/>
    <mergeCell ref="W43:X43"/>
    <mergeCell ref="Z43:AA43"/>
    <mergeCell ref="AC43:AD43"/>
    <mergeCell ref="AE43:AI43"/>
    <mergeCell ref="AE45:AI45"/>
    <mergeCell ref="AJ45:AN45"/>
    <mergeCell ref="AJ39:AN39"/>
    <mergeCell ref="Q40:U40"/>
    <mergeCell ref="V40:AD40"/>
    <mergeCell ref="AE40:AI40"/>
    <mergeCell ref="AJ40:AN40"/>
    <mergeCell ref="C41:C60"/>
    <mergeCell ref="E41:N41"/>
    <mergeCell ref="O41:P41"/>
    <mergeCell ref="Q41:U41"/>
    <mergeCell ref="W41:X41"/>
    <mergeCell ref="AJ41:AN41"/>
    <mergeCell ref="E42:N42"/>
    <mergeCell ref="O42:P42"/>
    <mergeCell ref="Q42:U42"/>
    <mergeCell ref="W42:X42"/>
    <mergeCell ref="Z42:AA42"/>
    <mergeCell ref="AC42:AD42"/>
    <mergeCell ref="AE42:AI42"/>
    <mergeCell ref="AJ42:AN42"/>
    <mergeCell ref="AJ43:AN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N36"/>
    <mergeCell ref="M37:P37"/>
    <mergeCell ref="R37:U37"/>
    <mergeCell ref="V37:W37"/>
    <mergeCell ref="X37:AN37"/>
    <mergeCell ref="M38:AN38"/>
    <mergeCell ref="AG34:AN34"/>
    <mergeCell ref="C35:L35"/>
    <mergeCell ref="M35:AN35"/>
    <mergeCell ref="C31:L33"/>
    <mergeCell ref="M31:P31"/>
    <mergeCell ref="Q31:S31"/>
    <mergeCell ref="U31:W31"/>
    <mergeCell ref="Y31:AN31"/>
    <mergeCell ref="M32:P32"/>
    <mergeCell ref="R32:U32"/>
    <mergeCell ref="V32:W32"/>
    <mergeCell ref="X32:AN32"/>
    <mergeCell ref="M33:AN33"/>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4:L34"/>
    <mergeCell ref="M34:Q34"/>
    <mergeCell ref="R34:AA34"/>
    <mergeCell ref="AB34:AF34"/>
    <mergeCell ref="C22:L24"/>
    <mergeCell ref="M22:P22"/>
    <mergeCell ref="Q22:S22"/>
    <mergeCell ref="U22:W22"/>
    <mergeCell ref="Y22:AN22"/>
    <mergeCell ref="M23:P23"/>
    <mergeCell ref="R23:U23"/>
    <mergeCell ref="V23:W23"/>
    <mergeCell ref="X23:AN23"/>
    <mergeCell ref="M24:AN24"/>
    <mergeCell ref="C20:L20"/>
    <mergeCell ref="M20:U20"/>
    <mergeCell ref="V20:AA20"/>
    <mergeCell ref="AB20:AN20"/>
    <mergeCell ref="C21:L21"/>
    <mergeCell ref="M21:Q21"/>
    <mergeCell ref="R21:AA21"/>
    <mergeCell ref="AB21:AF21"/>
    <mergeCell ref="AG21:AN21"/>
    <mergeCell ref="Y11:AN11"/>
    <mergeCell ref="N13:O13"/>
    <mergeCell ref="AB13:AI13"/>
    <mergeCell ref="AJ13:AN13"/>
    <mergeCell ref="B14:B24"/>
    <mergeCell ref="C14:L14"/>
    <mergeCell ref="M14:AN14"/>
    <mergeCell ref="C15:L15"/>
    <mergeCell ref="M15:AN15"/>
    <mergeCell ref="C16:L18"/>
    <mergeCell ref="M18:AN18"/>
    <mergeCell ref="C19:L19"/>
    <mergeCell ref="M19:Q19"/>
    <mergeCell ref="R19:AA19"/>
    <mergeCell ref="AB19:AF19"/>
    <mergeCell ref="AG19:AN19"/>
    <mergeCell ref="M16:P16"/>
    <mergeCell ref="Q16:S16"/>
    <mergeCell ref="U16:W16"/>
    <mergeCell ref="Y16:AN16"/>
    <mergeCell ref="M17:P17"/>
    <mergeCell ref="R17:U17"/>
    <mergeCell ref="V17:W17"/>
    <mergeCell ref="X17:AN17"/>
    <mergeCell ref="B7:G7"/>
    <mergeCell ref="H7:J7"/>
    <mergeCell ref="V8:X8"/>
    <mergeCell ref="Y8:AN8"/>
    <mergeCell ref="Y9:AN9"/>
    <mergeCell ref="V10:X10"/>
    <mergeCell ref="Y10:AN10"/>
    <mergeCell ref="AB3:AF3"/>
    <mergeCell ref="AG3:AN3"/>
    <mergeCell ref="B5:AN5"/>
    <mergeCell ref="AF6:AG6"/>
    <mergeCell ref="AI6:AJ6"/>
    <mergeCell ref="AL6:AM6"/>
  </mergeCells>
  <phoneticPr fontId="3"/>
  <dataValidations count="2">
    <dataValidation type="list" allowBlank="1" showInputMessage="1" showErrorMessage="1" sqref="O41:P63 JK41:JL63 TG41:TH63 ADC41:ADD63 AMY41:AMZ63 AWU41:AWV63 BGQ41:BGR63 BQM41:BQN63 CAI41:CAJ63 CKE41:CKF63 CUA41:CUB63 DDW41:DDX63 DNS41:DNT63 DXO41:DXP63 EHK41:EHL63 ERG41:ERH63 FBC41:FBD63 FKY41:FKZ63 FUU41:FUV63 GEQ41:GER63 GOM41:GON63 GYI41:GYJ63 HIE41:HIF63 HSA41:HSB63 IBW41:IBX63 ILS41:ILT63 IVO41:IVP63 JFK41:JFL63 JPG41:JPH63 JZC41:JZD63 KIY41:KIZ63 KSU41:KSV63 LCQ41:LCR63 LMM41:LMN63 LWI41:LWJ63 MGE41:MGF63 MQA41:MQB63 MZW41:MZX63 NJS41:NJT63 NTO41:NTP63 ODK41:ODL63 ONG41:ONH63 OXC41:OXD63 PGY41:PGZ63 PQU41:PQV63 QAQ41:QAR63 QKM41:QKN63 QUI41:QUJ63 REE41:REF63 ROA41:ROB63 RXW41:RXX63 SHS41:SHT63 SRO41:SRP63 TBK41:TBL63 TLG41:TLH63 TVC41:TVD63 UEY41:UEZ63 UOU41:UOV63 UYQ41:UYR63 VIM41:VIN63 VSI41:VSJ63 WCE41:WCF63 WMA41:WMB63 WVW41:WVX63 O65577:P65599 JK65577:JL65599 TG65577:TH65599 ADC65577:ADD65599 AMY65577:AMZ65599 AWU65577:AWV65599 BGQ65577:BGR65599 BQM65577:BQN65599 CAI65577:CAJ65599 CKE65577:CKF65599 CUA65577:CUB65599 DDW65577:DDX65599 DNS65577:DNT65599 DXO65577:DXP65599 EHK65577:EHL65599 ERG65577:ERH65599 FBC65577:FBD65599 FKY65577:FKZ65599 FUU65577:FUV65599 GEQ65577:GER65599 GOM65577:GON65599 GYI65577:GYJ65599 HIE65577:HIF65599 HSA65577:HSB65599 IBW65577:IBX65599 ILS65577:ILT65599 IVO65577:IVP65599 JFK65577:JFL65599 JPG65577:JPH65599 JZC65577:JZD65599 KIY65577:KIZ65599 KSU65577:KSV65599 LCQ65577:LCR65599 LMM65577:LMN65599 LWI65577:LWJ65599 MGE65577:MGF65599 MQA65577:MQB65599 MZW65577:MZX65599 NJS65577:NJT65599 NTO65577:NTP65599 ODK65577:ODL65599 ONG65577:ONH65599 OXC65577:OXD65599 PGY65577:PGZ65599 PQU65577:PQV65599 QAQ65577:QAR65599 QKM65577:QKN65599 QUI65577:QUJ65599 REE65577:REF65599 ROA65577:ROB65599 RXW65577:RXX65599 SHS65577:SHT65599 SRO65577:SRP65599 TBK65577:TBL65599 TLG65577:TLH65599 TVC65577:TVD65599 UEY65577:UEZ65599 UOU65577:UOV65599 UYQ65577:UYR65599 VIM65577:VIN65599 VSI65577:VSJ65599 WCE65577:WCF65599 WMA65577:WMB65599 WVW65577:WVX65599 O131113:P131135 JK131113:JL131135 TG131113:TH131135 ADC131113:ADD131135 AMY131113:AMZ131135 AWU131113:AWV131135 BGQ131113:BGR131135 BQM131113:BQN131135 CAI131113:CAJ131135 CKE131113:CKF131135 CUA131113:CUB131135 DDW131113:DDX131135 DNS131113:DNT131135 DXO131113:DXP131135 EHK131113:EHL131135 ERG131113:ERH131135 FBC131113:FBD131135 FKY131113:FKZ131135 FUU131113:FUV131135 GEQ131113:GER131135 GOM131113:GON131135 GYI131113:GYJ131135 HIE131113:HIF131135 HSA131113:HSB131135 IBW131113:IBX131135 ILS131113:ILT131135 IVO131113:IVP131135 JFK131113:JFL131135 JPG131113:JPH131135 JZC131113:JZD131135 KIY131113:KIZ131135 KSU131113:KSV131135 LCQ131113:LCR131135 LMM131113:LMN131135 LWI131113:LWJ131135 MGE131113:MGF131135 MQA131113:MQB131135 MZW131113:MZX131135 NJS131113:NJT131135 NTO131113:NTP131135 ODK131113:ODL131135 ONG131113:ONH131135 OXC131113:OXD131135 PGY131113:PGZ131135 PQU131113:PQV131135 QAQ131113:QAR131135 QKM131113:QKN131135 QUI131113:QUJ131135 REE131113:REF131135 ROA131113:ROB131135 RXW131113:RXX131135 SHS131113:SHT131135 SRO131113:SRP131135 TBK131113:TBL131135 TLG131113:TLH131135 TVC131113:TVD131135 UEY131113:UEZ131135 UOU131113:UOV131135 UYQ131113:UYR131135 VIM131113:VIN131135 VSI131113:VSJ131135 WCE131113:WCF131135 WMA131113:WMB131135 WVW131113:WVX131135 O196649:P196671 JK196649:JL196671 TG196649:TH196671 ADC196649:ADD196671 AMY196649:AMZ196671 AWU196649:AWV196671 BGQ196649:BGR196671 BQM196649:BQN196671 CAI196649:CAJ196671 CKE196649:CKF196671 CUA196649:CUB196671 DDW196649:DDX196671 DNS196649:DNT196671 DXO196649:DXP196671 EHK196649:EHL196671 ERG196649:ERH196671 FBC196649:FBD196671 FKY196649:FKZ196671 FUU196649:FUV196671 GEQ196649:GER196671 GOM196649:GON196671 GYI196649:GYJ196671 HIE196649:HIF196671 HSA196649:HSB196671 IBW196649:IBX196671 ILS196649:ILT196671 IVO196649:IVP196671 JFK196649:JFL196671 JPG196649:JPH196671 JZC196649:JZD196671 KIY196649:KIZ196671 KSU196649:KSV196671 LCQ196649:LCR196671 LMM196649:LMN196671 LWI196649:LWJ196671 MGE196649:MGF196671 MQA196649:MQB196671 MZW196649:MZX196671 NJS196649:NJT196671 NTO196649:NTP196671 ODK196649:ODL196671 ONG196649:ONH196671 OXC196649:OXD196671 PGY196649:PGZ196671 PQU196649:PQV196671 QAQ196649:QAR196671 QKM196649:QKN196671 QUI196649:QUJ196671 REE196649:REF196671 ROA196649:ROB196671 RXW196649:RXX196671 SHS196649:SHT196671 SRO196649:SRP196671 TBK196649:TBL196671 TLG196649:TLH196671 TVC196649:TVD196671 UEY196649:UEZ196671 UOU196649:UOV196671 UYQ196649:UYR196671 VIM196649:VIN196671 VSI196649:VSJ196671 WCE196649:WCF196671 WMA196649:WMB196671 WVW196649:WVX196671 O262185:P262207 JK262185:JL262207 TG262185:TH262207 ADC262185:ADD262207 AMY262185:AMZ262207 AWU262185:AWV262207 BGQ262185:BGR262207 BQM262185:BQN262207 CAI262185:CAJ262207 CKE262185:CKF262207 CUA262185:CUB262207 DDW262185:DDX262207 DNS262185:DNT262207 DXO262185:DXP262207 EHK262185:EHL262207 ERG262185:ERH262207 FBC262185:FBD262207 FKY262185:FKZ262207 FUU262185:FUV262207 GEQ262185:GER262207 GOM262185:GON262207 GYI262185:GYJ262207 HIE262185:HIF262207 HSA262185:HSB262207 IBW262185:IBX262207 ILS262185:ILT262207 IVO262185:IVP262207 JFK262185:JFL262207 JPG262185:JPH262207 JZC262185:JZD262207 KIY262185:KIZ262207 KSU262185:KSV262207 LCQ262185:LCR262207 LMM262185:LMN262207 LWI262185:LWJ262207 MGE262185:MGF262207 MQA262185:MQB262207 MZW262185:MZX262207 NJS262185:NJT262207 NTO262185:NTP262207 ODK262185:ODL262207 ONG262185:ONH262207 OXC262185:OXD262207 PGY262185:PGZ262207 PQU262185:PQV262207 QAQ262185:QAR262207 QKM262185:QKN262207 QUI262185:QUJ262207 REE262185:REF262207 ROA262185:ROB262207 RXW262185:RXX262207 SHS262185:SHT262207 SRO262185:SRP262207 TBK262185:TBL262207 TLG262185:TLH262207 TVC262185:TVD262207 UEY262185:UEZ262207 UOU262185:UOV262207 UYQ262185:UYR262207 VIM262185:VIN262207 VSI262185:VSJ262207 WCE262185:WCF262207 WMA262185:WMB262207 WVW262185:WVX262207 O327721:P327743 JK327721:JL327743 TG327721:TH327743 ADC327721:ADD327743 AMY327721:AMZ327743 AWU327721:AWV327743 BGQ327721:BGR327743 BQM327721:BQN327743 CAI327721:CAJ327743 CKE327721:CKF327743 CUA327721:CUB327743 DDW327721:DDX327743 DNS327721:DNT327743 DXO327721:DXP327743 EHK327721:EHL327743 ERG327721:ERH327743 FBC327721:FBD327743 FKY327721:FKZ327743 FUU327721:FUV327743 GEQ327721:GER327743 GOM327721:GON327743 GYI327721:GYJ327743 HIE327721:HIF327743 HSA327721:HSB327743 IBW327721:IBX327743 ILS327721:ILT327743 IVO327721:IVP327743 JFK327721:JFL327743 JPG327721:JPH327743 JZC327721:JZD327743 KIY327721:KIZ327743 KSU327721:KSV327743 LCQ327721:LCR327743 LMM327721:LMN327743 LWI327721:LWJ327743 MGE327721:MGF327743 MQA327721:MQB327743 MZW327721:MZX327743 NJS327721:NJT327743 NTO327721:NTP327743 ODK327721:ODL327743 ONG327721:ONH327743 OXC327721:OXD327743 PGY327721:PGZ327743 PQU327721:PQV327743 QAQ327721:QAR327743 QKM327721:QKN327743 QUI327721:QUJ327743 REE327721:REF327743 ROA327721:ROB327743 RXW327721:RXX327743 SHS327721:SHT327743 SRO327721:SRP327743 TBK327721:TBL327743 TLG327721:TLH327743 TVC327721:TVD327743 UEY327721:UEZ327743 UOU327721:UOV327743 UYQ327721:UYR327743 VIM327721:VIN327743 VSI327721:VSJ327743 WCE327721:WCF327743 WMA327721:WMB327743 WVW327721:WVX327743 O393257:P393279 JK393257:JL393279 TG393257:TH393279 ADC393257:ADD393279 AMY393257:AMZ393279 AWU393257:AWV393279 BGQ393257:BGR393279 BQM393257:BQN393279 CAI393257:CAJ393279 CKE393257:CKF393279 CUA393257:CUB393279 DDW393257:DDX393279 DNS393257:DNT393279 DXO393257:DXP393279 EHK393257:EHL393279 ERG393257:ERH393279 FBC393257:FBD393279 FKY393257:FKZ393279 FUU393257:FUV393279 GEQ393257:GER393279 GOM393257:GON393279 GYI393257:GYJ393279 HIE393257:HIF393279 HSA393257:HSB393279 IBW393257:IBX393279 ILS393257:ILT393279 IVO393257:IVP393279 JFK393257:JFL393279 JPG393257:JPH393279 JZC393257:JZD393279 KIY393257:KIZ393279 KSU393257:KSV393279 LCQ393257:LCR393279 LMM393257:LMN393279 LWI393257:LWJ393279 MGE393257:MGF393279 MQA393257:MQB393279 MZW393257:MZX393279 NJS393257:NJT393279 NTO393257:NTP393279 ODK393257:ODL393279 ONG393257:ONH393279 OXC393257:OXD393279 PGY393257:PGZ393279 PQU393257:PQV393279 QAQ393257:QAR393279 QKM393257:QKN393279 QUI393257:QUJ393279 REE393257:REF393279 ROA393257:ROB393279 RXW393257:RXX393279 SHS393257:SHT393279 SRO393257:SRP393279 TBK393257:TBL393279 TLG393257:TLH393279 TVC393257:TVD393279 UEY393257:UEZ393279 UOU393257:UOV393279 UYQ393257:UYR393279 VIM393257:VIN393279 VSI393257:VSJ393279 WCE393257:WCF393279 WMA393257:WMB393279 WVW393257:WVX393279 O458793:P458815 JK458793:JL458815 TG458793:TH458815 ADC458793:ADD458815 AMY458793:AMZ458815 AWU458793:AWV458815 BGQ458793:BGR458815 BQM458793:BQN458815 CAI458793:CAJ458815 CKE458793:CKF458815 CUA458793:CUB458815 DDW458793:DDX458815 DNS458793:DNT458815 DXO458793:DXP458815 EHK458793:EHL458815 ERG458793:ERH458815 FBC458793:FBD458815 FKY458793:FKZ458815 FUU458793:FUV458815 GEQ458793:GER458815 GOM458793:GON458815 GYI458793:GYJ458815 HIE458793:HIF458815 HSA458793:HSB458815 IBW458793:IBX458815 ILS458793:ILT458815 IVO458793:IVP458815 JFK458793:JFL458815 JPG458793:JPH458815 JZC458793:JZD458815 KIY458793:KIZ458815 KSU458793:KSV458815 LCQ458793:LCR458815 LMM458793:LMN458815 LWI458793:LWJ458815 MGE458793:MGF458815 MQA458793:MQB458815 MZW458793:MZX458815 NJS458793:NJT458815 NTO458793:NTP458815 ODK458793:ODL458815 ONG458793:ONH458815 OXC458793:OXD458815 PGY458793:PGZ458815 PQU458793:PQV458815 QAQ458793:QAR458815 QKM458793:QKN458815 QUI458793:QUJ458815 REE458793:REF458815 ROA458793:ROB458815 RXW458793:RXX458815 SHS458793:SHT458815 SRO458793:SRP458815 TBK458793:TBL458815 TLG458793:TLH458815 TVC458793:TVD458815 UEY458793:UEZ458815 UOU458793:UOV458815 UYQ458793:UYR458815 VIM458793:VIN458815 VSI458793:VSJ458815 WCE458793:WCF458815 WMA458793:WMB458815 WVW458793:WVX458815 O524329:P524351 JK524329:JL524351 TG524329:TH524351 ADC524329:ADD524351 AMY524329:AMZ524351 AWU524329:AWV524351 BGQ524329:BGR524351 BQM524329:BQN524351 CAI524329:CAJ524351 CKE524329:CKF524351 CUA524329:CUB524351 DDW524329:DDX524351 DNS524329:DNT524351 DXO524329:DXP524351 EHK524329:EHL524351 ERG524329:ERH524351 FBC524329:FBD524351 FKY524329:FKZ524351 FUU524329:FUV524351 GEQ524329:GER524351 GOM524329:GON524351 GYI524329:GYJ524351 HIE524329:HIF524351 HSA524329:HSB524351 IBW524329:IBX524351 ILS524329:ILT524351 IVO524329:IVP524351 JFK524329:JFL524351 JPG524329:JPH524351 JZC524329:JZD524351 KIY524329:KIZ524351 KSU524329:KSV524351 LCQ524329:LCR524351 LMM524329:LMN524351 LWI524329:LWJ524351 MGE524329:MGF524351 MQA524329:MQB524351 MZW524329:MZX524351 NJS524329:NJT524351 NTO524329:NTP524351 ODK524329:ODL524351 ONG524329:ONH524351 OXC524329:OXD524351 PGY524329:PGZ524351 PQU524329:PQV524351 QAQ524329:QAR524351 QKM524329:QKN524351 QUI524329:QUJ524351 REE524329:REF524351 ROA524329:ROB524351 RXW524329:RXX524351 SHS524329:SHT524351 SRO524329:SRP524351 TBK524329:TBL524351 TLG524329:TLH524351 TVC524329:TVD524351 UEY524329:UEZ524351 UOU524329:UOV524351 UYQ524329:UYR524351 VIM524329:VIN524351 VSI524329:VSJ524351 WCE524329:WCF524351 WMA524329:WMB524351 WVW524329:WVX524351 O589865:P589887 JK589865:JL589887 TG589865:TH589887 ADC589865:ADD589887 AMY589865:AMZ589887 AWU589865:AWV589887 BGQ589865:BGR589887 BQM589865:BQN589887 CAI589865:CAJ589887 CKE589865:CKF589887 CUA589865:CUB589887 DDW589865:DDX589887 DNS589865:DNT589887 DXO589865:DXP589887 EHK589865:EHL589887 ERG589865:ERH589887 FBC589865:FBD589887 FKY589865:FKZ589887 FUU589865:FUV589887 GEQ589865:GER589887 GOM589865:GON589887 GYI589865:GYJ589887 HIE589865:HIF589887 HSA589865:HSB589887 IBW589865:IBX589887 ILS589865:ILT589887 IVO589865:IVP589887 JFK589865:JFL589887 JPG589865:JPH589887 JZC589865:JZD589887 KIY589865:KIZ589887 KSU589865:KSV589887 LCQ589865:LCR589887 LMM589865:LMN589887 LWI589865:LWJ589887 MGE589865:MGF589887 MQA589865:MQB589887 MZW589865:MZX589887 NJS589865:NJT589887 NTO589865:NTP589887 ODK589865:ODL589887 ONG589865:ONH589887 OXC589865:OXD589887 PGY589865:PGZ589887 PQU589865:PQV589887 QAQ589865:QAR589887 QKM589865:QKN589887 QUI589865:QUJ589887 REE589865:REF589887 ROA589865:ROB589887 RXW589865:RXX589887 SHS589865:SHT589887 SRO589865:SRP589887 TBK589865:TBL589887 TLG589865:TLH589887 TVC589865:TVD589887 UEY589865:UEZ589887 UOU589865:UOV589887 UYQ589865:UYR589887 VIM589865:VIN589887 VSI589865:VSJ589887 WCE589865:WCF589887 WMA589865:WMB589887 WVW589865:WVX589887 O655401:P655423 JK655401:JL655423 TG655401:TH655423 ADC655401:ADD655423 AMY655401:AMZ655423 AWU655401:AWV655423 BGQ655401:BGR655423 BQM655401:BQN655423 CAI655401:CAJ655423 CKE655401:CKF655423 CUA655401:CUB655423 DDW655401:DDX655423 DNS655401:DNT655423 DXO655401:DXP655423 EHK655401:EHL655423 ERG655401:ERH655423 FBC655401:FBD655423 FKY655401:FKZ655423 FUU655401:FUV655423 GEQ655401:GER655423 GOM655401:GON655423 GYI655401:GYJ655423 HIE655401:HIF655423 HSA655401:HSB655423 IBW655401:IBX655423 ILS655401:ILT655423 IVO655401:IVP655423 JFK655401:JFL655423 JPG655401:JPH655423 JZC655401:JZD655423 KIY655401:KIZ655423 KSU655401:KSV655423 LCQ655401:LCR655423 LMM655401:LMN655423 LWI655401:LWJ655423 MGE655401:MGF655423 MQA655401:MQB655423 MZW655401:MZX655423 NJS655401:NJT655423 NTO655401:NTP655423 ODK655401:ODL655423 ONG655401:ONH655423 OXC655401:OXD655423 PGY655401:PGZ655423 PQU655401:PQV655423 QAQ655401:QAR655423 QKM655401:QKN655423 QUI655401:QUJ655423 REE655401:REF655423 ROA655401:ROB655423 RXW655401:RXX655423 SHS655401:SHT655423 SRO655401:SRP655423 TBK655401:TBL655423 TLG655401:TLH655423 TVC655401:TVD655423 UEY655401:UEZ655423 UOU655401:UOV655423 UYQ655401:UYR655423 VIM655401:VIN655423 VSI655401:VSJ655423 WCE655401:WCF655423 WMA655401:WMB655423 WVW655401:WVX655423 O720937:P720959 JK720937:JL720959 TG720937:TH720959 ADC720937:ADD720959 AMY720937:AMZ720959 AWU720937:AWV720959 BGQ720937:BGR720959 BQM720937:BQN720959 CAI720937:CAJ720959 CKE720937:CKF720959 CUA720937:CUB720959 DDW720937:DDX720959 DNS720937:DNT720959 DXO720937:DXP720959 EHK720937:EHL720959 ERG720937:ERH720959 FBC720937:FBD720959 FKY720937:FKZ720959 FUU720937:FUV720959 GEQ720937:GER720959 GOM720937:GON720959 GYI720937:GYJ720959 HIE720937:HIF720959 HSA720937:HSB720959 IBW720937:IBX720959 ILS720937:ILT720959 IVO720937:IVP720959 JFK720937:JFL720959 JPG720937:JPH720959 JZC720937:JZD720959 KIY720937:KIZ720959 KSU720937:KSV720959 LCQ720937:LCR720959 LMM720937:LMN720959 LWI720937:LWJ720959 MGE720937:MGF720959 MQA720937:MQB720959 MZW720937:MZX720959 NJS720937:NJT720959 NTO720937:NTP720959 ODK720937:ODL720959 ONG720937:ONH720959 OXC720937:OXD720959 PGY720937:PGZ720959 PQU720937:PQV720959 QAQ720937:QAR720959 QKM720937:QKN720959 QUI720937:QUJ720959 REE720937:REF720959 ROA720937:ROB720959 RXW720937:RXX720959 SHS720937:SHT720959 SRO720937:SRP720959 TBK720937:TBL720959 TLG720937:TLH720959 TVC720937:TVD720959 UEY720937:UEZ720959 UOU720937:UOV720959 UYQ720937:UYR720959 VIM720937:VIN720959 VSI720937:VSJ720959 WCE720937:WCF720959 WMA720937:WMB720959 WVW720937:WVX720959 O786473:P786495 JK786473:JL786495 TG786473:TH786495 ADC786473:ADD786495 AMY786473:AMZ786495 AWU786473:AWV786495 BGQ786473:BGR786495 BQM786473:BQN786495 CAI786473:CAJ786495 CKE786473:CKF786495 CUA786473:CUB786495 DDW786473:DDX786495 DNS786473:DNT786495 DXO786473:DXP786495 EHK786473:EHL786495 ERG786473:ERH786495 FBC786473:FBD786495 FKY786473:FKZ786495 FUU786473:FUV786495 GEQ786473:GER786495 GOM786473:GON786495 GYI786473:GYJ786495 HIE786473:HIF786495 HSA786473:HSB786495 IBW786473:IBX786495 ILS786473:ILT786495 IVO786473:IVP786495 JFK786473:JFL786495 JPG786473:JPH786495 JZC786473:JZD786495 KIY786473:KIZ786495 KSU786473:KSV786495 LCQ786473:LCR786495 LMM786473:LMN786495 LWI786473:LWJ786495 MGE786473:MGF786495 MQA786473:MQB786495 MZW786473:MZX786495 NJS786473:NJT786495 NTO786473:NTP786495 ODK786473:ODL786495 ONG786473:ONH786495 OXC786473:OXD786495 PGY786473:PGZ786495 PQU786473:PQV786495 QAQ786473:QAR786495 QKM786473:QKN786495 QUI786473:QUJ786495 REE786473:REF786495 ROA786473:ROB786495 RXW786473:RXX786495 SHS786473:SHT786495 SRO786473:SRP786495 TBK786473:TBL786495 TLG786473:TLH786495 TVC786473:TVD786495 UEY786473:UEZ786495 UOU786473:UOV786495 UYQ786473:UYR786495 VIM786473:VIN786495 VSI786473:VSJ786495 WCE786473:WCF786495 WMA786473:WMB786495 WVW786473:WVX786495 O852009:P852031 JK852009:JL852031 TG852009:TH852031 ADC852009:ADD852031 AMY852009:AMZ852031 AWU852009:AWV852031 BGQ852009:BGR852031 BQM852009:BQN852031 CAI852009:CAJ852031 CKE852009:CKF852031 CUA852009:CUB852031 DDW852009:DDX852031 DNS852009:DNT852031 DXO852009:DXP852031 EHK852009:EHL852031 ERG852009:ERH852031 FBC852009:FBD852031 FKY852009:FKZ852031 FUU852009:FUV852031 GEQ852009:GER852031 GOM852009:GON852031 GYI852009:GYJ852031 HIE852009:HIF852031 HSA852009:HSB852031 IBW852009:IBX852031 ILS852009:ILT852031 IVO852009:IVP852031 JFK852009:JFL852031 JPG852009:JPH852031 JZC852009:JZD852031 KIY852009:KIZ852031 KSU852009:KSV852031 LCQ852009:LCR852031 LMM852009:LMN852031 LWI852009:LWJ852031 MGE852009:MGF852031 MQA852009:MQB852031 MZW852009:MZX852031 NJS852009:NJT852031 NTO852009:NTP852031 ODK852009:ODL852031 ONG852009:ONH852031 OXC852009:OXD852031 PGY852009:PGZ852031 PQU852009:PQV852031 QAQ852009:QAR852031 QKM852009:QKN852031 QUI852009:QUJ852031 REE852009:REF852031 ROA852009:ROB852031 RXW852009:RXX852031 SHS852009:SHT852031 SRO852009:SRP852031 TBK852009:TBL852031 TLG852009:TLH852031 TVC852009:TVD852031 UEY852009:UEZ852031 UOU852009:UOV852031 UYQ852009:UYR852031 VIM852009:VIN852031 VSI852009:VSJ852031 WCE852009:WCF852031 WMA852009:WMB852031 WVW852009:WVX852031 O917545:P917567 JK917545:JL917567 TG917545:TH917567 ADC917545:ADD917567 AMY917545:AMZ917567 AWU917545:AWV917567 BGQ917545:BGR917567 BQM917545:BQN917567 CAI917545:CAJ917567 CKE917545:CKF917567 CUA917545:CUB917567 DDW917545:DDX917567 DNS917545:DNT917567 DXO917545:DXP917567 EHK917545:EHL917567 ERG917545:ERH917567 FBC917545:FBD917567 FKY917545:FKZ917567 FUU917545:FUV917567 GEQ917545:GER917567 GOM917545:GON917567 GYI917545:GYJ917567 HIE917545:HIF917567 HSA917545:HSB917567 IBW917545:IBX917567 ILS917545:ILT917567 IVO917545:IVP917567 JFK917545:JFL917567 JPG917545:JPH917567 JZC917545:JZD917567 KIY917545:KIZ917567 KSU917545:KSV917567 LCQ917545:LCR917567 LMM917545:LMN917567 LWI917545:LWJ917567 MGE917545:MGF917567 MQA917545:MQB917567 MZW917545:MZX917567 NJS917545:NJT917567 NTO917545:NTP917567 ODK917545:ODL917567 ONG917545:ONH917567 OXC917545:OXD917567 PGY917545:PGZ917567 PQU917545:PQV917567 QAQ917545:QAR917567 QKM917545:QKN917567 QUI917545:QUJ917567 REE917545:REF917567 ROA917545:ROB917567 RXW917545:RXX917567 SHS917545:SHT917567 SRO917545:SRP917567 TBK917545:TBL917567 TLG917545:TLH917567 TVC917545:TVD917567 UEY917545:UEZ917567 UOU917545:UOV917567 UYQ917545:UYR917567 VIM917545:VIN917567 VSI917545:VSJ917567 WCE917545:WCF917567 WMA917545:WMB917567 WVW917545:WVX917567 O983081:P983103 JK983081:JL983103 TG983081:TH983103 ADC983081:ADD983103 AMY983081:AMZ983103 AWU983081:AWV983103 BGQ983081:BGR983103 BQM983081:BQN983103 CAI983081:CAJ983103 CKE983081:CKF983103 CUA983081:CUB983103 DDW983081:DDX983103 DNS983081:DNT983103 DXO983081:DXP983103 EHK983081:EHL983103 ERG983081:ERH983103 FBC983081:FBD983103 FKY983081:FKZ983103 FUU983081:FUV983103 GEQ983081:GER983103 GOM983081:GON983103 GYI983081:GYJ983103 HIE983081:HIF983103 HSA983081:HSB983103 IBW983081:IBX983103 ILS983081:ILT983103 IVO983081:IVP983103 JFK983081:JFL983103 JPG983081:JPH983103 JZC983081:JZD983103 KIY983081:KIZ983103 KSU983081:KSV983103 LCQ983081:LCR983103 LMM983081:LMN983103 LWI983081:LWJ983103 MGE983081:MGF983103 MQA983081:MQB983103 MZW983081:MZX983103 NJS983081:NJT983103 NTO983081:NTP983103 ODK983081:ODL983103 ONG983081:ONH983103 OXC983081:OXD983103 PGY983081:PGZ983103 PQU983081:PQV983103 QAQ983081:QAR983103 QKM983081:QKN983103 QUI983081:QUJ983103 REE983081:REF983103 ROA983081:ROB983103 RXW983081:RXX983103 SHS983081:SHT983103 SRO983081:SRP983103 TBK983081:TBL983103 TLG983081:TLH983103 TVC983081:TVD983103 UEY983081:UEZ983103 UOU983081:UOV983103 UYQ983081:UYR983103 VIM983081:VIN983103 VSI983081:VSJ983103 WCE983081:WCF983103 WMA983081:WMB983103 WVW983081:WVX983103" xr:uid="{3185EF87-08B1-4F36-BDBA-7B8C28626CD0}">
      <formula1>"○"</formula1>
    </dataValidation>
    <dataValidation type="list" allowBlank="1" showInputMessage="1" showErrorMessage="1" sqref="AB41:AB63 JX41:JX63 TT41:TT63 ADP41:ADP63 ANL41:ANL63 AXH41:AXH63 BHD41:BHD63 BQZ41:BQZ63 CAV41:CAV63 CKR41:CKR63 CUN41:CUN63 DEJ41:DEJ63 DOF41:DOF63 DYB41:DYB63 EHX41:EHX63 ERT41:ERT63 FBP41:FBP63 FLL41:FLL63 FVH41:FVH63 GFD41:GFD63 GOZ41:GOZ63 GYV41:GYV63 HIR41:HIR63 HSN41:HSN63 ICJ41:ICJ63 IMF41:IMF63 IWB41:IWB63 JFX41:JFX63 JPT41:JPT63 JZP41:JZP63 KJL41:KJL63 KTH41:KTH63 LDD41:LDD63 LMZ41:LMZ63 LWV41:LWV63 MGR41:MGR63 MQN41:MQN63 NAJ41:NAJ63 NKF41:NKF63 NUB41:NUB63 ODX41:ODX63 ONT41:ONT63 OXP41:OXP63 PHL41:PHL63 PRH41:PRH63 QBD41:QBD63 QKZ41:QKZ63 QUV41:QUV63 RER41:RER63 RON41:RON63 RYJ41:RYJ63 SIF41:SIF63 SSB41:SSB63 TBX41:TBX63 TLT41:TLT63 TVP41:TVP63 UFL41:UFL63 UPH41:UPH63 UZD41:UZD63 VIZ41:VIZ63 VSV41:VSV63 WCR41:WCR63 WMN41:WMN63 WWJ41:WWJ63 AB65577:AB65599 JX65577:JX65599 TT65577:TT65599 ADP65577:ADP65599 ANL65577:ANL65599 AXH65577:AXH65599 BHD65577:BHD65599 BQZ65577:BQZ65599 CAV65577:CAV65599 CKR65577:CKR65599 CUN65577:CUN65599 DEJ65577:DEJ65599 DOF65577:DOF65599 DYB65577:DYB65599 EHX65577:EHX65599 ERT65577:ERT65599 FBP65577:FBP65599 FLL65577:FLL65599 FVH65577:FVH65599 GFD65577:GFD65599 GOZ65577:GOZ65599 GYV65577:GYV65599 HIR65577:HIR65599 HSN65577:HSN65599 ICJ65577:ICJ65599 IMF65577:IMF65599 IWB65577:IWB65599 JFX65577:JFX65599 JPT65577:JPT65599 JZP65577:JZP65599 KJL65577:KJL65599 KTH65577:KTH65599 LDD65577:LDD65599 LMZ65577:LMZ65599 LWV65577:LWV65599 MGR65577:MGR65599 MQN65577:MQN65599 NAJ65577:NAJ65599 NKF65577:NKF65599 NUB65577:NUB65599 ODX65577:ODX65599 ONT65577:ONT65599 OXP65577:OXP65599 PHL65577:PHL65599 PRH65577:PRH65599 QBD65577:QBD65599 QKZ65577:QKZ65599 QUV65577:QUV65599 RER65577:RER65599 RON65577:RON65599 RYJ65577:RYJ65599 SIF65577:SIF65599 SSB65577:SSB65599 TBX65577:TBX65599 TLT65577:TLT65599 TVP65577:TVP65599 UFL65577:UFL65599 UPH65577:UPH65599 UZD65577:UZD65599 VIZ65577:VIZ65599 VSV65577:VSV65599 WCR65577:WCR65599 WMN65577:WMN65599 WWJ65577:WWJ65599 AB131113:AB131135 JX131113:JX131135 TT131113:TT131135 ADP131113:ADP131135 ANL131113:ANL131135 AXH131113:AXH131135 BHD131113:BHD131135 BQZ131113:BQZ131135 CAV131113:CAV131135 CKR131113:CKR131135 CUN131113:CUN131135 DEJ131113:DEJ131135 DOF131113:DOF131135 DYB131113:DYB131135 EHX131113:EHX131135 ERT131113:ERT131135 FBP131113:FBP131135 FLL131113:FLL131135 FVH131113:FVH131135 GFD131113:GFD131135 GOZ131113:GOZ131135 GYV131113:GYV131135 HIR131113:HIR131135 HSN131113:HSN131135 ICJ131113:ICJ131135 IMF131113:IMF131135 IWB131113:IWB131135 JFX131113:JFX131135 JPT131113:JPT131135 JZP131113:JZP131135 KJL131113:KJL131135 KTH131113:KTH131135 LDD131113:LDD131135 LMZ131113:LMZ131135 LWV131113:LWV131135 MGR131113:MGR131135 MQN131113:MQN131135 NAJ131113:NAJ131135 NKF131113:NKF131135 NUB131113:NUB131135 ODX131113:ODX131135 ONT131113:ONT131135 OXP131113:OXP131135 PHL131113:PHL131135 PRH131113:PRH131135 QBD131113:QBD131135 QKZ131113:QKZ131135 QUV131113:QUV131135 RER131113:RER131135 RON131113:RON131135 RYJ131113:RYJ131135 SIF131113:SIF131135 SSB131113:SSB131135 TBX131113:TBX131135 TLT131113:TLT131135 TVP131113:TVP131135 UFL131113:UFL131135 UPH131113:UPH131135 UZD131113:UZD131135 VIZ131113:VIZ131135 VSV131113:VSV131135 WCR131113:WCR131135 WMN131113:WMN131135 WWJ131113:WWJ131135 AB196649:AB196671 JX196649:JX196671 TT196649:TT196671 ADP196649:ADP196671 ANL196649:ANL196671 AXH196649:AXH196671 BHD196649:BHD196671 BQZ196649:BQZ196671 CAV196649:CAV196671 CKR196649:CKR196671 CUN196649:CUN196671 DEJ196649:DEJ196671 DOF196649:DOF196671 DYB196649:DYB196671 EHX196649:EHX196671 ERT196649:ERT196671 FBP196649:FBP196671 FLL196649:FLL196671 FVH196649:FVH196671 GFD196649:GFD196671 GOZ196649:GOZ196671 GYV196649:GYV196671 HIR196649:HIR196671 HSN196649:HSN196671 ICJ196649:ICJ196671 IMF196649:IMF196671 IWB196649:IWB196671 JFX196649:JFX196671 JPT196649:JPT196671 JZP196649:JZP196671 KJL196649:KJL196671 KTH196649:KTH196671 LDD196649:LDD196671 LMZ196649:LMZ196671 LWV196649:LWV196671 MGR196649:MGR196671 MQN196649:MQN196671 NAJ196649:NAJ196671 NKF196649:NKF196671 NUB196649:NUB196671 ODX196649:ODX196671 ONT196649:ONT196671 OXP196649:OXP196671 PHL196649:PHL196671 PRH196649:PRH196671 QBD196649:QBD196671 QKZ196649:QKZ196671 QUV196649:QUV196671 RER196649:RER196671 RON196649:RON196671 RYJ196649:RYJ196671 SIF196649:SIF196671 SSB196649:SSB196671 TBX196649:TBX196671 TLT196649:TLT196671 TVP196649:TVP196671 UFL196649:UFL196671 UPH196649:UPH196671 UZD196649:UZD196671 VIZ196649:VIZ196671 VSV196649:VSV196671 WCR196649:WCR196671 WMN196649:WMN196671 WWJ196649:WWJ196671 AB262185:AB262207 JX262185:JX262207 TT262185:TT262207 ADP262185:ADP262207 ANL262185:ANL262207 AXH262185:AXH262207 BHD262185:BHD262207 BQZ262185:BQZ262207 CAV262185:CAV262207 CKR262185:CKR262207 CUN262185:CUN262207 DEJ262185:DEJ262207 DOF262185:DOF262207 DYB262185:DYB262207 EHX262185:EHX262207 ERT262185:ERT262207 FBP262185:FBP262207 FLL262185:FLL262207 FVH262185:FVH262207 GFD262185:GFD262207 GOZ262185:GOZ262207 GYV262185:GYV262207 HIR262185:HIR262207 HSN262185:HSN262207 ICJ262185:ICJ262207 IMF262185:IMF262207 IWB262185:IWB262207 JFX262185:JFX262207 JPT262185:JPT262207 JZP262185:JZP262207 KJL262185:KJL262207 KTH262185:KTH262207 LDD262185:LDD262207 LMZ262185:LMZ262207 LWV262185:LWV262207 MGR262185:MGR262207 MQN262185:MQN262207 NAJ262185:NAJ262207 NKF262185:NKF262207 NUB262185:NUB262207 ODX262185:ODX262207 ONT262185:ONT262207 OXP262185:OXP262207 PHL262185:PHL262207 PRH262185:PRH262207 QBD262185:QBD262207 QKZ262185:QKZ262207 QUV262185:QUV262207 RER262185:RER262207 RON262185:RON262207 RYJ262185:RYJ262207 SIF262185:SIF262207 SSB262185:SSB262207 TBX262185:TBX262207 TLT262185:TLT262207 TVP262185:TVP262207 UFL262185:UFL262207 UPH262185:UPH262207 UZD262185:UZD262207 VIZ262185:VIZ262207 VSV262185:VSV262207 WCR262185:WCR262207 WMN262185:WMN262207 WWJ262185:WWJ262207 AB327721:AB327743 JX327721:JX327743 TT327721:TT327743 ADP327721:ADP327743 ANL327721:ANL327743 AXH327721:AXH327743 BHD327721:BHD327743 BQZ327721:BQZ327743 CAV327721:CAV327743 CKR327721:CKR327743 CUN327721:CUN327743 DEJ327721:DEJ327743 DOF327721:DOF327743 DYB327721:DYB327743 EHX327721:EHX327743 ERT327721:ERT327743 FBP327721:FBP327743 FLL327721:FLL327743 FVH327721:FVH327743 GFD327721:GFD327743 GOZ327721:GOZ327743 GYV327721:GYV327743 HIR327721:HIR327743 HSN327721:HSN327743 ICJ327721:ICJ327743 IMF327721:IMF327743 IWB327721:IWB327743 JFX327721:JFX327743 JPT327721:JPT327743 JZP327721:JZP327743 KJL327721:KJL327743 KTH327721:KTH327743 LDD327721:LDD327743 LMZ327721:LMZ327743 LWV327721:LWV327743 MGR327721:MGR327743 MQN327721:MQN327743 NAJ327721:NAJ327743 NKF327721:NKF327743 NUB327721:NUB327743 ODX327721:ODX327743 ONT327721:ONT327743 OXP327721:OXP327743 PHL327721:PHL327743 PRH327721:PRH327743 QBD327721:QBD327743 QKZ327721:QKZ327743 QUV327721:QUV327743 RER327721:RER327743 RON327721:RON327743 RYJ327721:RYJ327743 SIF327721:SIF327743 SSB327721:SSB327743 TBX327721:TBX327743 TLT327721:TLT327743 TVP327721:TVP327743 UFL327721:UFL327743 UPH327721:UPH327743 UZD327721:UZD327743 VIZ327721:VIZ327743 VSV327721:VSV327743 WCR327721:WCR327743 WMN327721:WMN327743 WWJ327721:WWJ327743 AB393257:AB393279 JX393257:JX393279 TT393257:TT393279 ADP393257:ADP393279 ANL393257:ANL393279 AXH393257:AXH393279 BHD393257:BHD393279 BQZ393257:BQZ393279 CAV393257:CAV393279 CKR393257:CKR393279 CUN393257:CUN393279 DEJ393257:DEJ393279 DOF393257:DOF393279 DYB393257:DYB393279 EHX393257:EHX393279 ERT393257:ERT393279 FBP393257:FBP393279 FLL393257:FLL393279 FVH393257:FVH393279 GFD393257:GFD393279 GOZ393257:GOZ393279 GYV393257:GYV393279 HIR393257:HIR393279 HSN393257:HSN393279 ICJ393257:ICJ393279 IMF393257:IMF393279 IWB393257:IWB393279 JFX393257:JFX393279 JPT393257:JPT393279 JZP393257:JZP393279 KJL393257:KJL393279 KTH393257:KTH393279 LDD393257:LDD393279 LMZ393257:LMZ393279 LWV393257:LWV393279 MGR393257:MGR393279 MQN393257:MQN393279 NAJ393257:NAJ393279 NKF393257:NKF393279 NUB393257:NUB393279 ODX393257:ODX393279 ONT393257:ONT393279 OXP393257:OXP393279 PHL393257:PHL393279 PRH393257:PRH393279 QBD393257:QBD393279 QKZ393257:QKZ393279 QUV393257:QUV393279 RER393257:RER393279 RON393257:RON393279 RYJ393257:RYJ393279 SIF393257:SIF393279 SSB393257:SSB393279 TBX393257:TBX393279 TLT393257:TLT393279 TVP393257:TVP393279 UFL393257:UFL393279 UPH393257:UPH393279 UZD393257:UZD393279 VIZ393257:VIZ393279 VSV393257:VSV393279 WCR393257:WCR393279 WMN393257:WMN393279 WWJ393257:WWJ393279 AB458793:AB458815 JX458793:JX458815 TT458793:TT458815 ADP458793:ADP458815 ANL458793:ANL458815 AXH458793:AXH458815 BHD458793:BHD458815 BQZ458793:BQZ458815 CAV458793:CAV458815 CKR458793:CKR458815 CUN458793:CUN458815 DEJ458793:DEJ458815 DOF458793:DOF458815 DYB458793:DYB458815 EHX458793:EHX458815 ERT458793:ERT458815 FBP458793:FBP458815 FLL458793:FLL458815 FVH458793:FVH458815 GFD458793:GFD458815 GOZ458793:GOZ458815 GYV458793:GYV458815 HIR458793:HIR458815 HSN458793:HSN458815 ICJ458793:ICJ458815 IMF458793:IMF458815 IWB458793:IWB458815 JFX458793:JFX458815 JPT458793:JPT458815 JZP458793:JZP458815 KJL458793:KJL458815 KTH458793:KTH458815 LDD458793:LDD458815 LMZ458793:LMZ458815 LWV458793:LWV458815 MGR458793:MGR458815 MQN458793:MQN458815 NAJ458793:NAJ458815 NKF458793:NKF458815 NUB458793:NUB458815 ODX458793:ODX458815 ONT458793:ONT458815 OXP458793:OXP458815 PHL458793:PHL458815 PRH458793:PRH458815 QBD458793:QBD458815 QKZ458793:QKZ458815 QUV458793:QUV458815 RER458793:RER458815 RON458793:RON458815 RYJ458793:RYJ458815 SIF458793:SIF458815 SSB458793:SSB458815 TBX458793:TBX458815 TLT458793:TLT458815 TVP458793:TVP458815 UFL458793:UFL458815 UPH458793:UPH458815 UZD458793:UZD458815 VIZ458793:VIZ458815 VSV458793:VSV458815 WCR458793:WCR458815 WMN458793:WMN458815 WWJ458793:WWJ458815 AB524329:AB524351 JX524329:JX524351 TT524329:TT524351 ADP524329:ADP524351 ANL524329:ANL524351 AXH524329:AXH524351 BHD524329:BHD524351 BQZ524329:BQZ524351 CAV524329:CAV524351 CKR524329:CKR524351 CUN524329:CUN524351 DEJ524329:DEJ524351 DOF524329:DOF524351 DYB524329:DYB524351 EHX524329:EHX524351 ERT524329:ERT524351 FBP524329:FBP524351 FLL524329:FLL524351 FVH524329:FVH524351 GFD524329:GFD524351 GOZ524329:GOZ524351 GYV524329:GYV524351 HIR524329:HIR524351 HSN524329:HSN524351 ICJ524329:ICJ524351 IMF524329:IMF524351 IWB524329:IWB524351 JFX524329:JFX524351 JPT524329:JPT524351 JZP524329:JZP524351 KJL524329:KJL524351 KTH524329:KTH524351 LDD524329:LDD524351 LMZ524329:LMZ524351 LWV524329:LWV524351 MGR524329:MGR524351 MQN524329:MQN524351 NAJ524329:NAJ524351 NKF524329:NKF524351 NUB524329:NUB524351 ODX524329:ODX524351 ONT524329:ONT524351 OXP524329:OXP524351 PHL524329:PHL524351 PRH524329:PRH524351 QBD524329:QBD524351 QKZ524329:QKZ524351 QUV524329:QUV524351 RER524329:RER524351 RON524329:RON524351 RYJ524329:RYJ524351 SIF524329:SIF524351 SSB524329:SSB524351 TBX524329:TBX524351 TLT524329:TLT524351 TVP524329:TVP524351 UFL524329:UFL524351 UPH524329:UPH524351 UZD524329:UZD524351 VIZ524329:VIZ524351 VSV524329:VSV524351 WCR524329:WCR524351 WMN524329:WMN524351 WWJ524329:WWJ524351 AB589865:AB589887 JX589865:JX589887 TT589865:TT589887 ADP589865:ADP589887 ANL589865:ANL589887 AXH589865:AXH589887 BHD589865:BHD589887 BQZ589865:BQZ589887 CAV589865:CAV589887 CKR589865:CKR589887 CUN589865:CUN589887 DEJ589865:DEJ589887 DOF589865:DOF589887 DYB589865:DYB589887 EHX589865:EHX589887 ERT589865:ERT589887 FBP589865:FBP589887 FLL589865:FLL589887 FVH589865:FVH589887 GFD589865:GFD589887 GOZ589865:GOZ589887 GYV589865:GYV589887 HIR589865:HIR589887 HSN589865:HSN589887 ICJ589865:ICJ589887 IMF589865:IMF589887 IWB589865:IWB589887 JFX589865:JFX589887 JPT589865:JPT589887 JZP589865:JZP589887 KJL589865:KJL589887 KTH589865:KTH589887 LDD589865:LDD589887 LMZ589865:LMZ589887 LWV589865:LWV589887 MGR589865:MGR589887 MQN589865:MQN589887 NAJ589865:NAJ589887 NKF589865:NKF589887 NUB589865:NUB589887 ODX589865:ODX589887 ONT589865:ONT589887 OXP589865:OXP589887 PHL589865:PHL589887 PRH589865:PRH589887 QBD589865:QBD589887 QKZ589865:QKZ589887 QUV589865:QUV589887 RER589865:RER589887 RON589865:RON589887 RYJ589865:RYJ589887 SIF589865:SIF589887 SSB589865:SSB589887 TBX589865:TBX589887 TLT589865:TLT589887 TVP589865:TVP589887 UFL589865:UFL589887 UPH589865:UPH589887 UZD589865:UZD589887 VIZ589865:VIZ589887 VSV589865:VSV589887 WCR589865:WCR589887 WMN589865:WMN589887 WWJ589865:WWJ589887 AB655401:AB655423 JX655401:JX655423 TT655401:TT655423 ADP655401:ADP655423 ANL655401:ANL655423 AXH655401:AXH655423 BHD655401:BHD655423 BQZ655401:BQZ655423 CAV655401:CAV655423 CKR655401:CKR655423 CUN655401:CUN655423 DEJ655401:DEJ655423 DOF655401:DOF655423 DYB655401:DYB655423 EHX655401:EHX655423 ERT655401:ERT655423 FBP655401:FBP655423 FLL655401:FLL655423 FVH655401:FVH655423 GFD655401:GFD655423 GOZ655401:GOZ655423 GYV655401:GYV655423 HIR655401:HIR655423 HSN655401:HSN655423 ICJ655401:ICJ655423 IMF655401:IMF655423 IWB655401:IWB655423 JFX655401:JFX655423 JPT655401:JPT655423 JZP655401:JZP655423 KJL655401:KJL655423 KTH655401:KTH655423 LDD655401:LDD655423 LMZ655401:LMZ655423 LWV655401:LWV655423 MGR655401:MGR655423 MQN655401:MQN655423 NAJ655401:NAJ655423 NKF655401:NKF655423 NUB655401:NUB655423 ODX655401:ODX655423 ONT655401:ONT655423 OXP655401:OXP655423 PHL655401:PHL655423 PRH655401:PRH655423 QBD655401:QBD655423 QKZ655401:QKZ655423 QUV655401:QUV655423 RER655401:RER655423 RON655401:RON655423 RYJ655401:RYJ655423 SIF655401:SIF655423 SSB655401:SSB655423 TBX655401:TBX655423 TLT655401:TLT655423 TVP655401:TVP655423 UFL655401:UFL655423 UPH655401:UPH655423 UZD655401:UZD655423 VIZ655401:VIZ655423 VSV655401:VSV655423 WCR655401:WCR655423 WMN655401:WMN655423 WWJ655401:WWJ655423 AB720937:AB720959 JX720937:JX720959 TT720937:TT720959 ADP720937:ADP720959 ANL720937:ANL720959 AXH720937:AXH720959 BHD720937:BHD720959 BQZ720937:BQZ720959 CAV720937:CAV720959 CKR720937:CKR720959 CUN720937:CUN720959 DEJ720937:DEJ720959 DOF720937:DOF720959 DYB720937:DYB720959 EHX720937:EHX720959 ERT720937:ERT720959 FBP720937:FBP720959 FLL720937:FLL720959 FVH720937:FVH720959 GFD720937:GFD720959 GOZ720937:GOZ720959 GYV720937:GYV720959 HIR720937:HIR720959 HSN720937:HSN720959 ICJ720937:ICJ720959 IMF720937:IMF720959 IWB720937:IWB720959 JFX720937:JFX720959 JPT720937:JPT720959 JZP720937:JZP720959 KJL720937:KJL720959 KTH720937:KTH720959 LDD720937:LDD720959 LMZ720937:LMZ720959 LWV720937:LWV720959 MGR720937:MGR720959 MQN720937:MQN720959 NAJ720937:NAJ720959 NKF720937:NKF720959 NUB720937:NUB720959 ODX720937:ODX720959 ONT720937:ONT720959 OXP720937:OXP720959 PHL720937:PHL720959 PRH720937:PRH720959 QBD720937:QBD720959 QKZ720937:QKZ720959 QUV720937:QUV720959 RER720937:RER720959 RON720937:RON720959 RYJ720937:RYJ720959 SIF720937:SIF720959 SSB720937:SSB720959 TBX720937:TBX720959 TLT720937:TLT720959 TVP720937:TVP720959 UFL720937:UFL720959 UPH720937:UPH720959 UZD720937:UZD720959 VIZ720937:VIZ720959 VSV720937:VSV720959 WCR720937:WCR720959 WMN720937:WMN720959 WWJ720937:WWJ720959 AB786473:AB786495 JX786473:JX786495 TT786473:TT786495 ADP786473:ADP786495 ANL786473:ANL786495 AXH786473:AXH786495 BHD786473:BHD786495 BQZ786473:BQZ786495 CAV786473:CAV786495 CKR786473:CKR786495 CUN786473:CUN786495 DEJ786473:DEJ786495 DOF786473:DOF786495 DYB786473:DYB786495 EHX786473:EHX786495 ERT786473:ERT786495 FBP786473:FBP786495 FLL786473:FLL786495 FVH786473:FVH786495 GFD786473:GFD786495 GOZ786473:GOZ786495 GYV786473:GYV786495 HIR786473:HIR786495 HSN786473:HSN786495 ICJ786473:ICJ786495 IMF786473:IMF786495 IWB786473:IWB786495 JFX786473:JFX786495 JPT786473:JPT786495 JZP786473:JZP786495 KJL786473:KJL786495 KTH786473:KTH786495 LDD786473:LDD786495 LMZ786473:LMZ786495 LWV786473:LWV786495 MGR786473:MGR786495 MQN786473:MQN786495 NAJ786473:NAJ786495 NKF786473:NKF786495 NUB786473:NUB786495 ODX786473:ODX786495 ONT786473:ONT786495 OXP786473:OXP786495 PHL786473:PHL786495 PRH786473:PRH786495 QBD786473:QBD786495 QKZ786473:QKZ786495 QUV786473:QUV786495 RER786473:RER786495 RON786473:RON786495 RYJ786473:RYJ786495 SIF786473:SIF786495 SSB786473:SSB786495 TBX786473:TBX786495 TLT786473:TLT786495 TVP786473:TVP786495 UFL786473:UFL786495 UPH786473:UPH786495 UZD786473:UZD786495 VIZ786473:VIZ786495 VSV786473:VSV786495 WCR786473:WCR786495 WMN786473:WMN786495 WWJ786473:WWJ786495 AB852009:AB852031 JX852009:JX852031 TT852009:TT852031 ADP852009:ADP852031 ANL852009:ANL852031 AXH852009:AXH852031 BHD852009:BHD852031 BQZ852009:BQZ852031 CAV852009:CAV852031 CKR852009:CKR852031 CUN852009:CUN852031 DEJ852009:DEJ852031 DOF852009:DOF852031 DYB852009:DYB852031 EHX852009:EHX852031 ERT852009:ERT852031 FBP852009:FBP852031 FLL852009:FLL852031 FVH852009:FVH852031 GFD852009:GFD852031 GOZ852009:GOZ852031 GYV852009:GYV852031 HIR852009:HIR852031 HSN852009:HSN852031 ICJ852009:ICJ852031 IMF852009:IMF852031 IWB852009:IWB852031 JFX852009:JFX852031 JPT852009:JPT852031 JZP852009:JZP852031 KJL852009:KJL852031 KTH852009:KTH852031 LDD852009:LDD852031 LMZ852009:LMZ852031 LWV852009:LWV852031 MGR852009:MGR852031 MQN852009:MQN852031 NAJ852009:NAJ852031 NKF852009:NKF852031 NUB852009:NUB852031 ODX852009:ODX852031 ONT852009:ONT852031 OXP852009:OXP852031 PHL852009:PHL852031 PRH852009:PRH852031 QBD852009:QBD852031 QKZ852009:QKZ852031 QUV852009:QUV852031 RER852009:RER852031 RON852009:RON852031 RYJ852009:RYJ852031 SIF852009:SIF852031 SSB852009:SSB852031 TBX852009:TBX852031 TLT852009:TLT852031 TVP852009:TVP852031 UFL852009:UFL852031 UPH852009:UPH852031 UZD852009:UZD852031 VIZ852009:VIZ852031 VSV852009:VSV852031 WCR852009:WCR852031 WMN852009:WMN852031 WWJ852009:WWJ852031 AB917545:AB917567 JX917545:JX917567 TT917545:TT917567 ADP917545:ADP917567 ANL917545:ANL917567 AXH917545:AXH917567 BHD917545:BHD917567 BQZ917545:BQZ917567 CAV917545:CAV917567 CKR917545:CKR917567 CUN917545:CUN917567 DEJ917545:DEJ917567 DOF917545:DOF917567 DYB917545:DYB917567 EHX917545:EHX917567 ERT917545:ERT917567 FBP917545:FBP917567 FLL917545:FLL917567 FVH917545:FVH917567 GFD917545:GFD917567 GOZ917545:GOZ917567 GYV917545:GYV917567 HIR917545:HIR917567 HSN917545:HSN917567 ICJ917545:ICJ917567 IMF917545:IMF917567 IWB917545:IWB917567 JFX917545:JFX917567 JPT917545:JPT917567 JZP917545:JZP917567 KJL917545:KJL917567 KTH917545:KTH917567 LDD917545:LDD917567 LMZ917545:LMZ917567 LWV917545:LWV917567 MGR917545:MGR917567 MQN917545:MQN917567 NAJ917545:NAJ917567 NKF917545:NKF917567 NUB917545:NUB917567 ODX917545:ODX917567 ONT917545:ONT917567 OXP917545:OXP917567 PHL917545:PHL917567 PRH917545:PRH917567 QBD917545:QBD917567 QKZ917545:QKZ917567 QUV917545:QUV917567 RER917545:RER917567 RON917545:RON917567 RYJ917545:RYJ917567 SIF917545:SIF917567 SSB917545:SSB917567 TBX917545:TBX917567 TLT917545:TLT917567 TVP917545:TVP917567 UFL917545:UFL917567 UPH917545:UPH917567 UZD917545:UZD917567 VIZ917545:VIZ917567 VSV917545:VSV917567 WCR917545:WCR917567 WMN917545:WMN917567 WWJ917545:WWJ917567 AB983081:AB983103 JX983081:JX983103 TT983081:TT983103 ADP983081:ADP983103 ANL983081:ANL983103 AXH983081:AXH983103 BHD983081:BHD983103 BQZ983081:BQZ983103 CAV983081:CAV983103 CKR983081:CKR983103 CUN983081:CUN983103 DEJ983081:DEJ983103 DOF983081:DOF983103 DYB983081:DYB983103 EHX983081:EHX983103 ERT983081:ERT983103 FBP983081:FBP983103 FLL983081:FLL983103 FVH983081:FVH983103 GFD983081:GFD983103 GOZ983081:GOZ983103 GYV983081:GYV983103 HIR983081:HIR983103 HSN983081:HSN983103 ICJ983081:ICJ983103 IMF983081:IMF983103 IWB983081:IWB983103 JFX983081:JFX983103 JPT983081:JPT983103 JZP983081:JZP983103 KJL983081:KJL983103 KTH983081:KTH983103 LDD983081:LDD983103 LMZ983081:LMZ983103 LWV983081:LWV983103 MGR983081:MGR983103 MQN983081:MQN983103 NAJ983081:NAJ983103 NKF983081:NKF983103 NUB983081:NUB983103 ODX983081:ODX983103 ONT983081:ONT983103 OXP983081:OXP983103 PHL983081:PHL983103 PRH983081:PRH983103 QBD983081:QBD983103 QKZ983081:QKZ983103 QUV983081:QUV983103 RER983081:RER983103 RON983081:RON983103 RYJ983081:RYJ983103 SIF983081:SIF983103 SSB983081:SSB983103 TBX983081:TBX983103 TLT983081:TLT983103 TVP983081:TVP983103 UFL983081:UFL983103 UPH983081:UPH983103 UZD983081:UZD983103 VIZ983081:VIZ983103 VSV983081:VSV983103 WCR983081:WCR983103 WMN983081:WMN983103 WWJ983081:WWJ983103 Y41:Y63 JU41:JU63 TQ41:TQ63 ADM41:ADM63 ANI41:ANI63 AXE41:AXE63 BHA41:BHA63 BQW41:BQW63 CAS41:CAS63 CKO41:CKO63 CUK41:CUK63 DEG41:DEG63 DOC41:DOC63 DXY41:DXY63 EHU41:EHU63 ERQ41:ERQ63 FBM41:FBM63 FLI41:FLI63 FVE41:FVE63 GFA41:GFA63 GOW41:GOW63 GYS41:GYS63 HIO41:HIO63 HSK41:HSK63 ICG41:ICG63 IMC41:IMC63 IVY41:IVY63 JFU41:JFU63 JPQ41:JPQ63 JZM41:JZM63 KJI41:KJI63 KTE41:KTE63 LDA41:LDA63 LMW41:LMW63 LWS41:LWS63 MGO41:MGO63 MQK41:MQK63 NAG41:NAG63 NKC41:NKC63 NTY41:NTY63 ODU41:ODU63 ONQ41:ONQ63 OXM41:OXM63 PHI41:PHI63 PRE41:PRE63 QBA41:QBA63 QKW41:QKW63 QUS41:QUS63 REO41:REO63 ROK41:ROK63 RYG41:RYG63 SIC41:SIC63 SRY41:SRY63 TBU41:TBU63 TLQ41:TLQ63 TVM41:TVM63 UFI41:UFI63 UPE41:UPE63 UZA41:UZA63 VIW41:VIW63 VSS41:VSS63 WCO41:WCO63 WMK41:WMK63 WWG41:WWG63 Y65577:Y65599 JU65577:JU65599 TQ65577:TQ65599 ADM65577:ADM65599 ANI65577:ANI65599 AXE65577:AXE65599 BHA65577:BHA65599 BQW65577:BQW65599 CAS65577:CAS65599 CKO65577:CKO65599 CUK65577:CUK65599 DEG65577:DEG65599 DOC65577:DOC65599 DXY65577:DXY65599 EHU65577:EHU65599 ERQ65577:ERQ65599 FBM65577:FBM65599 FLI65577:FLI65599 FVE65577:FVE65599 GFA65577:GFA65599 GOW65577:GOW65599 GYS65577:GYS65599 HIO65577:HIO65599 HSK65577:HSK65599 ICG65577:ICG65599 IMC65577:IMC65599 IVY65577:IVY65599 JFU65577:JFU65599 JPQ65577:JPQ65599 JZM65577:JZM65599 KJI65577:KJI65599 KTE65577:KTE65599 LDA65577:LDA65599 LMW65577:LMW65599 LWS65577:LWS65599 MGO65577:MGO65599 MQK65577:MQK65599 NAG65577:NAG65599 NKC65577:NKC65599 NTY65577:NTY65599 ODU65577:ODU65599 ONQ65577:ONQ65599 OXM65577:OXM65599 PHI65577:PHI65599 PRE65577:PRE65599 QBA65577:QBA65599 QKW65577:QKW65599 QUS65577:QUS65599 REO65577:REO65599 ROK65577:ROK65599 RYG65577:RYG65599 SIC65577:SIC65599 SRY65577:SRY65599 TBU65577:TBU65599 TLQ65577:TLQ65599 TVM65577:TVM65599 UFI65577:UFI65599 UPE65577:UPE65599 UZA65577:UZA65599 VIW65577:VIW65599 VSS65577:VSS65599 WCO65577:WCO65599 WMK65577:WMK65599 WWG65577:WWG65599 Y131113:Y131135 JU131113:JU131135 TQ131113:TQ131135 ADM131113:ADM131135 ANI131113:ANI131135 AXE131113:AXE131135 BHA131113:BHA131135 BQW131113:BQW131135 CAS131113:CAS131135 CKO131113:CKO131135 CUK131113:CUK131135 DEG131113:DEG131135 DOC131113:DOC131135 DXY131113:DXY131135 EHU131113:EHU131135 ERQ131113:ERQ131135 FBM131113:FBM131135 FLI131113:FLI131135 FVE131113:FVE131135 GFA131113:GFA131135 GOW131113:GOW131135 GYS131113:GYS131135 HIO131113:HIO131135 HSK131113:HSK131135 ICG131113:ICG131135 IMC131113:IMC131135 IVY131113:IVY131135 JFU131113:JFU131135 JPQ131113:JPQ131135 JZM131113:JZM131135 KJI131113:KJI131135 KTE131113:KTE131135 LDA131113:LDA131135 LMW131113:LMW131135 LWS131113:LWS131135 MGO131113:MGO131135 MQK131113:MQK131135 NAG131113:NAG131135 NKC131113:NKC131135 NTY131113:NTY131135 ODU131113:ODU131135 ONQ131113:ONQ131135 OXM131113:OXM131135 PHI131113:PHI131135 PRE131113:PRE131135 QBA131113:QBA131135 QKW131113:QKW131135 QUS131113:QUS131135 REO131113:REO131135 ROK131113:ROK131135 RYG131113:RYG131135 SIC131113:SIC131135 SRY131113:SRY131135 TBU131113:TBU131135 TLQ131113:TLQ131135 TVM131113:TVM131135 UFI131113:UFI131135 UPE131113:UPE131135 UZA131113:UZA131135 VIW131113:VIW131135 VSS131113:VSS131135 WCO131113:WCO131135 WMK131113:WMK131135 WWG131113:WWG131135 Y196649:Y196671 JU196649:JU196671 TQ196649:TQ196671 ADM196649:ADM196671 ANI196649:ANI196671 AXE196649:AXE196671 BHA196649:BHA196671 BQW196649:BQW196671 CAS196649:CAS196671 CKO196649:CKO196671 CUK196649:CUK196671 DEG196649:DEG196671 DOC196649:DOC196671 DXY196649:DXY196671 EHU196649:EHU196671 ERQ196649:ERQ196671 FBM196649:FBM196671 FLI196649:FLI196671 FVE196649:FVE196671 GFA196649:GFA196671 GOW196649:GOW196671 GYS196649:GYS196671 HIO196649:HIO196671 HSK196649:HSK196671 ICG196649:ICG196671 IMC196649:IMC196671 IVY196649:IVY196671 JFU196649:JFU196671 JPQ196649:JPQ196671 JZM196649:JZM196671 KJI196649:KJI196671 KTE196649:KTE196671 LDA196649:LDA196671 LMW196649:LMW196671 LWS196649:LWS196671 MGO196649:MGO196671 MQK196649:MQK196671 NAG196649:NAG196671 NKC196649:NKC196671 NTY196649:NTY196671 ODU196649:ODU196671 ONQ196649:ONQ196671 OXM196649:OXM196671 PHI196649:PHI196671 PRE196649:PRE196671 QBA196649:QBA196671 QKW196649:QKW196671 QUS196649:QUS196671 REO196649:REO196671 ROK196649:ROK196671 RYG196649:RYG196671 SIC196649:SIC196671 SRY196649:SRY196671 TBU196649:TBU196671 TLQ196649:TLQ196671 TVM196649:TVM196671 UFI196649:UFI196671 UPE196649:UPE196671 UZA196649:UZA196671 VIW196649:VIW196671 VSS196649:VSS196671 WCO196649:WCO196671 WMK196649:WMK196671 WWG196649:WWG196671 Y262185:Y262207 JU262185:JU262207 TQ262185:TQ262207 ADM262185:ADM262207 ANI262185:ANI262207 AXE262185:AXE262207 BHA262185:BHA262207 BQW262185:BQW262207 CAS262185:CAS262207 CKO262185:CKO262207 CUK262185:CUK262207 DEG262185:DEG262207 DOC262185:DOC262207 DXY262185:DXY262207 EHU262185:EHU262207 ERQ262185:ERQ262207 FBM262185:FBM262207 FLI262185:FLI262207 FVE262185:FVE262207 GFA262185:GFA262207 GOW262185:GOW262207 GYS262185:GYS262207 HIO262185:HIO262207 HSK262185:HSK262207 ICG262185:ICG262207 IMC262185:IMC262207 IVY262185:IVY262207 JFU262185:JFU262207 JPQ262185:JPQ262207 JZM262185:JZM262207 KJI262185:KJI262207 KTE262185:KTE262207 LDA262185:LDA262207 LMW262185:LMW262207 LWS262185:LWS262207 MGO262185:MGO262207 MQK262185:MQK262207 NAG262185:NAG262207 NKC262185:NKC262207 NTY262185:NTY262207 ODU262185:ODU262207 ONQ262185:ONQ262207 OXM262185:OXM262207 PHI262185:PHI262207 PRE262185:PRE262207 QBA262185:QBA262207 QKW262185:QKW262207 QUS262185:QUS262207 REO262185:REO262207 ROK262185:ROK262207 RYG262185:RYG262207 SIC262185:SIC262207 SRY262185:SRY262207 TBU262185:TBU262207 TLQ262185:TLQ262207 TVM262185:TVM262207 UFI262185:UFI262207 UPE262185:UPE262207 UZA262185:UZA262207 VIW262185:VIW262207 VSS262185:VSS262207 WCO262185:WCO262207 WMK262185:WMK262207 WWG262185:WWG262207 Y327721:Y327743 JU327721:JU327743 TQ327721:TQ327743 ADM327721:ADM327743 ANI327721:ANI327743 AXE327721:AXE327743 BHA327721:BHA327743 BQW327721:BQW327743 CAS327721:CAS327743 CKO327721:CKO327743 CUK327721:CUK327743 DEG327721:DEG327743 DOC327721:DOC327743 DXY327721:DXY327743 EHU327721:EHU327743 ERQ327721:ERQ327743 FBM327721:FBM327743 FLI327721:FLI327743 FVE327721:FVE327743 GFA327721:GFA327743 GOW327721:GOW327743 GYS327721:GYS327743 HIO327721:HIO327743 HSK327721:HSK327743 ICG327721:ICG327743 IMC327721:IMC327743 IVY327721:IVY327743 JFU327721:JFU327743 JPQ327721:JPQ327743 JZM327721:JZM327743 KJI327721:KJI327743 KTE327721:KTE327743 LDA327721:LDA327743 LMW327721:LMW327743 LWS327721:LWS327743 MGO327721:MGO327743 MQK327721:MQK327743 NAG327721:NAG327743 NKC327721:NKC327743 NTY327721:NTY327743 ODU327721:ODU327743 ONQ327721:ONQ327743 OXM327721:OXM327743 PHI327721:PHI327743 PRE327721:PRE327743 QBA327721:QBA327743 QKW327721:QKW327743 QUS327721:QUS327743 REO327721:REO327743 ROK327721:ROK327743 RYG327721:RYG327743 SIC327721:SIC327743 SRY327721:SRY327743 TBU327721:TBU327743 TLQ327721:TLQ327743 TVM327721:TVM327743 UFI327721:UFI327743 UPE327721:UPE327743 UZA327721:UZA327743 VIW327721:VIW327743 VSS327721:VSS327743 WCO327721:WCO327743 WMK327721:WMK327743 WWG327721:WWG327743 Y393257:Y393279 JU393257:JU393279 TQ393257:TQ393279 ADM393257:ADM393279 ANI393257:ANI393279 AXE393257:AXE393279 BHA393257:BHA393279 BQW393257:BQW393279 CAS393257:CAS393279 CKO393257:CKO393279 CUK393257:CUK393279 DEG393257:DEG393279 DOC393257:DOC393279 DXY393257:DXY393279 EHU393257:EHU393279 ERQ393257:ERQ393279 FBM393257:FBM393279 FLI393257:FLI393279 FVE393257:FVE393279 GFA393257:GFA393279 GOW393257:GOW393279 GYS393257:GYS393279 HIO393257:HIO393279 HSK393257:HSK393279 ICG393257:ICG393279 IMC393257:IMC393279 IVY393257:IVY393279 JFU393257:JFU393279 JPQ393257:JPQ393279 JZM393257:JZM393279 KJI393257:KJI393279 KTE393257:KTE393279 LDA393257:LDA393279 LMW393257:LMW393279 LWS393257:LWS393279 MGO393257:MGO393279 MQK393257:MQK393279 NAG393257:NAG393279 NKC393257:NKC393279 NTY393257:NTY393279 ODU393257:ODU393279 ONQ393257:ONQ393279 OXM393257:OXM393279 PHI393257:PHI393279 PRE393257:PRE393279 QBA393257:QBA393279 QKW393257:QKW393279 QUS393257:QUS393279 REO393257:REO393279 ROK393257:ROK393279 RYG393257:RYG393279 SIC393257:SIC393279 SRY393257:SRY393279 TBU393257:TBU393279 TLQ393257:TLQ393279 TVM393257:TVM393279 UFI393257:UFI393279 UPE393257:UPE393279 UZA393257:UZA393279 VIW393257:VIW393279 VSS393257:VSS393279 WCO393257:WCO393279 WMK393257:WMK393279 WWG393257:WWG393279 Y458793:Y458815 JU458793:JU458815 TQ458793:TQ458815 ADM458793:ADM458815 ANI458793:ANI458815 AXE458793:AXE458815 BHA458793:BHA458815 BQW458793:BQW458815 CAS458793:CAS458815 CKO458793:CKO458815 CUK458793:CUK458815 DEG458793:DEG458815 DOC458793:DOC458815 DXY458793:DXY458815 EHU458793:EHU458815 ERQ458793:ERQ458815 FBM458793:FBM458815 FLI458793:FLI458815 FVE458793:FVE458815 GFA458793:GFA458815 GOW458793:GOW458815 GYS458793:GYS458815 HIO458793:HIO458815 HSK458793:HSK458815 ICG458793:ICG458815 IMC458793:IMC458815 IVY458793:IVY458815 JFU458793:JFU458815 JPQ458793:JPQ458815 JZM458793:JZM458815 KJI458793:KJI458815 KTE458793:KTE458815 LDA458793:LDA458815 LMW458793:LMW458815 LWS458793:LWS458815 MGO458793:MGO458815 MQK458793:MQK458815 NAG458793:NAG458815 NKC458793:NKC458815 NTY458793:NTY458815 ODU458793:ODU458815 ONQ458793:ONQ458815 OXM458793:OXM458815 PHI458793:PHI458815 PRE458793:PRE458815 QBA458793:QBA458815 QKW458793:QKW458815 QUS458793:QUS458815 REO458793:REO458815 ROK458793:ROK458815 RYG458793:RYG458815 SIC458793:SIC458815 SRY458793:SRY458815 TBU458793:TBU458815 TLQ458793:TLQ458815 TVM458793:TVM458815 UFI458793:UFI458815 UPE458793:UPE458815 UZA458793:UZA458815 VIW458793:VIW458815 VSS458793:VSS458815 WCO458793:WCO458815 WMK458793:WMK458815 WWG458793:WWG458815 Y524329:Y524351 JU524329:JU524351 TQ524329:TQ524351 ADM524329:ADM524351 ANI524329:ANI524351 AXE524329:AXE524351 BHA524329:BHA524351 BQW524329:BQW524351 CAS524329:CAS524351 CKO524329:CKO524351 CUK524329:CUK524351 DEG524329:DEG524351 DOC524329:DOC524351 DXY524329:DXY524351 EHU524329:EHU524351 ERQ524329:ERQ524351 FBM524329:FBM524351 FLI524329:FLI524351 FVE524329:FVE524351 GFA524329:GFA524351 GOW524329:GOW524351 GYS524329:GYS524351 HIO524329:HIO524351 HSK524329:HSK524351 ICG524329:ICG524351 IMC524329:IMC524351 IVY524329:IVY524351 JFU524329:JFU524351 JPQ524329:JPQ524351 JZM524329:JZM524351 KJI524329:KJI524351 KTE524329:KTE524351 LDA524329:LDA524351 LMW524329:LMW524351 LWS524329:LWS524351 MGO524329:MGO524351 MQK524329:MQK524351 NAG524329:NAG524351 NKC524329:NKC524351 NTY524329:NTY524351 ODU524329:ODU524351 ONQ524329:ONQ524351 OXM524329:OXM524351 PHI524329:PHI524351 PRE524329:PRE524351 QBA524329:QBA524351 QKW524329:QKW524351 QUS524329:QUS524351 REO524329:REO524351 ROK524329:ROK524351 RYG524329:RYG524351 SIC524329:SIC524351 SRY524329:SRY524351 TBU524329:TBU524351 TLQ524329:TLQ524351 TVM524329:TVM524351 UFI524329:UFI524351 UPE524329:UPE524351 UZA524329:UZA524351 VIW524329:VIW524351 VSS524329:VSS524351 WCO524329:WCO524351 WMK524329:WMK524351 WWG524329:WWG524351 Y589865:Y589887 JU589865:JU589887 TQ589865:TQ589887 ADM589865:ADM589887 ANI589865:ANI589887 AXE589865:AXE589887 BHA589865:BHA589887 BQW589865:BQW589887 CAS589865:CAS589887 CKO589865:CKO589887 CUK589865:CUK589887 DEG589865:DEG589887 DOC589865:DOC589887 DXY589865:DXY589887 EHU589865:EHU589887 ERQ589865:ERQ589887 FBM589865:FBM589887 FLI589865:FLI589887 FVE589865:FVE589887 GFA589865:GFA589887 GOW589865:GOW589887 GYS589865:GYS589887 HIO589865:HIO589887 HSK589865:HSK589887 ICG589865:ICG589887 IMC589865:IMC589887 IVY589865:IVY589887 JFU589865:JFU589887 JPQ589865:JPQ589887 JZM589865:JZM589887 KJI589865:KJI589887 KTE589865:KTE589887 LDA589865:LDA589887 LMW589865:LMW589887 LWS589865:LWS589887 MGO589865:MGO589887 MQK589865:MQK589887 NAG589865:NAG589887 NKC589865:NKC589887 NTY589865:NTY589887 ODU589865:ODU589887 ONQ589865:ONQ589887 OXM589865:OXM589887 PHI589865:PHI589887 PRE589865:PRE589887 QBA589865:QBA589887 QKW589865:QKW589887 QUS589865:QUS589887 REO589865:REO589887 ROK589865:ROK589887 RYG589865:RYG589887 SIC589865:SIC589887 SRY589865:SRY589887 TBU589865:TBU589887 TLQ589865:TLQ589887 TVM589865:TVM589887 UFI589865:UFI589887 UPE589865:UPE589887 UZA589865:UZA589887 VIW589865:VIW589887 VSS589865:VSS589887 WCO589865:WCO589887 WMK589865:WMK589887 WWG589865:WWG589887 Y655401:Y655423 JU655401:JU655423 TQ655401:TQ655423 ADM655401:ADM655423 ANI655401:ANI655423 AXE655401:AXE655423 BHA655401:BHA655423 BQW655401:BQW655423 CAS655401:CAS655423 CKO655401:CKO655423 CUK655401:CUK655423 DEG655401:DEG655423 DOC655401:DOC655423 DXY655401:DXY655423 EHU655401:EHU655423 ERQ655401:ERQ655423 FBM655401:FBM655423 FLI655401:FLI655423 FVE655401:FVE655423 GFA655401:GFA655423 GOW655401:GOW655423 GYS655401:GYS655423 HIO655401:HIO655423 HSK655401:HSK655423 ICG655401:ICG655423 IMC655401:IMC655423 IVY655401:IVY655423 JFU655401:JFU655423 JPQ655401:JPQ655423 JZM655401:JZM655423 KJI655401:KJI655423 KTE655401:KTE655423 LDA655401:LDA655423 LMW655401:LMW655423 LWS655401:LWS655423 MGO655401:MGO655423 MQK655401:MQK655423 NAG655401:NAG655423 NKC655401:NKC655423 NTY655401:NTY655423 ODU655401:ODU655423 ONQ655401:ONQ655423 OXM655401:OXM655423 PHI655401:PHI655423 PRE655401:PRE655423 QBA655401:QBA655423 QKW655401:QKW655423 QUS655401:QUS655423 REO655401:REO655423 ROK655401:ROK655423 RYG655401:RYG655423 SIC655401:SIC655423 SRY655401:SRY655423 TBU655401:TBU655423 TLQ655401:TLQ655423 TVM655401:TVM655423 UFI655401:UFI655423 UPE655401:UPE655423 UZA655401:UZA655423 VIW655401:VIW655423 VSS655401:VSS655423 WCO655401:WCO655423 WMK655401:WMK655423 WWG655401:WWG655423 Y720937:Y720959 JU720937:JU720959 TQ720937:TQ720959 ADM720937:ADM720959 ANI720937:ANI720959 AXE720937:AXE720959 BHA720937:BHA720959 BQW720937:BQW720959 CAS720937:CAS720959 CKO720937:CKO720959 CUK720937:CUK720959 DEG720937:DEG720959 DOC720937:DOC720959 DXY720937:DXY720959 EHU720937:EHU720959 ERQ720937:ERQ720959 FBM720937:FBM720959 FLI720937:FLI720959 FVE720937:FVE720959 GFA720937:GFA720959 GOW720937:GOW720959 GYS720937:GYS720959 HIO720937:HIO720959 HSK720937:HSK720959 ICG720937:ICG720959 IMC720937:IMC720959 IVY720937:IVY720959 JFU720937:JFU720959 JPQ720937:JPQ720959 JZM720937:JZM720959 KJI720937:KJI720959 KTE720937:KTE720959 LDA720937:LDA720959 LMW720937:LMW720959 LWS720937:LWS720959 MGO720937:MGO720959 MQK720937:MQK720959 NAG720937:NAG720959 NKC720937:NKC720959 NTY720937:NTY720959 ODU720937:ODU720959 ONQ720937:ONQ720959 OXM720937:OXM720959 PHI720937:PHI720959 PRE720937:PRE720959 QBA720937:QBA720959 QKW720937:QKW720959 QUS720937:QUS720959 REO720937:REO720959 ROK720937:ROK720959 RYG720937:RYG720959 SIC720937:SIC720959 SRY720937:SRY720959 TBU720937:TBU720959 TLQ720937:TLQ720959 TVM720937:TVM720959 UFI720937:UFI720959 UPE720937:UPE720959 UZA720937:UZA720959 VIW720937:VIW720959 VSS720937:VSS720959 WCO720937:WCO720959 WMK720937:WMK720959 WWG720937:WWG720959 Y786473:Y786495 JU786473:JU786495 TQ786473:TQ786495 ADM786473:ADM786495 ANI786473:ANI786495 AXE786473:AXE786495 BHA786473:BHA786495 BQW786473:BQW786495 CAS786473:CAS786495 CKO786473:CKO786495 CUK786473:CUK786495 DEG786473:DEG786495 DOC786473:DOC786495 DXY786473:DXY786495 EHU786473:EHU786495 ERQ786473:ERQ786495 FBM786473:FBM786495 FLI786473:FLI786495 FVE786473:FVE786495 GFA786473:GFA786495 GOW786473:GOW786495 GYS786473:GYS786495 HIO786473:HIO786495 HSK786473:HSK786495 ICG786473:ICG786495 IMC786473:IMC786495 IVY786473:IVY786495 JFU786473:JFU786495 JPQ786473:JPQ786495 JZM786473:JZM786495 KJI786473:KJI786495 KTE786473:KTE786495 LDA786473:LDA786495 LMW786473:LMW786495 LWS786473:LWS786495 MGO786473:MGO786495 MQK786473:MQK786495 NAG786473:NAG786495 NKC786473:NKC786495 NTY786473:NTY786495 ODU786473:ODU786495 ONQ786473:ONQ786495 OXM786473:OXM786495 PHI786473:PHI786495 PRE786473:PRE786495 QBA786473:QBA786495 QKW786473:QKW786495 QUS786473:QUS786495 REO786473:REO786495 ROK786473:ROK786495 RYG786473:RYG786495 SIC786473:SIC786495 SRY786473:SRY786495 TBU786473:TBU786495 TLQ786473:TLQ786495 TVM786473:TVM786495 UFI786473:UFI786495 UPE786473:UPE786495 UZA786473:UZA786495 VIW786473:VIW786495 VSS786473:VSS786495 WCO786473:WCO786495 WMK786473:WMK786495 WWG786473:WWG786495 Y852009:Y852031 JU852009:JU852031 TQ852009:TQ852031 ADM852009:ADM852031 ANI852009:ANI852031 AXE852009:AXE852031 BHA852009:BHA852031 BQW852009:BQW852031 CAS852009:CAS852031 CKO852009:CKO852031 CUK852009:CUK852031 DEG852009:DEG852031 DOC852009:DOC852031 DXY852009:DXY852031 EHU852009:EHU852031 ERQ852009:ERQ852031 FBM852009:FBM852031 FLI852009:FLI852031 FVE852009:FVE852031 GFA852009:GFA852031 GOW852009:GOW852031 GYS852009:GYS852031 HIO852009:HIO852031 HSK852009:HSK852031 ICG852009:ICG852031 IMC852009:IMC852031 IVY852009:IVY852031 JFU852009:JFU852031 JPQ852009:JPQ852031 JZM852009:JZM852031 KJI852009:KJI852031 KTE852009:KTE852031 LDA852009:LDA852031 LMW852009:LMW852031 LWS852009:LWS852031 MGO852009:MGO852031 MQK852009:MQK852031 NAG852009:NAG852031 NKC852009:NKC852031 NTY852009:NTY852031 ODU852009:ODU852031 ONQ852009:ONQ852031 OXM852009:OXM852031 PHI852009:PHI852031 PRE852009:PRE852031 QBA852009:QBA852031 QKW852009:QKW852031 QUS852009:QUS852031 REO852009:REO852031 ROK852009:ROK852031 RYG852009:RYG852031 SIC852009:SIC852031 SRY852009:SRY852031 TBU852009:TBU852031 TLQ852009:TLQ852031 TVM852009:TVM852031 UFI852009:UFI852031 UPE852009:UPE852031 UZA852009:UZA852031 VIW852009:VIW852031 VSS852009:VSS852031 WCO852009:WCO852031 WMK852009:WMK852031 WWG852009:WWG852031 Y917545:Y917567 JU917545:JU917567 TQ917545:TQ917567 ADM917545:ADM917567 ANI917545:ANI917567 AXE917545:AXE917567 BHA917545:BHA917567 BQW917545:BQW917567 CAS917545:CAS917567 CKO917545:CKO917567 CUK917545:CUK917567 DEG917545:DEG917567 DOC917545:DOC917567 DXY917545:DXY917567 EHU917545:EHU917567 ERQ917545:ERQ917567 FBM917545:FBM917567 FLI917545:FLI917567 FVE917545:FVE917567 GFA917545:GFA917567 GOW917545:GOW917567 GYS917545:GYS917567 HIO917545:HIO917567 HSK917545:HSK917567 ICG917545:ICG917567 IMC917545:IMC917567 IVY917545:IVY917567 JFU917545:JFU917567 JPQ917545:JPQ917567 JZM917545:JZM917567 KJI917545:KJI917567 KTE917545:KTE917567 LDA917545:LDA917567 LMW917545:LMW917567 LWS917545:LWS917567 MGO917545:MGO917567 MQK917545:MQK917567 NAG917545:NAG917567 NKC917545:NKC917567 NTY917545:NTY917567 ODU917545:ODU917567 ONQ917545:ONQ917567 OXM917545:OXM917567 PHI917545:PHI917567 PRE917545:PRE917567 QBA917545:QBA917567 QKW917545:QKW917567 QUS917545:QUS917567 REO917545:REO917567 ROK917545:ROK917567 RYG917545:RYG917567 SIC917545:SIC917567 SRY917545:SRY917567 TBU917545:TBU917567 TLQ917545:TLQ917567 TVM917545:TVM917567 UFI917545:UFI917567 UPE917545:UPE917567 UZA917545:UZA917567 VIW917545:VIW917567 VSS917545:VSS917567 WCO917545:WCO917567 WMK917545:WMK917567 WWG917545:WWG917567 Y983081:Y983103 JU983081:JU983103 TQ983081:TQ983103 ADM983081:ADM983103 ANI983081:ANI983103 AXE983081:AXE983103 BHA983081:BHA983103 BQW983081:BQW983103 CAS983081:CAS983103 CKO983081:CKO983103 CUK983081:CUK983103 DEG983081:DEG983103 DOC983081:DOC983103 DXY983081:DXY983103 EHU983081:EHU983103 ERQ983081:ERQ983103 FBM983081:FBM983103 FLI983081:FLI983103 FVE983081:FVE983103 GFA983081:GFA983103 GOW983081:GOW983103 GYS983081:GYS983103 HIO983081:HIO983103 HSK983081:HSK983103 ICG983081:ICG983103 IMC983081:IMC983103 IVY983081:IVY983103 JFU983081:JFU983103 JPQ983081:JPQ983103 JZM983081:JZM983103 KJI983081:KJI983103 KTE983081:KTE983103 LDA983081:LDA983103 LMW983081:LMW983103 LWS983081:LWS983103 MGO983081:MGO983103 MQK983081:MQK983103 NAG983081:NAG983103 NKC983081:NKC983103 NTY983081:NTY983103 ODU983081:ODU983103 ONQ983081:ONQ983103 OXM983081:OXM983103 PHI983081:PHI983103 PRE983081:PRE983103 QBA983081:QBA983103 QKW983081:QKW983103 QUS983081:QUS983103 REO983081:REO983103 ROK983081:ROK983103 RYG983081:RYG983103 SIC983081:SIC983103 SRY983081:SRY983103 TBU983081:TBU983103 TLQ983081:TLQ983103 TVM983081:TVM983103 UFI983081:UFI983103 UPE983081:UPE983103 UZA983081:UZA983103 VIW983081:VIW983103 VSS983081:VSS983103 WCO983081:WCO983103 WMK983081:WMK983103 WWG983081:WWG983103 V41:V63 JR41:JR63 TN41:TN63 ADJ41:ADJ63 ANF41:ANF63 AXB41:AXB63 BGX41:BGX63 BQT41:BQT63 CAP41:CAP63 CKL41:CKL63 CUH41:CUH63 DED41:DED63 DNZ41:DNZ63 DXV41:DXV63 EHR41:EHR63 ERN41:ERN63 FBJ41:FBJ63 FLF41:FLF63 FVB41:FVB63 GEX41:GEX63 GOT41:GOT63 GYP41:GYP63 HIL41:HIL63 HSH41:HSH63 ICD41:ICD63 ILZ41:ILZ63 IVV41:IVV63 JFR41:JFR63 JPN41:JPN63 JZJ41:JZJ63 KJF41:KJF63 KTB41:KTB63 LCX41:LCX63 LMT41:LMT63 LWP41:LWP63 MGL41:MGL63 MQH41:MQH63 NAD41:NAD63 NJZ41:NJZ63 NTV41:NTV63 ODR41:ODR63 ONN41:ONN63 OXJ41:OXJ63 PHF41:PHF63 PRB41:PRB63 QAX41:QAX63 QKT41:QKT63 QUP41:QUP63 REL41:REL63 ROH41:ROH63 RYD41:RYD63 SHZ41:SHZ63 SRV41:SRV63 TBR41:TBR63 TLN41:TLN63 TVJ41:TVJ63 UFF41:UFF63 UPB41:UPB63 UYX41:UYX63 VIT41:VIT63 VSP41:VSP63 WCL41:WCL63 WMH41:WMH63 WWD41:WWD63 V65577:V65599 JR65577:JR65599 TN65577:TN65599 ADJ65577:ADJ65599 ANF65577:ANF65599 AXB65577:AXB65599 BGX65577:BGX65599 BQT65577:BQT65599 CAP65577:CAP65599 CKL65577:CKL65599 CUH65577:CUH65599 DED65577:DED65599 DNZ65577:DNZ65599 DXV65577:DXV65599 EHR65577:EHR65599 ERN65577:ERN65599 FBJ65577:FBJ65599 FLF65577:FLF65599 FVB65577:FVB65599 GEX65577:GEX65599 GOT65577:GOT65599 GYP65577:GYP65599 HIL65577:HIL65599 HSH65577:HSH65599 ICD65577:ICD65599 ILZ65577:ILZ65599 IVV65577:IVV65599 JFR65577:JFR65599 JPN65577:JPN65599 JZJ65577:JZJ65599 KJF65577:KJF65599 KTB65577:KTB65599 LCX65577:LCX65599 LMT65577:LMT65599 LWP65577:LWP65599 MGL65577:MGL65599 MQH65577:MQH65599 NAD65577:NAD65599 NJZ65577:NJZ65599 NTV65577:NTV65599 ODR65577:ODR65599 ONN65577:ONN65599 OXJ65577:OXJ65599 PHF65577:PHF65599 PRB65577:PRB65599 QAX65577:QAX65599 QKT65577:QKT65599 QUP65577:QUP65599 REL65577:REL65599 ROH65577:ROH65599 RYD65577:RYD65599 SHZ65577:SHZ65599 SRV65577:SRV65599 TBR65577:TBR65599 TLN65577:TLN65599 TVJ65577:TVJ65599 UFF65577:UFF65599 UPB65577:UPB65599 UYX65577:UYX65599 VIT65577:VIT65599 VSP65577:VSP65599 WCL65577:WCL65599 WMH65577:WMH65599 WWD65577:WWD65599 V131113:V131135 JR131113:JR131135 TN131113:TN131135 ADJ131113:ADJ131135 ANF131113:ANF131135 AXB131113:AXB131135 BGX131113:BGX131135 BQT131113:BQT131135 CAP131113:CAP131135 CKL131113:CKL131135 CUH131113:CUH131135 DED131113:DED131135 DNZ131113:DNZ131135 DXV131113:DXV131135 EHR131113:EHR131135 ERN131113:ERN131135 FBJ131113:FBJ131135 FLF131113:FLF131135 FVB131113:FVB131135 GEX131113:GEX131135 GOT131113:GOT131135 GYP131113:GYP131135 HIL131113:HIL131135 HSH131113:HSH131135 ICD131113:ICD131135 ILZ131113:ILZ131135 IVV131113:IVV131135 JFR131113:JFR131135 JPN131113:JPN131135 JZJ131113:JZJ131135 KJF131113:KJF131135 KTB131113:KTB131135 LCX131113:LCX131135 LMT131113:LMT131135 LWP131113:LWP131135 MGL131113:MGL131135 MQH131113:MQH131135 NAD131113:NAD131135 NJZ131113:NJZ131135 NTV131113:NTV131135 ODR131113:ODR131135 ONN131113:ONN131135 OXJ131113:OXJ131135 PHF131113:PHF131135 PRB131113:PRB131135 QAX131113:QAX131135 QKT131113:QKT131135 QUP131113:QUP131135 REL131113:REL131135 ROH131113:ROH131135 RYD131113:RYD131135 SHZ131113:SHZ131135 SRV131113:SRV131135 TBR131113:TBR131135 TLN131113:TLN131135 TVJ131113:TVJ131135 UFF131113:UFF131135 UPB131113:UPB131135 UYX131113:UYX131135 VIT131113:VIT131135 VSP131113:VSP131135 WCL131113:WCL131135 WMH131113:WMH131135 WWD131113:WWD131135 V196649:V196671 JR196649:JR196671 TN196649:TN196671 ADJ196649:ADJ196671 ANF196649:ANF196671 AXB196649:AXB196671 BGX196649:BGX196671 BQT196649:BQT196671 CAP196649:CAP196671 CKL196649:CKL196671 CUH196649:CUH196671 DED196649:DED196671 DNZ196649:DNZ196671 DXV196649:DXV196671 EHR196649:EHR196671 ERN196649:ERN196671 FBJ196649:FBJ196671 FLF196649:FLF196671 FVB196649:FVB196671 GEX196649:GEX196671 GOT196649:GOT196671 GYP196649:GYP196671 HIL196649:HIL196671 HSH196649:HSH196671 ICD196649:ICD196671 ILZ196649:ILZ196671 IVV196649:IVV196671 JFR196649:JFR196671 JPN196649:JPN196671 JZJ196649:JZJ196671 KJF196649:KJF196671 KTB196649:KTB196671 LCX196649:LCX196671 LMT196649:LMT196671 LWP196649:LWP196671 MGL196649:MGL196671 MQH196649:MQH196671 NAD196649:NAD196671 NJZ196649:NJZ196671 NTV196649:NTV196671 ODR196649:ODR196671 ONN196649:ONN196671 OXJ196649:OXJ196671 PHF196649:PHF196671 PRB196649:PRB196671 QAX196649:QAX196671 QKT196649:QKT196671 QUP196649:QUP196671 REL196649:REL196671 ROH196649:ROH196671 RYD196649:RYD196671 SHZ196649:SHZ196671 SRV196649:SRV196671 TBR196649:TBR196671 TLN196649:TLN196671 TVJ196649:TVJ196671 UFF196649:UFF196671 UPB196649:UPB196671 UYX196649:UYX196671 VIT196649:VIT196671 VSP196649:VSP196671 WCL196649:WCL196671 WMH196649:WMH196671 WWD196649:WWD196671 V262185:V262207 JR262185:JR262207 TN262185:TN262207 ADJ262185:ADJ262207 ANF262185:ANF262207 AXB262185:AXB262207 BGX262185:BGX262207 BQT262185:BQT262207 CAP262185:CAP262207 CKL262185:CKL262207 CUH262185:CUH262207 DED262185:DED262207 DNZ262185:DNZ262207 DXV262185:DXV262207 EHR262185:EHR262207 ERN262185:ERN262207 FBJ262185:FBJ262207 FLF262185:FLF262207 FVB262185:FVB262207 GEX262185:GEX262207 GOT262185:GOT262207 GYP262185:GYP262207 HIL262185:HIL262207 HSH262185:HSH262207 ICD262185:ICD262207 ILZ262185:ILZ262207 IVV262185:IVV262207 JFR262185:JFR262207 JPN262185:JPN262207 JZJ262185:JZJ262207 KJF262185:KJF262207 KTB262185:KTB262207 LCX262185:LCX262207 LMT262185:LMT262207 LWP262185:LWP262207 MGL262185:MGL262207 MQH262185:MQH262207 NAD262185:NAD262207 NJZ262185:NJZ262207 NTV262185:NTV262207 ODR262185:ODR262207 ONN262185:ONN262207 OXJ262185:OXJ262207 PHF262185:PHF262207 PRB262185:PRB262207 QAX262185:QAX262207 QKT262185:QKT262207 QUP262185:QUP262207 REL262185:REL262207 ROH262185:ROH262207 RYD262185:RYD262207 SHZ262185:SHZ262207 SRV262185:SRV262207 TBR262185:TBR262207 TLN262185:TLN262207 TVJ262185:TVJ262207 UFF262185:UFF262207 UPB262185:UPB262207 UYX262185:UYX262207 VIT262185:VIT262207 VSP262185:VSP262207 WCL262185:WCL262207 WMH262185:WMH262207 WWD262185:WWD262207 V327721:V327743 JR327721:JR327743 TN327721:TN327743 ADJ327721:ADJ327743 ANF327721:ANF327743 AXB327721:AXB327743 BGX327721:BGX327743 BQT327721:BQT327743 CAP327721:CAP327743 CKL327721:CKL327743 CUH327721:CUH327743 DED327721:DED327743 DNZ327721:DNZ327743 DXV327721:DXV327743 EHR327721:EHR327743 ERN327721:ERN327743 FBJ327721:FBJ327743 FLF327721:FLF327743 FVB327721:FVB327743 GEX327721:GEX327743 GOT327721:GOT327743 GYP327721:GYP327743 HIL327721:HIL327743 HSH327721:HSH327743 ICD327721:ICD327743 ILZ327721:ILZ327743 IVV327721:IVV327743 JFR327721:JFR327743 JPN327721:JPN327743 JZJ327721:JZJ327743 KJF327721:KJF327743 KTB327721:KTB327743 LCX327721:LCX327743 LMT327721:LMT327743 LWP327721:LWP327743 MGL327721:MGL327743 MQH327721:MQH327743 NAD327721:NAD327743 NJZ327721:NJZ327743 NTV327721:NTV327743 ODR327721:ODR327743 ONN327721:ONN327743 OXJ327721:OXJ327743 PHF327721:PHF327743 PRB327721:PRB327743 QAX327721:QAX327743 QKT327721:QKT327743 QUP327721:QUP327743 REL327721:REL327743 ROH327721:ROH327743 RYD327721:RYD327743 SHZ327721:SHZ327743 SRV327721:SRV327743 TBR327721:TBR327743 TLN327721:TLN327743 TVJ327721:TVJ327743 UFF327721:UFF327743 UPB327721:UPB327743 UYX327721:UYX327743 VIT327721:VIT327743 VSP327721:VSP327743 WCL327721:WCL327743 WMH327721:WMH327743 WWD327721:WWD327743 V393257:V393279 JR393257:JR393279 TN393257:TN393279 ADJ393257:ADJ393279 ANF393257:ANF393279 AXB393257:AXB393279 BGX393257:BGX393279 BQT393257:BQT393279 CAP393257:CAP393279 CKL393257:CKL393279 CUH393257:CUH393279 DED393257:DED393279 DNZ393257:DNZ393279 DXV393257:DXV393279 EHR393257:EHR393279 ERN393257:ERN393279 FBJ393257:FBJ393279 FLF393257:FLF393279 FVB393257:FVB393279 GEX393257:GEX393279 GOT393257:GOT393279 GYP393257:GYP393279 HIL393257:HIL393279 HSH393257:HSH393279 ICD393257:ICD393279 ILZ393257:ILZ393279 IVV393257:IVV393279 JFR393257:JFR393279 JPN393257:JPN393279 JZJ393257:JZJ393279 KJF393257:KJF393279 KTB393257:KTB393279 LCX393257:LCX393279 LMT393257:LMT393279 LWP393257:LWP393279 MGL393257:MGL393279 MQH393257:MQH393279 NAD393257:NAD393279 NJZ393257:NJZ393279 NTV393257:NTV393279 ODR393257:ODR393279 ONN393257:ONN393279 OXJ393257:OXJ393279 PHF393257:PHF393279 PRB393257:PRB393279 QAX393257:QAX393279 QKT393257:QKT393279 QUP393257:QUP393279 REL393257:REL393279 ROH393257:ROH393279 RYD393257:RYD393279 SHZ393257:SHZ393279 SRV393257:SRV393279 TBR393257:TBR393279 TLN393257:TLN393279 TVJ393257:TVJ393279 UFF393257:UFF393279 UPB393257:UPB393279 UYX393257:UYX393279 VIT393257:VIT393279 VSP393257:VSP393279 WCL393257:WCL393279 WMH393257:WMH393279 WWD393257:WWD393279 V458793:V458815 JR458793:JR458815 TN458793:TN458815 ADJ458793:ADJ458815 ANF458793:ANF458815 AXB458793:AXB458815 BGX458793:BGX458815 BQT458793:BQT458815 CAP458793:CAP458815 CKL458793:CKL458815 CUH458793:CUH458815 DED458793:DED458815 DNZ458793:DNZ458815 DXV458793:DXV458815 EHR458793:EHR458815 ERN458793:ERN458815 FBJ458793:FBJ458815 FLF458793:FLF458815 FVB458793:FVB458815 GEX458793:GEX458815 GOT458793:GOT458815 GYP458793:GYP458815 HIL458793:HIL458815 HSH458793:HSH458815 ICD458793:ICD458815 ILZ458793:ILZ458815 IVV458793:IVV458815 JFR458793:JFR458815 JPN458793:JPN458815 JZJ458793:JZJ458815 KJF458793:KJF458815 KTB458793:KTB458815 LCX458793:LCX458815 LMT458793:LMT458815 LWP458793:LWP458815 MGL458793:MGL458815 MQH458793:MQH458815 NAD458793:NAD458815 NJZ458793:NJZ458815 NTV458793:NTV458815 ODR458793:ODR458815 ONN458793:ONN458815 OXJ458793:OXJ458815 PHF458793:PHF458815 PRB458793:PRB458815 QAX458793:QAX458815 QKT458793:QKT458815 QUP458793:QUP458815 REL458793:REL458815 ROH458793:ROH458815 RYD458793:RYD458815 SHZ458793:SHZ458815 SRV458793:SRV458815 TBR458793:TBR458815 TLN458793:TLN458815 TVJ458793:TVJ458815 UFF458793:UFF458815 UPB458793:UPB458815 UYX458793:UYX458815 VIT458793:VIT458815 VSP458793:VSP458815 WCL458793:WCL458815 WMH458793:WMH458815 WWD458793:WWD458815 V524329:V524351 JR524329:JR524351 TN524329:TN524351 ADJ524329:ADJ524351 ANF524329:ANF524351 AXB524329:AXB524351 BGX524329:BGX524351 BQT524329:BQT524351 CAP524329:CAP524351 CKL524329:CKL524351 CUH524329:CUH524351 DED524329:DED524351 DNZ524329:DNZ524351 DXV524329:DXV524351 EHR524329:EHR524351 ERN524329:ERN524351 FBJ524329:FBJ524351 FLF524329:FLF524351 FVB524329:FVB524351 GEX524329:GEX524351 GOT524329:GOT524351 GYP524329:GYP524351 HIL524329:HIL524351 HSH524329:HSH524351 ICD524329:ICD524351 ILZ524329:ILZ524351 IVV524329:IVV524351 JFR524329:JFR524351 JPN524329:JPN524351 JZJ524329:JZJ524351 KJF524329:KJF524351 KTB524329:KTB524351 LCX524329:LCX524351 LMT524329:LMT524351 LWP524329:LWP524351 MGL524329:MGL524351 MQH524329:MQH524351 NAD524329:NAD524351 NJZ524329:NJZ524351 NTV524329:NTV524351 ODR524329:ODR524351 ONN524329:ONN524351 OXJ524329:OXJ524351 PHF524329:PHF524351 PRB524329:PRB524351 QAX524329:QAX524351 QKT524329:QKT524351 QUP524329:QUP524351 REL524329:REL524351 ROH524329:ROH524351 RYD524329:RYD524351 SHZ524329:SHZ524351 SRV524329:SRV524351 TBR524329:TBR524351 TLN524329:TLN524351 TVJ524329:TVJ524351 UFF524329:UFF524351 UPB524329:UPB524351 UYX524329:UYX524351 VIT524329:VIT524351 VSP524329:VSP524351 WCL524329:WCL524351 WMH524329:WMH524351 WWD524329:WWD524351 V589865:V589887 JR589865:JR589887 TN589865:TN589887 ADJ589865:ADJ589887 ANF589865:ANF589887 AXB589865:AXB589887 BGX589865:BGX589887 BQT589865:BQT589887 CAP589865:CAP589887 CKL589865:CKL589887 CUH589865:CUH589887 DED589865:DED589887 DNZ589865:DNZ589887 DXV589865:DXV589887 EHR589865:EHR589887 ERN589865:ERN589887 FBJ589865:FBJ589887 FLF589865:FLF589887 FVB589865:FVB589887 GEX589865:GEX589887 GOT589865:GOT589887 GYP589865:GYP589887 HIL589865:HIL589887 HSH589865:HSH589887 ICD589865:ICD589887 ILZ589865:ILZ589887 IVV589865:IVV589887 JFR589865:JFR589887 JPN589865:JPN589887 JZJ589865:JZJ589887 KJF589865:KJF589887 KTB589865:KTB589887 LCX589865:LCX589887 LMT589865:LMT589887 LWP589865:LWP589887 MGL589865:MGL589887 MQH589865:MQH589887 NAD589865:NAD589887 NJZ589865:NJZ589887 NTV589865:NTV589887 ODR589865:ODR589887 ONN589865:ONN589887 OXJ589865:OXJ589887 PHF589865:PHF589887 PRB589865:PRB589887 QAX589865:QAX589887 QKT589865:QKT589887 QUP589865:QUP589887 REL589865:REL589887 ROH589865:ROH589887 RYD589865:RYD589887 SHZ589865:SHZ589887 SRV589865:SRV589887 TBR589865:TBR589887 TLN589865:TLN589887 TVJ589865:TVJ589887 UFF589865:UFF589887 UPB589865:UPB589887 UYX589865:UYX589887 VIT589865:VIT589887 VSP589865:VSP589887 WCL589865:WCL589887 WMH589865:WMH589887 WWD589865:WWD589887 V655401:V655423 JR655401:JR655423 TN655401:TN655423 ADJ655401:ADJ655423 ANF655401:ANF655423 AXB655401:AXB655423 BGX655401:BGX655423 BQT655401:BQT655423 CAP655401:CAP655423 CKL655401:CKL655423 CUH655401:CUH655423 DED655401:DED655423 DNZ655401:DNZ655423 DXV655401:DXV655423 EHR655401:EHR655423 ERN655401:ERN655423 FBJ655401:FBJ655423 FLF655401:FLF655423 FVB655401:FVB655423 GEX655401:GEX655423 GOT655401:GOT655423 GYP655401:GYP655423 HIL655401:HIL655423 HSH655401:HSH655423 ICD655401:ICD655423 ILZ655401:ILZ655423 IVV655401:IVV655423 JFR655401:JFR655423 JPN655401:JPN655423 JZJ655401:JZJ655423 KJF655401:KJF655423 KTB655401:KTB655423 LCX655401:LCX655423 LMT655401:LMT655423 LWP655401:LWP655423 MGL655401:MGL655423 MQH655401:MQH655423 NAD655401:NAD655423 NJZ655401:NJZ655423 NTV655401:NTV655423 ODR655401:ODR655423 ONN655401:ONN655423 OXJ655401:OXJ655423 PHF655401:PHF655423 PRB655401:PRB655423 QAX655401:QAX655423 QKT655401:QKT655423 QUP655401:QUP655423 REL655401:REL655423 ROH655401:ROH655423 RYD655401:RYD655423 SHZ655401:SHZ655423 SRV655401:SRV655423 TBR655401:TBR655423 TLN655401:TLN655423 TVJ655401:TVJ655423 UFF655401:UFF655423 UPB655401:UPB655423 UYX655401:UYX655423 VIT655401:VIT655423 VSP655401:VSP655423 WCL655401:WCL655423 WMH655401:WMH655423 WWD655401:WWD655423 V720937:V720959 JR720937:JR720959 TN720937:TN720959 ADJ720937:ADJ720959 ANF720937:ANF720959 AXB720937:AXB720959 BGX720937:BGX720959 BQT720937:BQT720959 CAP720937:CAP720959 CKL720937:CKL720959 CUH720937:CUH720959 DED720937:DED720959 DNZ720937:DNZ720959 DXV720937:DXV720959 EHR720937:EHR720959 ERN720937:ERN720959 FBJ720937:FBJ720959 FLF720937:FLF720959 FVB720937:FVB720959 GEX720937:GEX720959 GOT720937:GOT720959 GYP720937:GYP720959 HIL720937:HIL720959 HSH720937:HSH720959 ICD720937:ICD720959 ILZ720937:ILZ720959 IVV720937:IVV720959 JFR720937:JFR720959 JPN720937:JPN720959 JZJ720937:JZJ720959 KJF720937:KJF720959 KTB720937:KTB720959 LCX720937:LCX720959 LMT720937:LMT720959 LWP720937:LWP720959 MGL720937:MGL720959 MQH720937:MQH720959 NAD720937:NAD720959 NJZ720937:NJZ720959 NTV720937:NTV720959 ODR720937:ODR720959 ONN720937:ONN720959 OXJ720937:OXJ720959 PHF720937:PHF720959 PRB720937:PRB720959 QAX720937:QAX720959 QKT720937:QKT720959 QUP720937:QUP720959 REL720937:REL720959 ROH720937:ROH720959 RYD720937:RYD720959 SHZ720937:SHZ720959 SRV720937:SRV720959 TBR720937:TBR720959 TLN720937:TLN720959 TVJ720937:TVJ720959 UFF720937:UFF720959 UPB720937:UPB720959 UYX720937:UYX720959 VIT720937:VIT720959 VSP720937:VSP720959 WCL720937:WCL720959 WMH720937:WMH720959 WWD720937:WWD720959 V786473:V786495 JR786473:JR786495 TN786473:TN786495 ADJ786473:ADJ786495 ANF786473:ANF786495 AXB786473:AXB786495 BGX786473:BGX786495 BQT786473:BQT786495 CAP786473:CAP786495 CKL786473:CKL786495 CUH786473:CUH786495 DED786473:DED786495 DNZ786473:DNZ786495 DXV786473:DXV786495 EHR786473:EHR786495 ERN786473:ERN786495 FBJ786473:FBJ786495 FLF786473:FLF786495 FVB786473:FVB786495 GEX786473:GEX786495 GOT786473:GOT786495 GYP786473:GYP786495 HIL786473:HIL786495 HSH786473:HSH786495 ICD786473:ICD786495 ILZ786473:ILZ786495 IVV786473:IVV786495 JFR786473:JFR786495 JPN786473:JPN786495 JZJ786473:JZJ786495 KJF786473:KJF786495 KTB786473:KTB786495 LCX786473:LCX786495 LMT786473:LMT786495 LWP786473:LWP786495 MGL786473:MGL786495 MQH786473:MQH786495 NAD786473:NAD786495 NJZ786473:NJZ786495 NTV786473:NTV786495 ODR786473:ODR786495 ONN786473:ONN786495 OXJ786473:OXJ786495 PHF786473:PHF786495 PRB786473:PRB786495 QAX786473:QAX786495 QKT786473:QKT786495 QUP786473:QUP786495 REL786473:REL786495 ROH786473:ROH786495 RYD786473:RYD786495 SHZ786473:SHZ786495 SRV786473:SRV786495 TBR786473:TBR786495 TLN786473:TLN786495 TVJ786473:TVJ786495 UFF786473:UFF786495 UPB786473:UPB786495 UYX786473:UYX786495 VIT786473:VIT786495 VSP786473:VSP786495 WCL786473:WCL786495 WMH786473:WMH786495 WWD786473:WWD786495 V852009:V852031 JR852009:JR852031 TN852009:TN852031 ADJ852009:ADJ852031 ANF852009:ANF852031 AXB852009:AXB852031 BGX852009:BGX852031 BQT852009:BQT852031 CAP852009:CAP852031 CKL852009:CKL852031 CUH852009:CUH852031 DED852009:DED852031 DNZ852009:DNZ852031 DXV852009:DXV852031 EHR852009:EHR852031 ERN852009:ERN852031 FBJ852009:FBJ852031 FLF852009:FLF852031 FVB852009:FVB852031 GEX852009:GEX852031 GOT852009:GOT852031 GYP852009:GYP852031 HIL852009:HIL852031 HSH852009:HSH852031 ICD852009:ICD852031 ILZ852009:ILZ852031 IVV852009:IVV852031 JFR852009:JFR852031 JPN852009:JPN852031 JZJ852009:JZJ852031 KJF852009:KJF852031 KTB852009:KTB852031 LCX852009:LCX852031 LMT852009:LMT852031 LWP852009:LWP852031 MGL852009:MGL852031 MQH852009:MQH852031 NAD852009:NAD852031 NJZ852009:NJZ852031 NTV852009:NTV852031 ODR852009:ODR852031 ONN852009:ONN852031 OXJ852009:OXJ852031 PHF852009:PHF852031 PRB852009:PRB852031 QAX852009:QAX852031 QKT852009:QKT852031 QUP852009:QUP852031 REL852009:REL852031 ROH852009:ROH852031 RYD852009:RYD852031 SHZ852009:SHZ852031 SRV852009:SRV852031 TBR852009:TBR852031 TLN852009:TLN852031 TVJ852009:TVJ852031 UFF852009:UFF852031 UPB852009:UPB852031 UYX852009:UYX852031 VIT852009:VIT852031 VSP852009:VSP852031 WCL852009:WCL852031 WMH852009:WMH852031 WWD852009:WWD852031 V917545:V917567 JR917545:JR917567 TN917545:TN917567 ADJ917545:ADJ917567 ANF917545:ANF917567 AXB917545:AXB917567 BGX917545:BGX917567 BQT917545:BQT917567 CAP917545:CAP917567 CKL917545:CKL917567 CUH917545:CUH917567 DED917545:DED917567 DNZ917545:DNZ917567 DXV917545:DXV917567 EHR917545:EHR917567 ERN917545:ERN917567 FBJ917545:FBJ917567 FLF917545:FLF917567 FVB917545:FVB917567 GEX917545:GEX917567 GOT917545:GOT917567 GYP917545:GYP917567 HIL917545:HIL917567 HSH917545:HSH917567 ICD917545:ICD917567 ILZ917545:ILZ917567 IVV917545:IVV917567 JFR917545:JFR917567 JPN917545:JPN917567 JZJ917545:JZJ917567 KJF917545:KJF917567 KTB917545:KTB917567 LCX917545:LCX917567 LMT917545:LMT917567 LWP917545:LWP917567 MGL917545:MGL917567 MQH917545:MQH917567 NAD917545:NAD917567 NJZ917545:NJZ917567 NTV917545:NTV917567 ODR917545:ODR917567 ONN917545:ONN917567 OXJ917545:OXJ917567 PHF917545:PHF917567 PRB917545:PRB917567 QAX917545:QAX917567 QKT917545:QKT917567 QUP917545:QUP917567 REL917545:REL917567 ROH917545:ROH917567 RYD917545:RYD917567 SHZ917545:SHZ917567 SRV917545:SRV917567 TBR917545:TBR917567 TLN917545:TLN917567 TVJ917545:TVJ917567 UFF917545:UFF917567 UPB917545:UPB917567 UYX917545:UYX917567 VIT917545:VIT917567 VSP917545:VSP917567 WCL917545:WCL917567 WMH917545:WMH917567 WWD917545:WWD917567 V983081:V983103 JR983081:JR983103 TN983081:TN983103 ADJ983081:ADJ983103 ANF983081:ANF983103 AXB983081:AXB983103 BGX983081:BGX983103 BQT983081:BQT983103 CAP983081:CAP983103 CKL983081:CKL983103 CUH983081:CUH983103 DED983081:DED983103 DNZ983081:DNZ983103 DXV983081:DXV983103 EHR983081:EHR983103 ERN983081:ERN983103 FBJ983081:FBJ983103 FLF983081:FLF983103 FVB983081:FVB983103 GEX983081:GEX983103 GOT983081:GOT983103 GYP983081:GYP983103 HIL983081:HIL983103 HSH983081:HSH983103 ICD983081:ICD983103 ILZ983081:ILZ983103 IVV983081:IVV983103 JFR983081:JFR983103 JPN983081:JPN983103 JZJ983081:JZJ983103 KJF983081:KJF983103 KTB983081:KTB983103 LCX983081:LCX983103 LMT983081:LMT983103 LWP983081:LWP983103 MGL983081:MGL983103 MQH983081:MQH983103 NAD983081:NAD983103 NJZ983081:NJZ983103 NTV983081:NTV983103 ODR983081:ODR983103 ONN983081:ONN983103 OXJ983081:OXJ983103 PHF983081:PHF983103 PRB983081:PRB983103 QAX983081:QAX983103 QKT983081:QKT983103 QUP983081:QUP983103 REL983081:REL983103 ROH983081:ROH983103 RYD983081:RYD983103 SHZ983081:SHZ983103 SRV983081:SRV983103 TBR983081:TBR983103 TLN983081:TLN983103 TVJ983081:TVJ983103 UFF983081:UFF983103 UPB983081:UPB983103 UYX983081:UYX983103 VIT983081:VIT983103 VSP983081:VSP983103 WCL983081:WCL983103 WMH983081:WMH983103 WWD983081:WWD983103" xr:uid="{C67CDDA9-133F-4F81-9AC4-71A036274D5B}">
      <formula1>"□,■"</formula1>
    </dataValidation>
  </dataValidations>
  <printOptions horizontalCentered="1"/>
  <pageMargins left="0.23622047244094491" right="0.23622047244094491" top="0.74803149606299213" bottom="0.74803149606299213" header="0.31496062992125984" footer="0.31496062992125984"/>
  <pageSetup paperSize="9" scale="69" orientation="portrait" cellComments="asDisplayed" r:id="rId1"/>
  <headerFooter alignWithMargins="0"/>
  <rowBreaks count="1" manualBreakCount="1">
    <brk id="15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69259-910D-4234-BA98-EB92FF6732A2}">
  <sheetPr>
    <tabColor rgb="FFFFFF00"/>
    <pageSetUpPr fitToPage="1"/>
  </sheetPr>
  <dimension ref="A2:AK940"/>
  <sheetViews>
    <sheetView view="pageBreakPreview" zoomScale="70" zoomScaleNormal="100" zoomScaleSheetLayoutView="70" workbookViewId="0"/>
  </sheetViews>
  <sheetFormatPr defaultColWidth="4" defaultRowHeight="14.4"/>
  <cols>
    <col min="1" max="1" width="1.21875" style="962" customWidth="1"/>
    <col min="2" max="34" width="3.44140625" style="962" customWidth="1"/>
    <col min="35" max="256" width="4" style="962"/>
    <col min="257" max="257" width="1.21875" style="962" customWidth="1"/>
    <col min="258" max="290" width="3.44140625" style="962" customWidth="1"/>
    <col min="291" max="512" width="4" style="962"/>
    <col min="513" max="513" width="1.21875" style="962" customWidth="1"/>
    <col min="514" max="546" width="3.44140625" style="962" customWidth="1"/>
    <col min="547" max="768" width="4" style="962"/>
    <col min="769" max="769" width="1.21875" style="962" customWidth="1"/>
    <col min="770" max="802" width="3.44140625" style="962" customWidth="1"/>
    <col min="803" max="1024" width="4" style="962"/>
    <col min="1025" max="1025" width="1.21875" style="962" customWidth="1"/>
    <col min="1026" max="1058" width="3.44140625" style="962" customWidth="1"/>
    <col min="1059" max="1280" width="4" style="962"/>
    <col min="1281" max="1281" width="1.21875" style="962" customWidth="1"/>
    <col min="1282" max="1314" width="3.44140625" style="962" customWidth="1"/>
    <col min="1315" max="1536" width="4" style="962"/>
    <col min="1537" max="1537" width="1.21875" style="962" customWidth="1"/>
    <col min="1538" max="1570" width="3.44140625" style="962" customWidth="1"/>
    <col min="1571" max="1792" width="4" style="962"/>
    <col min="1793" max="1793" width="1.21875" style="962" customWidth="1"/>
    <col min="1794" max="1826" width="3.44140625" style="962" customWidth="1"/>
    <col min="1827" max="2048" width="4" style="962"/>
    <col min="2049" max="2049" width="1.21875" style="962" customWidth="1"/>
    <col min="2050" max="2082" width="3.44140625" style="962" customWidth="1"/>
    <col min="2083" max="2304" width="4" style="962"/>
    <col min="2305" max="2305" width="1.21875" style="962" customWidth="1"/>
    <col min="2306" max="2338" width="3.44140625" style="962" customWidth="1"/>
    <col min="2339" max="2560" width="4" style="962"/>
    <col min="2561" max="2561" width="1.21875" style="962" customWidth="1"/>
    <col min="2562" max="2594" width="3.44140625" style="962" customWidth="1"/>
    <col min="2595" max="2816" width="4" style="962"/>
    <col min="2817" max="2817" width="1.21875" style="962" customWidth="1"/>
    <col min="2818" max="2850" width="3.44140625" style="962" customWidth="1"/>
    <col min="2851" max="3072" width="4" style="962"/>
    <col min="3073" max="3073" width="1.21875" style="962" customWidth="1"/>
    <col min="3074" max="3106" width="3.44140625" style="962" customWidth="1"/>
    <col min="3107" max="3328" width="4" style="962"/>
    <col min="3329" max="3329" width="1.21875" style="962" customWidth="1"/>
    <col min="3330" max="3362" width="3.44140625" style="962" customWidth="1"/>
    <col min="3363" max="3584" width="4" style="962"/>
    <col min="3585" max="3585" width="1.21875" style="962" customWidth="1"/>
    <col min="3586" max="3618" width="3.44140625" style="962" customWidth="1"/>
    <col min="3619" max="3840" width="4" style="962"/>
    <col min="3841" max="3841" width="1.21875" style="962" customWidth="1"/>
    <col min="3842" max="3874" width="3.44140625" style="962" customWidth="1"/>
    <col min="3875" max="4096" width="4" style="962"/>
    <col min="4097" max="4097" width="1.21875" style="962" customWidth="1"/>
    <col min="4098" max="4130" width="3.44140625" style="962" customWidth="1"/>
    <col min="4131" max="4352" width="4" style="962"/>
    <col min="4353" max="4353" width="1.21875" style="962" customWidth="1"/>
    <col min="4354" max="4386" width="3.44140625" style="962" customWidth="1"/>
    <col min="4387" max="4608" width="4" style="962"/>
    <col min="4609" max="4609" width="1.21875" style="962" customWidth="1"/>
    <col min="4610" max="4642" width="3.44140625" style="962" customWidth="1"/>
    <col min="4643" max="4864" width="4" style="962"/>
    <col min="4865" max="4865" width="1.21875" style="962" customWidth="1"/>
    <col min="4866" max="4898" width="3.44140625" style="962" customWidth="1"/>
    <col min="4899" max="5120" width="4" style="962"/>
    <col min="5121" max="5121" width="1.21875" style="962" customWidth="1"/>
    <col min="5122" max="5154" width="3.44140625" style="962" customWidth="1"/>
    <col min="5155" max="5376" width="4" style="962"/>
    <col min="5377" max="5377" width="1.21875" style="962" customWidth="1"/>
    <col min="5378" max="5410" width="3.44140625" style="962" customWidth="1"/>
    <col min="5411" max="5632" width="4" style="962"/>
    <col min="5633" max="5633" width="1.21875" style="962" customWidth="1"/>
    <col min="5634" max="5666" width="3.44140625" style="962" customWidth="1"/>
    <col min="5667" max="5888" width="4" style="962"/>
    <col min="5889" max="5889" width="1.21875" style="962" customWidth="1"/>
    <col min="5890" max="5922" width="3.44140625" style="962" customWidth="1"/>
    <col min="5923" max="6144" width="4" style="962"/>
    <col min="6145" max="6145" width="1.21875" style="962" customWidth="1"/>
    <col min="6146" max="6178" width="3.44140625" style="962" customWidth="1"/>
    <col min="6179" max="6400" width="4" style="962"/>
    <col min="6401" max="6401" width="1.21875" style="962" customWidth="1"/>
    <col min="6402" max="6434" width="3.44140625" style="962" customWidth="1"/>
    <col min="6435" max="6656" width="4" style="962"/>
    <col min="6657" max="6657" width="1.21875" style="962" customWidth="1"/>
    <col min="6658" max="6690" width="3.44140625" style="962" customWidth="1"/>
    <col min="6691" max="6912" width="4" style="962"/>
    <col min="6913" max="6913" width="1.21875" style="962" customWidth="1"/>
    <col min="6914" max="6946" width="3.44140625" style="962" customWidth="1"/>
    <col min="6947" max="7168" width="4" style="962"/>
    <col min="7169" max="7169" width="1.21875" style="962" customWidth="1"/>
    <col min="7170" max="7202" width="3.44140625" style="962" customWidth="1"/>
    <col min="7203" max="7424" width="4" style="962"/>
    <col min="7425" max="7425" width="1.21875" style="962" customWidth="1"/>
    <col min="7426" max="7458" width="3.44140625" style="962" customWidth="1"/>
    <col min="7459" max="7680" width="4" style="962"/>
    <col min="7681" max="7681" width="1.21875" style="962" customWidth="1"/>
    <col min="7682" max="7714" width="3.44140625" style="962" customWidth="1"/>
    <col min="7715" max="7936" width="4" style="962"/>
    <col min="7937" max="7937" width="1.21875" style="962" customWidth="1"/>
    <col min="7938" max="7970" width="3.44140625" style="962" customWidth="1"/>
    <col min="7971" max="8192" width="4" style="962"/>
    <col min="8193" max="8193" width="1.21875" style="962" customWidth="1"/>
    <col min="8194" max="8226" width="3.44140625" style="962" customWidth="1"/>
    <col min="8227" max="8448" width="4" style="962"/>
    <col min="8449" max="8449" width="1.21875" style="962" customWidth="1"/>
    <col min="8450" max="8482" width="3.44140625" style="962" customWidth="1"/>
    <col min="8483" max="8704" width="4" style="962"/>
    <col min="8705" max="8705" width="1.21875" style="962" customWidth="1"/>
    <col min="8706" max="8738" width="3.44140625" style="962" customWidth="1"/>
    <col min="8739" max="8960" width="4" style="962"/>
    <col min="8961" max="8961" width="1.21875" style="962" customWidth="1"/>
    <col min="8962" max="8994" width="3.44140625" style="962" customWidth="1"/>
    <col min="8995" max="9216" width="4" style="962"/>
    <col min="9217" max="9217" width="1.21875" style="962" customWidth="1"/>
    <col min="9218" max="9250" width="3.44140625" style="962" customWidth="1"/>
    <col min="9251" max="9472" width="4" style="962"/>
    <col min="9473" max="9473" width="1.21875" style="962" customWidth="1"/>
    <col min="9474" max="9506" width="3.44140625" style="962" customWidth="1"/>
    <col min="9507" max="9728" width="4" style="962"/>
    <col min="9729" max="9729" width="1.21875" style="962" customWidth="1"/>
    <col min="9730" max="9762" width="3.44140625" style="962" customWidth="1"/>
    <col min="9763" max="9984" width="4" style="962"/>
    <col min="9985" max="9985" width="1.21875" style="962" customWidth="1"/>
    <col min="9986" max="10018" width="3.44140625" style="962" customWidth="1"/>
    <col min="10019" max="10240" width="4" style="962"/>
    <col min="10241" max="10241" width="1.21875" style="962" customWidth="1"/>
    <col min="10242" max="10274" width="3.44140625" style="962" customWidth="1"/>
    <col min="10275" max="10496" width="4" style="962"/>
    <col min="10497" max="10497" width="1.21875" style="962" customWidth="1"/>
    <col min="10498" max="10530" width="3.44140625" style="962" customWidth="1"/>
    <col min="10531" max="10752" width="4" style="962"/>
    <col min="10753" max="10753" width="1.21875" style="962" customWidth="1"/>
    <col min="10754" max="10786" width="3.44140625" style="962" customWidth="1"/>
    <col min="10787" max="11008" width="4" style="962"/>
    <col min="11009" max="11009" width="1.21875" style="962" customWidth="1"/>
    <col min="11010" max="11042" width="3.44140625" style="962" customWidth="1"/>
    <col min="11043" max="11264" width="4" style="962"/>
    <col min="11265" max="11265" width="1.21875" style="962" customWidth="1"/>
    <col min="11266" max="11298" width="3.44140625" style="962" customWidth="1"/>
    <col min="11299" max="11520" width="4" style="962"/>
    <col min="11521" max="11521" width="1.21875" style="962" customWidth="1"/>
    <col min="11522" max="11554" width="3.44140625" style="962" customWidth="1"/>
    <col min="11555" max="11776" width="4" style="962"/>
    <col min="11777" max="11777" width="1.21875" style="962" customWidth="1"/>
    <col min="11778" max="11810" width="3.44140625" style="962" customWidth="1"/>
    <col min="11811" max="12032" width="4" style="962"/>
    <col min="12033" max="12033" width="1.21875" style="962" customWidth="1"/>
    <col min="12034" max="12066" width="3.44140625" style="962" customWidth="1"/>
    <col min="12067" max="12288" width="4" style="962"/>
    <col min="12289" max="12289" width="1.21875" style="962" customWidth="1"/>
    <col min="12290" max="12322" width="3.44140625" style="962" customWidth="1"/>
    <col min="12323" max="12544" width="4" style="962"/>
    <col min="12545" max="12545" width="1.21875" style="962" customWidth="1"/>
    <col min="12546" max="12578" width="3.44140625" style="962" customWidth="1"/>
    <col min="12579" max="12800" width="4" style="962"/>
    <col min="12801" max="12801" width="1.21875" style="962" customWidth="1"/>
    <col min="12802" max="12834" width="3.44140625" style="962" customWidth="1"/>
    <col min="12835" max="13056" width="4" style="962"/>
    <col min="13057" max="13057" width="1.21875" style="962" customWidth="1"/>
    <col min="13058" max="13090" width="3.44140625" style="962" customWidth="1"/>
    <col min="13091" max="13312" width="4" style="962"/>
    <col min="13313" max="13313" width="1.21875" style="962" customWidth="1"/>
    <col min="13314" max="13346" width="3.44140625" style="962" customWidth="1"/>
    <col min="13347" max="13568" width="4" style="962"/>
    <col min="13569" max="13569" width="1.21875" style="962" customWidth="1"/>
    <col min="13570" max="13602" width="3.44140625" style="962" customWidth="1"/>
    <col min="13603" max="13824" width="4" style="962"/>
    <col min="13825" max="13825" width="1.21875" style="962" customWidth="1"/>
    <col min="13826" max="13858" width="3.44140625" style="962" customWidth="1"/>
    <col min="13859" max="14080" width="4" style="962"/>
    <col min="14081" max="14081" width="1.21875" style="962" customWidth="1"/>
    <col min="14082" max="14114" width="3.44140625" style="962" customWidth="1"/>
    <col min="14115" max="14336" width="4" style="962"/>
    <col min="14337" max="14337" width="1.21875" style="962" customWidth="1"/>
    <col min="14338" max="14370" width="3.44140625" style="962" customWidth="1"/>
    <col min="14371" max="14592" width="4" style="962"/>
    <col min="14593" max="14593" width="1.21875" style="962" customWidth="1"/>
    <col min="14594" max="14626" width="3.44140625" style="962" customWidth="1"/>
    <col min="14627" max="14848" width="4" style="962"/>
    <col min="14849" max="14849" width="1.21875" style="962" customWidth="1"/>
    <col min="14850" max="14882" width="3.44140625" style="962" customWidth="1"/>
    <col min="14883" max="15104" width="4" style="962"/>
    <col min="15105" max="15105" width="1.21875" style="962" customWidth="1"/>
    <col min="15106" max="15138" width="3.44140625" style="962" customWidth="1"/>
    <col min="15139" max="15360" width="4" style="962"/>
    <col min="15361" max="15361" width="1.21875" style="962" customWidth="1"/>
    <col min="15362" max="15394" width="3.44140625" style="962" customWidth="1"/>
    <col min="15395" max="15616" width="4" style="962"/>
    <col min="15617" max="15617" width="1.21875" style="962" customWidth="1"/>
    <col min="15618" max="15650" width="3.44140625" style="962" customWidth="1"/>
    <col min="15651" max="15872" width="4" style="962"/>
    <col min="15873" max="15873" width="1.21875" style="962" customWidth="1"/>
    <col min="15874" max="15906" width="3.44140625" style="962" customWidth="1"/>
    <col min="15907" max="16128" width="4" style="962"/>
    <col min="16129" max="16129" width="1.21875" style="962" customWidth="1"/>
    <col min="16130" max="16162" width="3.44140625" style="962" customWidth="1"/>
    <col min="16163" max="16384" width="4" style="962"/>
  </cols>
  <sheetData>
    <row r="2" spans="1:37">
      <c r="A2" s="962" t="s">
        <v>1900</v>
      </c>
    </row>
    <row r="3" spans="1:37" ht="6.75" customHeight="1"/>
    <row r="4" spans="1:37">
      <c r="B4" s="962" t="s">
        <v>1901</v>
      </c>
    </row>
    <row r="5" spans="1:37" ht="7.5" customHeight="1"/>
    <row r="6" spans="1:37" s="963" customFormat="1" ht="24" customHeight="1">
      <c r="F6" s="964" t="s">
        <v>1902</v>
      </c>
      <c r="G6" s="965"/>
      <c r="H6" s="965"/>
      <c r="I6" s="965"/>
      <c r="J6" s="965"/>
      <c r="K6" s="965"/>
      <c r="L6" s="966"/>
      <c r="M6" s="1714"/>
      <c r="N6" s="1715"/>
      <c r="O6" s="1715"/>
      <c r="P6" s="1715"/>
      <c r="Q6" s="1715"/>
      <c r="R6" s="1715"/>
      <c r="S6" s="1715"/>
      <c r="T6" s="1715"/>
      <c r="U6" s="1715"/>
      <c r="V6" s="1715"/>
      <c r="W6" s="1715"/>
      <c r="X6" s="1715"/>
      <c r="Y6" s="1716"/>
      <c r="AA6" s="963" t="s">
        <v>1903</v>
      </c>
    </row>
    <row r="7" spans="1:37" ht="21.75" customHeight="1"/>
    <row r="8" spans="1:37">
      <c r="B8" s="967"/>
      <c r="C8" s="968"/>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9"/>
    </row>
    <row r="9" spans="1:37">
      <c r="B9" s="970"/>
      <c r="AK9" s="971"/>
    </row>
    <row r="10" spans="1:37">
      <c r="B10" s="970"/>
      <c r="AK10" s="971"/>
    </row>
    <row r="11" spans="1:37">
      <c r="B11" s="970"/>
      <c r="D11" s="967"/>
      <c r="E11" s="968"/>
      <c r="F11" s="968"/>
      <c r="G11" s="968"/>
      <c r="H11" s="968"/>
      <c r="I11" s="967"/>
      <c r="J11" s="968"/>
      <c r="K11" s="968"/>
      <c r="L11" s="969"/>
      <c r="M11" s="968"/>
      <c r="N11" s="968"/>
      <c r="O11" s="968"/>
      <c r="P11" s="969"/>
      <c r="Q11" s="967"/>
      <c r="R11" s="968"/>
      <c r="S11" s="968"/>
      <c r="T11" s="969"/>
      <c r="U11" s="967"/>
      <c r="V11" s="968"/>
      <c r="W11" s="968"/>
      <c r="X11" s="968"/>
      <c r="Y11" s="968"/>
      <c r="Z11" s="969"/>
      <c r="AA11" s="1717" t="s">
        <v>1904</v>
      </c>
      <c r="AB11" s="1718"/>
      <c r="AC11" s="1718"/>
      <c r="AD11" s="1718"/>
      <c r="AE11" s="1718"/>
      <c r="AF11" s="1718"/>
      <c r="AG11" s="1718"/>
      <c r="AH11" s="1718"/>
      <c r="AI11" s="1719"/>
      <c r="AK11" s="971"/>
    </row>
    <row r="12" spans="1:37">
      <c r="B12" s="970"/>
      <c r="D12" s="970"/>
      <c r="I12" s="970" t="s">
        <v>1905</v>
      </c>
      <c r="L12" s="971"/>
      <c r="M12" s="962" t="s">
        <v>1906</v>
      </c>
      <c r="P12" s="971"/>
      <c r="Q12" s="970" t="s">
        <v>1907</v>
      </c>
      <c r="T12" s="971"/>
      <c r="U12" s="970" t="s">
        <v>1908</v>
      </c>
      <c r="Y12" s="962" t="s">
        <v>1909</v>
      </c>
      <c r="AA12" s="1720"/>
      <c r="AB12" s="1721"/>
      <c r="AC12" s="1721"/>
      <c r="AD12" s="1721"/>
      <c r="AE12" s="1721"/>
      <c r="AF12" s="1721"/>
      <c r="AG12" s="1721"/>
      <c r="AH12" s="1721"/>
      <c r="AI12" s="1722"/>
      <c r="AK12" s="971"/>
    </row>
    <row r="13" spans="1:37" ht="6.75" customHeight="1">
      <c r="B13" s="970"/>
      <c r="D13" s="970"/>
      <c r="I13" s="970"/>
      <c r="L13" s="971"/>
      <c r="P13" s="971"/>
      <c r="Q13" s="970"/>
      <c r="T13" s="971"/>
      <c r="U13" s="970"/>
      <c r="Z13" s="971"/>
      <c r="AA13" s="972"/>
      <c r="AB13" s="973"/>
      <c r="AC13" s="973"/>
      <c r="AD13" s="973"/>
      <c r="AE13" s="1723" t="s">
        <v>1910</v>
      </c>
      <c r="AF13" s="1723"/>
      <c r="AG13" s="1723"/>
      <c r="AH13" s="1723"/>
      <c r="AI13" s="974"/>
      <c r="AK13" s="971"/>
    </row>
    <row r="14" spans="1:37">
      <c r="B14" s="970"/>
      <c r="D14" s="970"/>
      <c r="I14" s="970"/>
      <c r="K14" s="962" t="s">
        <v>1909</v>
      </c>
      <c r="L14" s="971"/>
      <c r="O14" s="962" t="s">
        <v>1909</v>
      </c>
      <c r="P14" s="971"/>
      <c r="Q14" s="970"/>
      <c r="S14" s="962" t="s">
        <v>1909</v>
      </c>
      <c r="T14" s="971"/>
      <c r="U14" s="970" t="s">
        <v>1911</v>
      </c>
      <c r="Z14" s="971"/>
      <c r="AA14" s="970"/>
      <c r="AE14" s="1724"/>
      <c r="AF14" s="1724"/>
      <c r="AG14" s="1724"/>
      <c r="AH14" s="1724"/>
      <c r="AI14" s="971"/>
      <c r="AK14" s="971"/>
    </row>
    <row r="15" spans="1:37">
      <c r="B15" s="970"/>
      <c r="D15" s="970"/>
      <c r="I15" s="975"/>
      <c r="J15" s="976"/>
      <c r="K15" s="976"/>
      <c r="L15" s="977"/>
      <c r="M15" s="976"/>
      <c r="N15" s="976"/>
      <c r="O15" s="976"/>
      <c r="P15" s="977"/>
      <c r="Q15" s="975"/>
      <c r="R15" s="976"/>
      <c r="S15" s="976"/>
      <c r="T15" s="977"/>
      <c r="U15" s="975"/>
      <c r="V15" s="976"/>
      <c r="W15" s="976"/>
      <c r="X15" s="976"/>
      <c r="Y15" s="976"/>
      <c r="Z15" s="977"/>
      <c r="AE15" s="1724"/>
      <c r="AF15" s="1724"/>
      <c r="AG15" s="1724"/>
      <c r="AH15" s="1724"/>
      <c r="AK15" s="971"/>
    </row>
    <row r="16" spans="1:37">
      <c r="B16" s="970"/>
      <c r="D16" s="970"/>
      <c r="L16" s="971"/>
      <c r="AE16" s="1724"/>
      <c r="AF16" s="1724"/>
      <c r="AG16" s="1724"/>
      <c r="AH16" s="1724"/>
      <c r="AK16" s="971"/>
    </row>
    <row r="17" spans="2:37">
      <c r="B17" s="970"/>
      <c r="D17" s="970"/>
      <c r="L17" s="971"/>
      <c r="AE17" s="1724"/>
      <c r="AF17" s="1724"/>
      <c r="AG17" s="1724"/>
      <c r="AH17" s="1724"/>
      <c r="AI17" s="971"/>
      <c r="AK17" s="971"/>
    </row>
    <row r="18" spans="2:37">
      <c r="B18" s="970"/>
      <c r="D18" s="970"/>
      <c r="L18" s="971"/>
      <c r="AE18" s="1725"/>
      <c r="AF18" s="1725"/>
      <c r="AG18" s="1725"/>
      <c r="AH18" s="1725"/>
      <c r="AI18" s="971"/>
      <c r="AK18" s="971"/>
    </row>
    <row r="19" spans="2:37">
      <c r="B19" s="970"/>
      <c r="D19" s="970"/>
      <c r="L19" s="971"/>
      <c r="M19" s="968"/>
      <c r="N19" s="968"/>
      <c r="O19" s="968"/>
      <c r="P19" s="968"/>
      <c r="Q19" s="968"/>
      <c r="R19" s="968"/>
      <c r="S19" s="968"/>
      <c r="T19" s="968"/>
      <c r="U19" s="968"/>
      <c r="V19" s="968"/>
      <c r="W19" s="969"/>
      <c r="X19" s="967"/>
      <c r="Y19" s="968"/>
      <c r="Z19" s="969"/>
      <c r="AD19" s="967"/>
      <c r="AE19" s="968"/>
      <c r="AF19" s="968"/>
      <c r="AG19" s="968"/>
      <c r="AH19" s="968"/>
      <c r="AI19" s="969"/>
      <c r="AK19" s="971"/>
    </row>
    <row r="20" spans="2:37">
      <c r="B20" s="970"/>
      <c r="D20" s="970"/>
      <c r="E20" s="962" t="s">
        <v>1912</v>
      </c>
      <c r="J20" s="978" t="s">
        <v>1909</v>
      </c>
      <c r="L20" s="971"/>
      <c r="W20" s="971"/>
      <c r="X20" s="970"/>
      <c r="Z20" s="971"/>
      <c r="AD20" s="970"/>
      <c r="AI20" s="971"/>
      <c r="AK20" s="971"/>
    </row>
    <row r="21" spans="2:37" ht="6.75" customHeight="1">
      <c r="B21" s="970"/>
      <c r="D21" s="970"/>
      <c r="J21" s="978"/>
      <c r="L21" s="971"/>
      <c r="W21" s="971"/>
      <c r="X21" s="970"/>
      <c r="Z21" s="971"/>
      <c r="AD21" s="970"/>
      <c r="AI21" s="971"/>
      <c r="AK21" s="971"/>
    </row>
    <row r="22" spans="2:37">
      <c r="B22" s="970"/>
      <c r="D22" s="970"/>
      <c r="E22" s="962" t="s">
        <v>1913</v>
      </c>
      <c r="L22" s="971"/>
      <c r="W22" s="971"/>
      <c r="X22" s="970" t="s">
        <v>1914</v>
      </c>
      <c r="Z22" s="971"/>
      <c r="AD22" s="970"/>
      <c r="AI22" s="971"/>
      <c r="AK22" s="971"/>
    </row>
    <row r="23" spans="2:37">
      <c r="B23" s="970"/>
      <c r="D23" s="970"/>
      <c r="L23" s="971"/>
      <c r="O23" s="962" t="s">
        <v>1915</v>
      </c>
      <c r="R23" s="978" t="s">
        <v>1909</v>
      </c>
      <c r="W23" s="971"/>
      <c r="X23" s="970"/>
      <c r="Z23" s="971" t="s">
        <v>1909</v>
      </c>
      <c r="AD23" s="970"/>
      <c r="AE23" s="962" t="s">
        <v>1916</v>
      </c>
      <c r="AH23" s="978" t="s">
        <v>1909</v>
      </c>
      <c r="AI23" s="971"/>
      <c r="AK23" s="971"/>
    </row>
    <row r="24" spans="2:37">
      <c r="B24" s="970"/>
      <c r="D24" s="970"/>
      <c r="L24" s="971"/>
      <c r="W24" s="971"/>
      <c r="X24" s="970"/>
      <c r="Z24" s="971"/>
      <c r="AD24" s="970"/>
      <c r="AI24" s="971"/>
      <c r="AK24" s="971"/>
    </row>
    <row r="25" spans="2:37" ht="6.75" customHeight="1">
      <c r="B25" s="970"/>
      <c r="D25" s="970"/>
      <c r="L25" s="971"/>
      <c r="W25" s="971"/>
      <c r="X25" s="970"/>
      <c r="Z25" s="971"/>
      <c r="AD25" s="970"/>
      <c r="AI25" s="971"/>
      <c r="AK25" s="971"/>
    </row>
    <row r="26" spans="2:37">
      <c r="B26" s="970"/>
      <c r="D26" s="970"/>
      <c r="L26" s="971"/>
      <c r="W26" s="971"/>
      <c r="X26" s="970"/>
      <c r="Z26" s="971"/>
      <c r="AD26" s="970"/>
      <c r="AI26" s="971"/>
      <c r="AK26" s="971"/>
    </row>
    <row r="27" spans="2:37">
      <c r="B27" s="970"/>
      <c r="D27" s="975"/>
      <c r="E27" s="976"/>
      <c r="F27" s="976"/>
      <c r="G27" s="976"/>
      <c r="H27" s="976"/>
      <c r="I27" s="976"/>
      <c r="J27" s="976"/>
      <c r="K27" s="976"/>
      <c r="L27" s="977"/>
      <c r="M27" s="976"/>
      <c r="N27" s="976"/>
      <c r="O27" s="976"/>
      <c r="P27" s="976"/>
      <c r="Q27" s="976"/>
      <c r="R27" s="976"/>
      <c r="S27" s="976"/>
      <c r="T27" s="976"/>
      <c r="U27" s="976"/>
      <c r="V27" s="976"/>
      <c r="W27" s="977"/>
      <c r="X27" s="975"/>
      <c r="Y27" s="976"/>
      <c r="Z27" s="977"/>
      <c r="AA27" s="976"/>
      <c r="AB27" s="976"/>
      <c r="AC27" s="976"/>
      <c r="AD27" s="975"/>
      <c r="AE27" s="976"/>
      <c r="AF27" s="976"/>
      <c r="AG27" s="976"/>
      <c r="AH27" s="976"/>
      <c r="AI27" s="977"/>
      <c r="AK27" s="971"/>
    </row>
    <row r="28" spans="2:37">
      <c r="B28" s="970"/>
      <c r="AK28" s="971"/>
    </row>
    <row r="29" spans="2:37">
      <c r="B29" s="970"/>
      <c r="AK29" s="971"/>
    </row>
    <row r="30" spans="2:37">
      <c r="B30" s="975"/>
      <c r="C30" s="976"/>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7"/>
    </row>
    <row r="32" spans="2:37" s="980" customFormat="1">
      <c r="B32" s="979" t="s">
        <v>1917</v>
      </c>
    </row>
    <row r="33" spans="2:2" s="980" customFormat="1">
      <c r="B33" s="979" t="s">
        <v>1918</v>
      </c>
    </row>
    <row r="122" spans="1:1">
      <c r="A122" s="976"/>
    </row>
    <row r="158" spans="1:1">
      <c r="A158" s="975"/>
    </row>
    <row r="209" spans="1:1">
      <c r="A209" s="975"/>
    </row>
    <row r="258" spans="1:1">
      <c r="A258" s="975"/>
    </row>
    <row r="285" spans="1:1">
      <c r="A285" s="976"/>
    </row>
    <row r="335" spans="1:1">
      <c r="A335" s="975"/>
    </row>
    <row r="359" spans="1:1">
      <c r="A359" s="976"/>
    </row>
    <row r="387" spans="1:1">
      <c r="A387" s="976"/>
    </row>
    <row r="415" spans="1:1">
      <c r="A415" s="976"/>
    </row>
    <row r="439" spans="1:1">
      <c r="A439" s="976"/>
    </row>
    <row r="468" spans="1:1">
      <c r="A468" s="976"/>
    </row>
    <row r="497" spans="1:1">
      <c r="A497" s="976"/>
    </row>
    <row r="546" spans="1:1">
      <c r="A546" s="975"/>
    </row>
    <row r="577" spans="1:1">
      <c r="A577" s="975"/>
    </row>
    <row r="621" spans="1:1">
      <c r="A621" s="975"/>
    </row>
    <row r="657" spans="1:1">
      <c r="A657" s="976"/>
    </row>
    <row r="696" spans="1:1">
      <c r="A696" s="975"/>
    </row>
    <row r="725" spans="1:1">
      <c r="A725" s="975"/>
    </row>
    <row r="764" spans="1:1">
      <c r="A764" s="975"/>
    </row>
    <row r="803" spans="1:1">
      <c r="A803" s="975"/>
    </row>
    <row r="831" spans="1:1">
      <c r="A831" s="975"/>
    </row>
    <row r="871" spans="1:1">
      <c r="A871" s="975"/>
    </row>
    <row r="911" spans="1:1">
      <c r="A911" s="975"/>
    </row>
    <row r="940" spans="1:1">
      <c r="A940" s="975"/>
    </row>
  </sheetData>
  <mergeCells count="3">
    <mergeCell ref="M6:Y6"/>
    <mergeCell ref="AA11:AI12"/>
    <mergeCell ref="AE13:AH18"/>
  </mergeCells>
  <phoneticPr fontId="3"/>
  <printOptions horizontalCentered="1"/>
  <pageMargins left="0.23622047244094491" right="0.23622047244094491" top="0.74803149606299213" bottom="0.74803149606299213" header="0.31496062992125984" footer="0.31496062992125984"/>
  <pageSetup paperSize="9" scale="76" orientation="portrait" cellComments="asDisplayed" r:id="rId1"/>
  <headerFooter alignWithMargins="0"/>
  <rowBreaks count="1" manualBreakCount="1">
    <brk id="159" max="16383"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30E0B-69BC-4FE9-8F16-9BBC86A56092}">
  <sheetPr>
    <tabColor rgb="FFFFFF00"/>
    <pageSetUpPr fitToPage="1"/>
  </sheetPr>
  <dimension ref="B2:AK89"/>
  <sheetViews>
    <sheetView view="pageBreakPreview" zoomScale="70" zoomScaleNormal="100" zoomScaleSheetLayoutView="70" workbookViewId="0">
      <selection activeCell="U33" sqref="U33"/>
    </sheetView>
  </sheetViews>
  <sheetFormatPr defaultColWidth="9" defaultRowHeight="13.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256" width="9" style="3"/>
    <col min="257" max="257" width="1.44140625" style="3" customWidth="1"/>
    <col min="258" max="258" width="10" style="3" customWidth="1"/>
    <col min="259" max="259" width="6.77734375" style="3" customWidth="1"/>
    <col min="260" max="260" width="10" style="3" customWidth="1"/>
    <col min="261" max="288" width="3.88671875" style="3" customWidth="1"/>
    <col min="289" max="291" width="9" style="3"/>
    <col min="292" max="292" width="2.44140625" style="3" customWidth="1"/>
    <col min="293" max="512" width="9" style="3"/>
    <col min="513" max="513" width="1.44140625" style="3" customWidth="1"/>
    <col min="514" max="514" width="10" style="3" customWidth="1"/>
    <col min="515" max="515" width="6.77734375" style="3" customWidth="1"/>
    <col min="516" max="516" width="10" style="3" customWidth="1"/>
    <col min="517" max="544" width="3.88671875" style="3" customWidth="1"/>
    <col min="545" max="547" width="9" style="3"/>
    <col min="548" max="548" width="2.44140625" style="3" customWidth="1"/>
    <col min="549" max="768" width="9" style="3"/>
    <col min="769" max="769" width="1.44140625" style="3" customWidth="1"/>
    <col min="770" max="770" width="10" style="3" customWidth="1"/>
    <col min="771" max="771" width="6.77734375" style="3" customWidth="1"/>
    <col min="772" max="772" width="10" style="3" customWidth="1"/>
    <col min="773" max="800" width="3.88671875" style="3" customWidth="1"/>
    <col min="801" max="803" width="9" style="3"/>
    <col min="804" max="804" width="2.44140625" style="3" customWidth="1"/>
    <col min="805" max="1024" width="9" style="3"/>
    <col min="1025" max="1025" width="1.44140625" style="3" customWidth="1"/>
    <col min="1026" max="1026" width="10" style="3" customWidth="1"/>
    <col min="1027" max="1027" width="6.77734375" style="3" customWidth="1"/>
    <col min="1028" max="1028" width="10" style="3" customWidth="1"/>
    <col min="1029" max="1056" width="3.88671875" style="3" customWidth="1"/>
    <col min="1057" max="1059" width="9" style="3"/>
    <col min="1060" max="1060" width="2.44140625" style="3" customWidth="1"/>
    <col min="1061" max="1280" width="9" style="3"/>
    <col min="1281" max="1281" width="1.44140625" style="3" customWidth="1"/>
    <col min="1282" max="1282" width="10" style="3" customWidth="1"/>
    <col min="1283" max="1283" width="6.77734375" style="3" customWidth="1"/>
    <col min="1284" max="1284" width="10" style="3" customWidth="1"/>
    <col min="1285" max="1312" width="3.88671875" style="3" customWidth="1"/>
    <col min="1313" max="1315" width="9" style="3"/>
    <col min="1316" max="1316" width="2.44140625" style="3" customWidth="1"/>
    <col min="1317" max="1536" width="9" style="3"/>
    <col min="1537" max="1537" width="1.44140625" style="3" customWidth="1"/>
    <col min="1538" max="1538" width="10" style="3" customWidth="1"/>
    <col min="1539" max="1539" width="6.77734375" style="3" customWidth="1"/>
    <col min="1540" max="1540" width="10" style="3" customWidth="1"/>
    <col min="1541" max="1568" width="3.88671875" style="3" customWidth="1"/>
    <col min="1569" max="1571" width="9" style="3"/>
    <col min="1572" max="1572" width="2.44140625" style="3" customWidth="1"/>
    <col min="1573" max="1792" width="9" style="3"/>
    <col min="1793" max="1793" width="1.44140625" style="3" customWidth="1"/>
    <col min="1794" max="1794" width="10" style="3" customWidth="1"/>
    <col min="1795" max="1795" width="6.77734375" style="3" customWidth="1"/>
    <col min="1796" max="1796" width="10" style="3" customWidth="1"/>
    <col min="1797" max="1824" width="3.88671875" style="3" customWidth="1"/>
    <col min="1825" max="1827" width="9" style="3"/>
    <col min="1828" max="1828" width="2.44140625" style="3" customWidth="1"/>
    <col min="1829" max="2048" width="9" style="3"/>
    <col min="2049" max="2049" width="1.44140625" style="3" customWidth="1"/>
    <col min="2050" max="2050" width="10" style="3" customWidth="1"/>
    <col min="2051" max="2051" width="6.77734375" style="3" customWidth="1"/>
    <col min="2052" max="2052" width="10" style="3" customWidth="1"/>
    <col min="2053" max="2080" width="3.88671875" style="3" customWidth="1"/>
    <col min="2081" max="2083" width="9" style="3"/>
    <col min="2084" max="2084" width="2.44140625" style="3" customWidth="1"/>
    <col min="2085" max="2304" width="9" style="3"/>
    <col min="2305" max="2305" width="1.44140625" style="3" customWidth="1"/>
    <col min="2306" max="2306" width="10" style="3" customWidth="1"/>
    <col min="2307" max="2307" width="6.77734375" style="3" customWidth="1"/>
    <col min="2308" max="2308" width="10" style="3" customWidth="1"/>
    <col min="2309" max="2336" width="3.88671875" style="3" customWidth="1"/>
    <col min="2337" max="2339" width="9" style="3"/>
    <col min="2340" max="2340" width="2.44140625" style="3" customWidth="1"/>
    <col min="2341" max="2560" width="9" style="3"/>
    <col min="2561" max="2561" width="1.44140625" style="3" customWidth="1"/>
    <col min="2562" max="2562" width="10" style="3" customWidth="1"/>
    <col min="2563" max="2563" width="6.77734375" style="3" customWidth="1"/>
    <col min="2564" max="2564" width="10" style="3" customWidth="1"/>
    <col min="2565" max="2592" width="3.88671875" style="3" customWidth="1"/>
    <col min="2593" max="2595" width="9" style="3"/>
    <col min="2596" max="2596" width="2.44140625" style="3" customWidth="1"/>
    <col min="2597" max="2816" width="9" style="3"/>
    <col min="2817" max="2817" width="1.44140625" style="3" customWidth="1"/>
    <col min="2818" max="2818" width="10" style="3" customWidth="1"/>
    <col min="2819" max="2819" width="6.77734375" style="3" customWidth="1"/>
    <col min="2820" max="2820" width="10" style="3" customWidth="1"/>
    <col min="2821" max="2848" width="3.88671875" style="3" customWidth="1"/>
    <col min="2849" max="2851" width="9" style="3"/>
    <col min="2852" max="2852" width="2.44140625" style="3" customWidth="1"/>
    <col min="2853" max="3072" width="9" style="3"/>
    <col min="3073" max="3073" width="1.44140625" style="3" customWidth="1"/>
    <col min="3074" max="3074" width="10" style="3" customWidth="1"/>
    <col min="3075" max="3075" width="6.77734375" style="3" customWidth="1"/>
    <col min="3076" max="3076" width="10" style="3" customWidth="1"/>
    <col min="3077" max="3104" width="3.88671875" style="3" customWidth="1"/>
    <col min="3105" max="3107" width="9" style="3"/>
    <col min="3108" max="3108" width="2.44140625" style="3" customWidth="1"/>
    <col min="3109" max="3328" width="9" style="3"/>
    <col min="3329" max="3329" width="1.44140625" style="3" customWidth="1"/>
    <col min="3330" max="3330" width="10" style="3" customWidth="1"/>
    <col min="3331" max="3331" width="6.77734375" style="3" customWidth="1"/>
    <col min="3332" max="3332" width="10" style="3" customWidth="1"/>
    <col min="3333" max="3360" width="3.88671875" style="3" customWidth="1"/>
    <col min="3361" max="3363" width="9" style="3"/>
    <col min="3364" max="3364" width="2.44140625" style="3" customWidth="1"/>
    <col min="3365" max="3584" width="9" style="3"/>
    <col min="3585" max="3585" width="1.44140625" style="3" customWidth="1"/>
    <col min="3586" max="3586" width="10" style="3" customWidth="1"/>
    <col min="3587" max="3587" width="6.77734375" style="3" customWidth="1"/>
    <col min="3588" max="3588" width="10" style="3" customWidth="1"/>
    <col min="3589" max="3616" width="3.88671875" style="3" customWidth="1"/>
    <col min="3617" max="3619" width="9" style="3"/>
    <col min="3620" max="3620" width="2.44140625" style="3" customWidth="1"/>
    <col min="3621" max="3840" width="9" style="3"/>
    <col min="3841" max="3841" width="1.44140625" style="3" customWidth="1"/>
    <col min="3842" max="3842" width="10" style="3" customWidth="1"/>
    <col min="3843" max="3843" width="6.77734375" style="3" customWidth="1"/>
    <col min="3844" max="3844" width="10" style="3" customWidth="1"/>
    <col min="3845" max="3872" width="3.88671875" style="3" customWidth="1"/>
    <col min="3873" max="3875" width="9" style="3"/>
    <col min="3876" max="3876" width="2.44140625" style="3" customWidth="1"/>
    <col min="3877" max="4096" width="9" style="3"/>
    <col min="4097" max="4097" width="1.44140625" style="3" customWidth="1"/>
    <col min="4098" max="4098" width="10" style="3" customWidth="1"/>
    <col min="4099" max="4099" width="6.77734375" style="3" customWidth="1"/>
    <col min="4100" max="4100" width="10" style="3" customWidth="1"/>
    <col min="4101" max="4128" width="3.88671875" style="3" customWidth="1"/>
    <col min="4129" max="4131" width="9" style="3"/>
    <col min="4132" max="4132" width="2.44140625" style="3" customWidth="1"/>
    <col min="4133" max="4352" width="9" style="3"/>
    <col min="4353" max="4353" width="1.44140625" style="3" customWidth="1"/>
    <col min="4354" max="4354" width="10" style="3" customWidth="1"/>
    <col min="4355" max="4355" width="6.77734375" style="3" customWidth="1"/>
    <col min="4356" max="4356" width="10" style="3" customWidth="1"/>
    <col min="4357" max="4384" width="3.88671875" style="3" customWidth="1"/>
    <col min="4385" max="4387" width="9" style="3"/>
    <col min="4388" max="4388" width="2.44140625" style="3" customWidth="1"/>
    <col min="4389" max="4608" width="9" style="3"/>
    <col min="4609" max="4609" width="1.44140625" style="3" customWidth="1"/>
    <col min="4610" max="4610" width="10" style="3" customWidth="1"/>
    <col min="4611" max="4611" width="6.77734375" style="3" customWidth="1"/>
    <col min="4612" max="4612" width="10" style="3" customWidth="1"/>
    <col min="4613" max="4640" width="3.88671875" style="3" customWidth="1"/>
    <col min="4641" max="4643" width="9" style="3"/>
    <col min="4644" max="4644" width="2.44140625" style="3" customWidth="1"/>
    <col min="4645" max="4864" width="9" style="3"/>
    <col min="4865" max="4865" width="1.44140625" style="3" customWidth="1"/>
    <col min="4866" max="4866" width="10" style="3" customWidth="1"/>
    <col min="4867" max="4867" width="6.77734375" style="3" customWidth="1"/>
    <col min="4868" max="4868" width="10" style="3" customWidth="1"/>
    <col min="4869" max="4896" width="3.88671875" style="3" customWidth="1"/>
    <col min="4897" max="4899" width="9" style="3"/>
    <col min="4900" max="4900" width="2.44140625" style="3" customWidth="1"/>
    <col min="4901" max="5120" width="9" style="3"/>
    <col min="5121" max="5121" width="1.44140625" style="3" customWidth="1"/>
    <col min="5122" max="5122" width="10" style="3" customWidth="1"/>
    <col min="5123" max="5123" width="6.77734375" style="3" customWidth="1"/>
    <col min="5124" max="5124" width="10" style="3" customWidth="1"/>
    <col min="5125" max="5152" width="3.88671875" style="3" customWidth="1"/>
    <col min="5153" max="5155" width="9" style="3"/>
    <col min="5156" max="5156" width="2.44140625" style="3" customWidth="1"/>
    <col min="5157" max="5376" width="9" style="3"/>
    <col min="5377" max="5377" width="1.44140625" style="3" customWidth="1"/>
    <col min="5378" max="5378" width="10" style="3" customWidth="1"/>
    <col min="5379" max="5379" width="6.77734375" style="3" customWidth="1"/>
    <col min="5380" max="5380" width="10" style="3" customWidth="1"/>
    <col min="5381" max="5408" width="3.88671875" style="3" customWidth="1"/>
    <col min="5409" max="5411" width="9" style="3"/>
    <col min="5412" max="5412" width="2.44140625" style="3" customWidth="1"/>
    <col min="5413" max="5632" width="9" style="3"/>
    <col min="5633" max="5633" width="1.44140625" style="3" customWidth="1"/>
    <col min="5634" max="5634" width="10" style="3" customWidth="1"/>
    <col min="5635" max="5635" width="6.77734375" style="3" customWidth="1"/>
    <col min="5636" max="5636" width="10" style="3" customWidth="1"/>
    <col min="5637" max="5664" width="3.88671875" style="3" customWidth="1"/>
    <col min="5665" max="5667" width="9" style="3"/>
    <col min="5668" max="5668" width="2.44140625" style="3" customWidth="1"/>
    <col min="5669" max="5888" width="9" style="3"/>
    <col min="5889" max="5889" width="1.44140625" style="3" customWidth="1"/>
    <col min="5890" max="5890" width="10" style="3" customWidth="1"/>
    <col min="5891" max="5891" width="6.77734375" style="3" customWidth="1"/>
    <col min="5892" max="5892" width="10" style="3" customWidth="1"/>
    <col min="5893" max="5920" width="3.88671875" style="3" customWidth="1"/>
    <col min="5921" max="5923" width="9" style="3"/>
    <col min="5924" max="5924" width="2.44140625" style="3" customWidth="1"/>
    <col min="5925" max="6144" width="9" style="3"/>
    <col min="6145" max="6145" width="1.44140625" style="3" customWidth="1"/>
    <col min="6146" max="6146" width="10" style="3" customWidth="1"/>
    <col min="6147" max="6147" width="6.77734375" style="3" customWidth="1"/>
    <col min="6148" max="6148" width="10" style="3" customWidth="1"/>
    <col min="6149" max="6176" width="3.88671875" style="3" customWidth="1"/>
    <col min="6177" max="6179" width="9" style="3"/>
    <col min="6180" max="6180" width="2.44140625" style="3" customWidth="1"/>
    <col min="6181" max="6400" width="9" style="3"/>
    <col min="6401" max="6401" width="1.44140625" style="3" customWidth="1"/>
    <col min="6402" max="6402" width="10" style="3" customWidth="1"/>
    <col min="6403" max="6403" width="6.77734375" style="3" customWidth="1"/>
    <col min="6404" max="6404" width="10" style="3" customWidth="1"/>
    <col min="6405" max="6432" width="3.88671875" style="3" customWidth="1"/>
    <col min="6433" max="6435" width="9" style="3"/>
    <col min="6436" max="6436" width="2.44140625" style="3" customWidth="1"/>
    <col min="6437" max="6656" width="9" style="3"/>
    <col min="6657" max="6657" width="1.44140625" style="3" customWidth="1"/>
    <col min="6658" max="6658" width="10" style="3" customWidth="1"/>
    <col min="6659" max="6659" width="6.77734375" style="3" customWidth="1"/>
    <col min="6660" max="6660" width="10" style="3" customWidth="1"/>
    <col min="6661" max="6688" width="3.88671875" style="3" customWidth="1"/>
    <col min="6689" max="6691" width="9" style="3"/>
    <col min="6692" max="6692" width="2.44140625" style="3" customWidth="1"/>
    <col min="6693" max="6912" width="9" style="3"/>
    <col min="6913" max="6913" width="1.44140625" style="3" customWidth="1"/>
    <col min="6914" max="6914" width="10" style="3" customWidth="1"/>
    <col min="6915" max="6915" width="6.77734375" style="3" customWidth="1"/>
    <col min="6916" max="6916" width="10" style="3" customWidth="1"/>
    <col min="6917" max="6944" width="3.88671875" style="3" customWidth="1"/>
    <col min="6945" max="6947" width="9" style="3"/>
    <col min="6948" max="6948" width="2.44140625" style="3" customWidth="1"/>
    <col min="6949" max="7168" width="9" style="3"/>
    <col min="7169" max="7169" width="1.44140625" style="3" customWidth="1"/>
    <col min="7170" max="7170" width="10" style="3" customWidth="1"/>
    <col min="7171" max="7171" width="6.77734375" style="3" customWidth="1"/>
    <col min="7172" max="7172" width="10" style="3" customWidth="1"/>
    <col min="7173" max="7200" width="3.88671875" style="3" customWidth="1"/>
    <col min="7201" max="7203" width="9" style="3"/>
    <col min="7204" max="7204" width="2.44140625" style="3" customWidth="1"/>
    <col min="7205" max="7424" width="9" style="3"/>
    <col min="7425" max="7425" width="1.44140625" style="3" customWidth="1"/>
    <col min="7426" max="7426" width="10" style="3" customWidth="1"/>
    <col min="7427" max="7427" width="6.77734375" style="3" customWidth="1"/>
    <col min="7428" max="7428" width="10" style="3" customWidth="1"/>
    <col min="7429" max="7456" width="3.88671875" style="3" customWidth="1"/>
    <col min="7457" max="7459" width="9" style="3"/>
    <col min="7460" max="7460" width="2.44140625" style="3" customWidth="1"/>
    <col min="7461" max="7680" width="9" style="3"/>
    <col min="7681" max="7681" width="1.44140625" style="3" customWidth="1"/>
    <col min="7682" max="7682" width="10" style="3" customWidth="1"/>
    <col min="7683" max="7683" width="6.77734375" style="3" customWidth="1"/>
    <col min="7684" max="7684" width="10" style="3" customWidth="1"/>
    <col min="7685" max="7712" width="3.88671875" style="3" customWidth="1"/>
    <col min="7713" max="7715" width="9" style="3"/>
    <col min="7716" max="7716" width="2.44140625" style="3" customWidth="1"/>
    <col min="7717" max="7936" width="9" style="3"/>
    <col min="7937" max="7937" width="1.44140625" style="3" customWidth="1"/>
    <col min="7938" max="7938" width="10" style="3" customWidth="1"/>
    <col min="7939" max="7939" width="6.77734375" style="3" customWidth="1"/>
    <col min="7940" max="7940" width="10" style="3" customWidth="1"/>
    <col min="7941" max="7968" width="3.88671875" style="3" customWidth="1"/>
    <col min="7969" max="7971" width="9" style="3"/>
    <col min="7972" max="7972" width="2.44140625" style="3" customWidth="1"/>
    <col min="7973" max="8192" width="9" style="3"/>
    <col min="8193" max="8193" width="1.44140625" style="3" customWidth="1"/>
    <col min="8194" max="8194" width="10" style="3" customWidth="1"/>
    <col min="8195" max="8195" width="6.77734375" style="3" customWidth="1"/>
    <col min="8196" max="8196" width="10" style="3" customWidth="1"/>
    <col min="8197" max="8224" width="3.88671875" style="3" customWidth="1"/>
    <col min="8225" max="8227" width="9" style="3"/>
    <col min="8228" max="8228" width="2.44140625" style="3" customWidth="1"/>
    <col min="8229" max="8448" width="9" style="3"/>
    <col min="8449" max="8449" width="1.44140625" style="3" customWidth="1"/>
    <col min="8450" max="8450" width="10" style="3" customWidth="1"/>
    <col min="8451" max="8451" width="6.77734375" style="3" customWidth="1"/>
    <col min="8452" max="8452" width="10" style="3" customWidth="1"/>
    <col min="8453" max="8480" width="3.88671875" style="3" customWidth="1"/>
    <col min="8481" max="8483" width="9" style="3"/>
    <col min="8484" max="8484" width="2.44140625" style="3" customWidth="1"/>
    <col min="8485" max="8704" width="9" style="3"/>
    <col min="8705" max="8705" width="1.44140625" style="3" customWidth="1"/>
    <col min="8706" max="8706" width="10" style="3" customWidth="1"/>
    <col min="8707" max="8707" width="6.77734375" style="3" customWidth="1"/>
    <col min="8708" max="8708" width="10" style="3" customWidth="1"/>
    <col min="8709" max="8736" width="3.88671875" style="3" customWidth="1"/>
    <col min="8737" max="8739" width="9" style="3"/>
    <col min="8740" max="8740" width="2.44140625" style="3" customWidth="1"/>
    <col min="8741" max="8960" width="9" style="3"/>
    <col min="8961" max="8961" width="1.44140625" style="3" customWidth="1"/>
    <col min="8962" max="8962" width="10" style="3" customWidth="1"/>
    <col min="8963" max="8963" width="6.77734375" style="3" customWidth="1"/>
    <col min="8964" max="8964" width="10" style="3" customWidth="1"/>
    <col min="8965" max="8992" width="3.88671875" style="3" customWidth="1"/>
    <col min="8993" max="8995" width="9" style="3"/>
    <col min="8996" max="8996" width="2.44140625" style="3" customWidth="1"/>
    <col min="8997" max="9216" width="9" style="3"/>
    <col min="9217" max="9217" width="1.44140625" style="3" customWidth="1"/>
    <col min="9218" max="9218" width="10" style="3" customWidth="1"/>
    <col min="9219" max="9219" width="6.77734375" style="3" customWidth="1"/>
    <col min="9220" max="9220" width="10" style="3" customWidth="1"/>
    <col min="9221" max="9248" width="3.88671875" style="3" customWidth="1"/>
    <col min="9249" max="9251" width="9" style="3"/>
    <col min="9252" max="9252" width="2.44140625" style="3" customWidth="1"/>
    <col min="9253" max="9472" width="9" style="3"/>
    <col min="9473" max="9473" width="1.44140625" style="3" customWidth="1"/>
    <col min="9474" max="9474" width="10" style="3" customWidth="1"/>
    <col min="9475" max="9475" width="6.77734375" style="3" customWidth="1"/>
    <col min="9476" max="9476" width="10" style="3" customWidth="1"/>
    <col min="9477" max="9504" width="3.88671875" style="3" customWidth="1"/>
    <col min="9505" max="9507" width="9" style="3"/>
    <col min="9508" max="9508" width="2.44140625" style="3" customWidth="1"/>
    <col min="9509" max="9728" width="9" style="3"/>
    <col min="9729" max="9729" width="1.44140625" style="3" customWidth="1"/>
    <col min="9730" max="9730" width="10" style="3" customWidth="1"/>
    <col min="9731" max="9731" width="6.77734375" style="3" customWidth="1"/>
    <col min="9732" max="9732" width="10" style="3" customWidth="1"/>
    <col min="9733" max="9760" width="3.88671875" style="3" customWidth="1"/>
    <col min="9761" max="9763" width="9" style="3"/>
    <col min="9764" max="9764" width="2.44140625" style="3" customWidth="1"/>
    <col min="9765" max="9984" width="9" style="3"/>
    <col min="9985" max="9985" width="1.44140625" style="3" customWidth="1"/>
    <col min="9986" max="9986" width="10" style="3" customWidth="1"/>
    <col min="9987" max="9987" width="6.77734375" style="3" customWidth="1"/>
    <col min="9988" max="9988" width="10" style="3" customWidth="1"/>
    <col min="9989" max="10016" width="3.88671875" style="3" customWidth="1"/>
    <col min="10017" max="10019" width="9" style="3"/>
    <col min="10020" max="10020" width="2.44140625" style="3" customWidth="1"/>
    <col min="10021" max="10240" width="9" style="3"/>
    <col min="10241" max="10241" width="1.44140625" style="3" customWidth="1"/>
    <col min="10242" max="10242" width="10" style="3" customWidth="1"/>
    <col min="10243" max="10243" width="6.77734375" style="3" customWidth="1"/>
    <col min="10244" max="10244" width="10" style="3" customWidth="1"/>
    <col min="10245" max="10272" width="3.88671875" style="3" customWidth="1"/>
    <col min="10273" max="10275" width="9" style="3"/>
    <col min="10276" max="10276" width="2.44140625" style="3" customWidth="1"/>
    <col min="10277" max="10496" width="9" style="3"/>
    <col min="10497" max="10497" width="1.44140625" style="3" customWidth="1"/>
    <col min="10498" max="10498" width="10" style="3" customWidth="1"/>
    <col min="10499" max="10499" width="6.77734375" style="3" customWidth="1"/>
    <col min="10500" max="10500" width="10" style="3" customWidth="1"/>
    <col min="10501" max="10528" width="3.88671875" style="3" customWidth="1"/>
    <col min="10529" max="10531" width="9" style="3"/>
    <col min="10532" max="10532" width="2.44140625" style="3" customWidth="1"/>
    <col min="10533" max="10752" width="9" style="3"/>
    <col min="10753" max="10753" width="1.44140625" style="3" customWidth="1"/>
    <col min="10754" max="10754" width="10" style="3" customWidth="1"/>
    <col min="10755" max="10755" width="6.77734375" style="3" customWidth="1"/>
    <col min="10756" max="10756" width="10" style="3" customWidth="1"/>
    <col min="10757" max="10784" width="3.88671875" style="3" customWidth="1"/>
    <col min="10785" max="10787" width="9" style="3"/>
    <col min="10788" max="10788" width="2.44140625" style="3" customWidth="1"/>
    <col min="10789" max="11008" width="9" style="3"/>
    <col min="11009" max="11009" width="1.44140625" style="3" customWidth="1"/>
    <col min="11010" max="11010" width="10" style="3" customWidth="1"/>
    <col min="11011" max="11011" width="6.77734375" style="3" customWidth="1"/>
    <col min="11012" max="11012" width="10" style="3" customWidth="1"/>
    <col min="11013" max="11040" width="3.88671875" style="3" customWidth="1"/>
    <col min="11041" max="11043" width="9" style="3"/>
    <col min="11044" max="11044" width="2.44140625" style="3" customWidth="1"/>
    <col min="11045" max="11264" width="9" style="3"/>
    <col min="11265" max="11265" width="1.44140625" style="3" customWidth="1"/>
    <col min="11266" max="11266" width="10" style="3" customWidth="1"/>
    <col min="11267" max="11267" width="6.77734375" style="3" customWidth="1"/>
    <col min="11268" max="11268" width="10" style="3" customWidth="1"/>
    <col min="11269" max="11296" width="3.88671875" style="3" customWidth="1"/>
    <col min="11297" max="11299" width="9" style="3"/>
    <col min="11300" max="11300" width="2.44140625" style="3" customWidth="1"/>
    <col min="11301" max="11520" width="9" style="3"/>
    <col min="11521" max="11521" width="1.44140625" style="3" customWidth="1"/>
    <col min="11522" max="11522" width="10" style="3" customWidth="1"/>
    <col min="11523" max="11523" width="6.77734375" style="3" customWidth="1"/>
    <col min="11524" max="11524" width="10" style="3" customWidth="1"/>
    <col min="11525" max="11552" width="3.88671875" style="3" customWidth="1"/>
    <col min="11553" max="11555" width="9" style="3"/>
    <col min="11556" max="11556" width="2.44140625" style="3" customWidth="1"/>
    <col min="11557" max="11776" width="9" style="3"/>
    <col min="11777" max="11777" width="1.44140625" style="3" customWidth="1"/>
    <col min="11778" max="11778" width="10" style="3" customWidth="1"/>
    <col min="11779" max="11779" width="6.77734375" style="3" customWidth="1"/>
    <col min="11780" max="11780" width="10" style="3" customWidth="1"/>
    <col min="11781" max="11808" width="3.88671875" style="3" customWidth="1"/>
    <col min="11809" max="11811" width="9" style="3"/>
    <col min="11812" max="11812" width="2.44140625" style="3" customWidth="1"/>
    <col min="11813" max="12032" width="9" style="3"/>
    <col min="12033" max="12033" width="1.44140625" style="3" customWidth="1"/>
    <col min="12034" max="12034" width="10" style="3" customWidth="1"/>
    <col min="12035" max="12035" width="6.77734375" style="3" customWidth="1"/>
    <col min="12036" max="12036" width="10" style="3" customWidth="1"/>
    <col min="12037" max="12064" width="3.88671875" style="3" customWidth="1"/>
    <col min="12065" max="12067" width="9" style="3"/>
    <col min="12068" max="12068" width="2.44140625" style="3" customWidth="1"/>
    <col min="12069" max="12288" width="9" style="3"/>
    <col min="12289" max="12289" width="1.44140625" style="3" customWidth="1"/>
    <col min="12290" max="12290" width="10" style="3" customWidth="1"/>
    <col min="12291" max="12291" width="6.77734375" style="3" customWidth="1"/>
    <col min="12292" max="12292" width="10" style="3" customWidth="1"/>
    <col min="12293" max="12320" width="3.88671875" style="3" customWidth="1"/>
    <col min="12321" max="12323" width="9" style="3"/>
    <col min="12324" max="12324" width="2.44140625" style="3" customWidth="1"/>
    <col min="12325" max="12544" width="9" style="3"/>
    <col min="12545" max="12545" width="1.44140625" style="3" customWidth="1"/>
    <col min="12546" max="12546" width="10" style="3" customWidth="1"/>
    <col min="12547" max="12547" width="6.77734375" style="3" customWidth="1"/>
    <col min="12548" max="12548" width="10" style="3" customWidth="1"/>
    <col min="12549" max="12576" width="3.88671875" style="3" customWidth="1"/>
    <col min="12577" max="12579" width="9" style="3"/>
    <col min="12580" max="12580" width="2.44140625" style="3" customWidth="1"/>
    <col min="12581" max="12800" width="9" style="3"/>
    <col min="12801" max="12801" width="1.44140625" style="3" customWidth="1"/>
    <col min="12802" max="12802" width="10" style="3" customWidth="1"/>
    <col min="12803" max="12803" width="6.77734375" style="3" customWidth="1"/>
    <col min="12804" max="12804" width="10" style="3" customWidth="1"/>
    <col min="12805" max="12832" width="3.88671875" style="3" customWidth="1"/>
    <col min="12833" max="12835" width="9" style="3"/>
    <col min="12836" max="12836" width="2.44140625" style="3" customWidth="1"/>
    <col min="12837" max="13056" width="9" style="3"/>
    <col min="13057" max="13057" width="1.44140625" style="3" customWidth="1"/>
    <col min="13058" max="13058" width="10" style="3" customWidth="1"/>
    <col min="13059" max="13059" width="6.77734375" style="3" customWidth="1"/>
    <col min="13060" max="13060" width="10" style="3" customWidth="1"/>
    <col min="13061" max="13088" width="3.88671875" style="3" customWidth="1"/>
    <col min="13089" max="13091" width="9" style="3"/>
    <col min="13092" max="13092" width="2.44140625" style="3" customWidth="1"/>
    <col min="13093" max="13312" width="9" style="3"/>
    <col min="13313" max="13313" width="1.44140625" style="3" customWidth="1"/>
    <col min="13314" max="13314" width="10" style="3" customWidth="1"/>
    <col min="13315" max="13315" width="6.77734375" style="3" customWidth="1"/>
    <col min="13316" max="13316" width="10" style="3" customWidth="1"/>
    <col min="13317" max="13344" width="3.88671875" style="3" customWidth="1"/>
    <col min="13345" max="13347" width="9" style="3"/>
    <col min="13348" max="13348" width="2.44140625" style="3" customWidth="1"/>
    <col min="13349" max="13568" width="9" style="3"/>
    <col min="13569" max="13569" width="1.44140625" style="3" customWidth="1"/>
    <col min="13570" max="13570" width="10" style="3" customWidth="1"/>
    <col min="13571" max="13571" width="6.77734375" style="3" customWidth="1"/>
    <col min="13572" max="13572" width="10" style="3" customWidth="1"/>
    <col min="13573" max="13600" width="3.88671875" style="3" customWidth="1"/>
    <col min="13601" max="13603" width="9" style="3"/>
    <col min="13604" max="13604" width="2.44140625" style="3" customWidth="1"/>
    <col min="13605" max="13824" width="9" style="3"/>
    <col min="13825" max="13825" width="1.44140625" style="3" customWidth="1"/>
    <col min="13826" max="13826" width="10" style="3" customWidth="1"/>
    <col min="13827" max="13827" width="6.77734375" style="3" customWidth="1"/>
    <col min="13828" max="13828" width="10" style="3" customWidth="1"/>
    <col min="13829" max="13856" width="3.88671875" style="3" customWidth="1"/>
    <col min="13857" max="13859" width="9" style="3"/>
    <col min="13860" max="13860" width="2.44140625" style="3" customWidth="1"/>
    <col min="13861" max="14080" width="9" style="3"/>
    <col min="14081" max="14081" width="1.44140625" style="3" customWidth="1"/>
    <col min="14082" max="14082" width="10" style="3" customWidth="1"/>
    <col min="14083" max="14083" width="6.77734375" style="3" customWidth="1"/>
    <col min="14084" max="14084" width="10" style="3" customWidth="1"/>
    <col min="14085" max="14112" width="3.88671875" style="3" customWidth="1"/>
    <col min="14113" max="14115" width="9" style="3"/>
    <col min="14116" max="14116" width="2.44140625" style="3" customWidth="1"/>
    <col min="14117" max="14336" width="9" style="3"/>
    <col min="14337" max="14337" width="1.44140625" style="3" customWidth="1"/>
    <col min="14338" max="14338" width="10" style="3" customWidth="1"/>
    <col min="14339" max="14339" width="6.77734375" style="3" customWidth="1"/>
    <col min="14340" max="14340" width="10" style="3" customWidth="1"/>
    <col min="14341" max="14368" width="3.88671875" style="3" customWidth="1"/>
    <col min="14369" max="14371" width="9" style="3"/>
    <col min="14372" max="14372" width="2.44140625" style="3" customWidth="1"/>
    <col min="14373" max="14592" width="9" style="3"/>
    <col min="14593" max="14593" width="1.44140625" style="3" customWidth="1"/>
    <col min="14594" max="14594" width="10" style="3" customWidth="1"/>
    <col min="14595" max="14595" width="6.77734375" style="3" customWidth="1"/>
    <col min="14596" max="14596" width="10" style="3" customWidth="1"/>
    <col min="14597" max="14624" width="3.88671875" style="3" customWidth="1"/>
    <col min="14625" max="14627" width="9" style="3"/>
    <col min="14628" max="14628" width="2.44140625" style="3" customWidth="1"/>
    <col min="14629" max="14848" width="9" style="3"/>
    <col min="14849" max="14849" width="1.44140625" style="3" customWidth="1"/>
    <col min="14850" max="14850" width="10" style="3" customWidth="1"/>
    <col min="14851" max="14851" width="6.77734375" style="3" customWidth="1"/>
    <col min="14852" max="14852" width="10" style="3" customWidth="1"/>
    <col min="14853" max="14880" width="3.88671875" style="3" customWidth="1"/>
    <col min="14881" max="14883" width="9" style="3"/>
    <col min="14884" max="14884" width="2.44140625" style="3" customWidth="1"/>
    <col min="14885" max="15104" width="9" style="3"/>
    <col min="15105" max="15105" width="1.44140625" style="3" customWidth="1"/>
    <col min="15106" max="15106" width="10" style="3" customWidth="1"/>
    <col min="15107" max="15107" width="6.77734375" style="3" customWidth="1"/>
    <col min="15108" max="15108" width="10" style="3" customWidth="1"/>
    <col min="15109" max="15136" width="3.88671875" style="3" customWidth="1"/>
    <col min="15137" max="15139" width="9" style="3"/>
    <col min="15140" max="15140" width="2.44140625" style="3" customWidth="1"/>
    <col min="15141" max="15360" width="9" style="3"/>
    <col min="15361" max="15361" width="1.44140625" style="3" customWidth="1"/>
    <col min="15362" max="15362" width="10" style="3" customWidth="1"/>
    <col min="15363" max="15363" width="6.77734375" style="3" customWidth="1"/>
    <col min="15364" max="15364" width="10" style="3" customWidth="1"/>
    <col min="15365" max="15392" width="3.88671875" style="3" customWidth="1"/>
    <col min="15393" max="15395" width="9" style="3"/>
    <col min="15396" max="15396" width="2.44140625" style="3" customWidth="1"/>
    <col min="15397" max="15616" width="9" style="3"/>
    <col min="15617" max="15617" width="1.44140625" style="3" customWidth="1"/>
    <col min="15618" max="15618" width="10" style="3" customWidth="1"/>
    <col min="15619" max="15619" width="6.77734375" style="3" customWidth="1"/>
    <col min="15620" max="15620" width="10" style="3" customWidth="1"/>
    <col min="15621" max="15648" width="3.88671875" style="3" customWidth="1"/>
    <col min="15649" max="15651" width="9" style="3"/>
    <col min="15652" max="15652" width="2.44140625" style="3" customWidth="1"/>
    <col min="15653" max="15872" width="9" style="3"/>
    <col min="15873" max="15873" width="1.44140625" style="3" customWidth="1"/>
    <col min="15874" max="15874" width="10" style="3" customWidth="1"/>
    <col min="15875" max="15875" width="6.77734375" style="3" customWidth="1"/>
    <col min="15876" max="15876" width="10" style="3" customWidth="1"/>
    <col min="15877" max="15904" width="3.88671875" style="3" customWidth="1"/>
    <col min="15905" max="15907" width="9" style="3"/>
    <col min="15908" max="15908" width="2.44140625" style="3" customWidth="1"/>
    <col min="15909" max="16128" width="9" style="3"/>
    <col min="16129" max="16129" width="1.44140625" style="3" customWidth="1"/>
    <col min="16130" max="16130" width="10" style="3" customWidth="1"/>
    <col min="16131" max="16131" width="6.77734375" style="3" customWidth="1"/>
    <col min="16132" max="16132" width="10" style="3" customWidth="1"/>
    <col min="16133" max="16160" width="3.88671875" style="3" customWidth="1"/>
    <col min="16161" max="16163" width="9" style="3"/>
    <col min="16164" max="16164" width="2.44140625" style="3" customWidth="1"/>
    <col min="16165" max="16384" width="9" style="3"/>
  </cols>
  <sheetData>
    <row r="2" spans="2:37">
      <c r="B2" s="527" t="s">
        <v>955</v>
      </c>
    </row>
    <row r="3" spans="2:37">
      <c r="B3" s="528"/>
    </row>
    <row r="4" spans="2:37" ht="13.5" customHeight="1">
      <c r="B4" s="527" t="s">
        <v>956</v>
      </c>
      <c r="X4" s="529" t="s">
        <v>957</v>
      </c>
    </row>
    <row r="5" spans="2:37" ht="6.75" customHeight="1">
      <c r="B5" s="527"/>
      <c r="W5" s="529"/>
      <c r="AJ5" s="530"/>
      <c r="AK5" s="530"/>
    </row>
    <row r="6" spans="2:37" ht="13.5" customHeight="1">
      <c r="X6" s="527" t="s">
        <v>958</v>
      </c>
      <c r="AJ6" s="530"/>
      <c r="AK6" s="530"/>
    </row>
    <row r="7" spans="2:37" ht="6.75" customHeight="1">
      <c r="W7" s="527"/>
      <c r="AJ7" s="530"/>
      <c r="AK7" s="530"/>
    </row>
    <row r="8" spans="2:37" ht="14.25" customHeight="1">
      <c r="B8" s="527" t="s">
        <v>959</v>
      </c>
      <c r="AB8" s="527" t="s">
        <v>960</v>
      </c>
      <c r="AJ8" s="530"/>
      <c r="AK8" s="530"/>
    </row>
    <row r="9" spans="2:37" ht="14.25" customHeight="1">
      <c r="B9" s="528"/>
      <c r="AJ9" s="530"/>
      <c r="AK9" s="530"/>
    </row>
    <row r="10" spans="2:37" ht="18" customHeight="1">
      <c r="B10" s="1726" t="s">
        <v>961</v>
      </c>
      <c r="C10" s="1726" t="s">
        <v>962</v>
      </c>
      <c r="D10" s="1726" t="s">
        <v>963</v>
      </c>
      <c r="E10" s="1732" t="s">
        <v>964</v>
      </c>
      <c r="F10" s="1733"/>
      <c r="G10" s="1733"/>
      <c r="H10" s="1733"/>
      <c r="I10" s="1733"/>
      <c r="J10" s="1733"/>
      <c r="K10" s="1734"/>
      <c r="L10" s="1732" t="s">
        <v>965</v>
      </c>
      <c r="M10" s="1733"/>
      <c r="N10" s="1733"/>
      <c r="O10" s="1733"/>
      <c r="P10" s="1733"/>
      <c r="Q10" s="1733"/>
      <c r="R10" s="1734"/>
      <c r="S10" s="1732" t="s">
        <v>966</v>
      </c>
      <c r="T10" s="1733"/>
      <c r="U10" s="1733"/>
      <c r="V10" s="1733"/>
      <c r="W10" s="1733"/>
      <c r="X10" s="1733"/>
      <c r="Y10" s="1734"/>
      <c r="Z10" s="1732" t="s">
        <v>967</v>
      </c>
      <c r="AA10" s="1733"/>
      <c r="AB10" s="1733"/>
      <c r="AC10" s="1733"/>
      <c r="AD10" s="1733"/>
      <c r="AE10" s="1733"/>
      <c r="AF10" s="1737"/>
      <c r="AG10" s="1738" t="s">
        <v>968</v>
      </c>
      <c r="AH10" s="1726" t="s">
        <v>969</v>
      </c>
      <c r="AI10" s="1726" t="s">
        <v>970</v>
      </c>
      <c r="AJ10" s="530"/>
      <c r="AK10" s="530"/>
    </row>
    <row r="11" spans="2:37" ht="18" customHeight="1">
      <c r="B11" s="1730"/>
      <c r="C11" s="1730"/>
      <c r="D11" s="1730"/>
      <c r="E11" s="531">
        <v>1</v>
      </c>
      <c r="F11" s="531">
        <v>2</v>
      </c>
      <c r="G11" s="531">
        <v>3</v>
      </c>
      <c r="H11" s="531">
        <v>4</v>
      </c>
      <c r="I11" s="531">
        <v>5</v>
      </c>
      <c r="J11" s="531">
        <v>6</v>
      </c>
      <c r="K11" s="531">
        <v>7</v>
      </c>
      <c r="L11" s="531">
        <v>8</v>
      </c>
      <c r="M11" s="531">
        <v>9</v>
      </c>
      <c r="N11" s="531">
        <v>10</v>
      </c>
      <c r="O11" s="531">
        <v>11</v>
      </c>
      <c r="P11" s="531">
        <v>12</v>
      </c>
      <c r="Q11" s="531">
        <v>13</v>
      </c>
      <c r="R11" s="531">
        <v>14</v>
      </c>
      <c r="S11" s="531">
        <v>15</v>
      </c>
      <c r="T11" s="531">
        <v>16</v>
      </c>
      <c r="U11" s="531">
        <v>17</v>
      </c>
      <c r="V11" s="531">
        <v>18</v>
      </c>
      <c r="W11" s="531">
        <v>19</v>
      </c>
      <c r="X11" s="531">
        <v>20</v>
      </c>
      <c r="Y11" s="531">
        <v>21</v>
      </c>
      <c r="Z11" s="531">
        <v>22</v>
      </c>
      <c r="AA11" s="531">
        <v>23</v>
      </c>
      <c r="AB11" s="531">
        <v>24</v>
      </c>
      <c r="AC11" s="531">
        <v>25</v>
      </c>
      <c r="AD11" s="531">
        <v>26</v>
      </c>
      <c r="AE11" s="531">
        <v>27</v>
      </c>
      <c r="AF11" s="673">
        <v>28</v>
      </c>
      <c r="AG11" s="1739"/>
      <c r="AH11" s="1727"/>
      <c r="AI11" s="1727"/>
      <c r="AJ11" s="530"/>
      <c r="AK11" s="530"/>
    </row>
    <row r="12" spans="2:37" ht="18" customHeight="1">
      <c r="B12" s="1731"/>
      <c r="C12" s="1731"/>
      <c r="D12" s="1731"/>
      <c r="E12" s="531" t="s">
        <v>971</v>
      </c>
      <c r="F12" s="532"/>
      <c r="G12" s="532"/>
      <c r="H12" s="532"/>
      <c r="I12" s="532"/>
      <c r="J12" s="532"/>
      <c r="K12" s="532"/>
      <c r="L12" s="532"/>
      <c r="M12" s="532"/>
      <c r="N12" s="532"/>
      <c r="O12" s="532"/>
      <c r="P12" s="532"/>
      <c r="Q12" s="532"/>
      <c r="R12" s="532"/>
      <c r="S12" s="532"/>
      <c r="T12" s="532"/>
      <c r="U12" s="532"/>
      <c r="V12" s="532"/>
      <c r="W12" s="532"/>
      <c r="X12" s="532"/>
      <c r="Y12" s="532"/>
      <c r="Z12" s="532"/>
      <c r="AA12" s="532"/>
      <c r="AB12" s="532"/>
      <c r="AC12" s="532"/>
      <c r="AD12" s="532"/>
      <c r="AE12" s="532"/>
      <c r="AF12" s="533"/>
      <c r="AG12" s="1740"/>
      <c r="AH12" s="1728"/>
      <c r="AI12" s="1728"/>
      <c r="AJ12" s="530"/>
      <c r="AK12" s="530"/>
    </row>
    <row r="13" spans="2:37" ht="18" customHeight="1">
      <c r="B13" s="1729" t="s">
        <v>972</v>
      </c>
      <c r="C13" s="1729"/>
      <c r="D13" s="1729"/>
      <c r="E13" s="672" t="s">
        <v>931</v>
      </c>
      <c r="F13" s="672" t="s">
        <v>931</v>
      </c>
      <c r="G13" s="672" t="s">
        <v>973</v>
      </c>
      <c r="H13" s="672" t="s">
        <v>936</v>
      </c>
      <c r="I13" s="672" t="s">
        <v>974</v>
      </c>
      <c r="J13" s="672" t="s">
        <v>931</v>
      </c>
      <c r="K13" s="672" t="s">
        <v>974</v>
      </c>
      <c r="L13" s="534"/>
      <c r="M13" s="534"/>
      <c r="N13" s="534"/>
      <c r="O13" s="534"/>
      <c r="P13" s="534"/>
      <c r="Q13" s="534"/>
      <c r="R13" s="534"/>
      <c r="S13" s="534"/>
      <c r="T13" s="534"/>
      <c r="U13" s="534"/>
      <c r="V13" s="534"/>
      <c r="W13" s="534"/>
      <c r="X13" s="534"/>
      <c r="Y13" s="534"/>
      <c r="Z13" s="534"/>
      <c r="AA13" s="534"/>
      <c r="AB13" s="534"/>
      <c r="AC13" s="534"/>
      <c r="AD13" s="534"/>
      <c r="AE13" s="534"/>
      <c r="AF13" s="535"/>
      <c r="AG13" s="536"/>
      <c r="AH13" s="537"/>
      <c r="AI13" s="537"/>
    </row>
    <row r="14" spans="2:37" ht="18" customHeight="1">
      <c r="B14" s="1729" t="s">
        <v>975</v>
      </c>
      <c r="C14" s="1729"/>
      <c r="D14" s="1729"/>
      <c r="E14" s="672" t="s">
        <v>976</v>
      </c>
      <c r="F14" s="672" t="s">
        <v>976</v>
      </c>
      <c r="G14" s="672" t="s">
        <v>976</v>
      </c>
      <c r="H14" s="672" t="s">
        <v>977</v>
      </c>
      <c r="I14" s="672" t="s">
        <v>977</v>
      </c>
      <c r="J14" s="672" t="s">
        <v>978</v>
      </c>
      <c r="K14" s="672" t="s">
        <v>978</v>
      </c>
      <c r="L14" s="534"/>
      <c r="M14" s="534"/>
      <c r="N14" s="534"/>
      <c r="O14" s="534"/>
      <c r="P14" s="534"/>
      <c r="Q14" s="534"/>
      <c r="R14" s="534"/>
      <c r="S14" s="534"/>
      <c r="T14" s="534"/>
      <c r="U14" s="534"/>
      <c r="V14" s="534"/>
      <c r="W14" s="534"/>
      <c r="X14" s="534"/>
      <c r="Y14" s="534"/>
      <c r="Z14" s="534"/>
      <c r="AA14" s="534"/>
      <c r="AB14" s="534"/>
      <c r="AC14" s="534"/>
      <c r="AD14" s="534"/>
      <c r="AE14" s="534"/>
      <c r="AF14" s="535"/>
      <c r="AG14" s="536"/>
      <c r="AH14" s="537"/>
      <c r="AI14" s="537"/>
    </row>
    <row r="15" spans="2:37" ht="18" customHeight="1">
      <c r="B15" s="537"/>
      <c r="C15" s="537"/>
      <c r="D15" s="537"/>
      <c r="E15" s="672"/>
      <c r="F15" s="672"/>
      <c r="G15" s="672"/>
      <c r="H15" s="672"/>
      <c r="I15" s="672"/>
      <c r="J15" s="672"/>
      <c r="K15" s="672"/>
      <c r="L15" s="672"/>
      <c r="M15" s="672"/>
      <c r="N15" s="672"/>
      <c r="O15" s="672"/>
      <c r="P15" s="672"/>
      <c r="Q15" s="672"/>
      <c r="R15" s="672"/>
      <c r="S15" s="672"/>
      <c r="T15" s="672"/>
      <c r="U15" s="672"/>
      <c r="V15" s="672"/>
      <c r="W15" s="672"/>
      <c r="X15" s="672"/>
      <c r="Y15" s="672"/>
      <c r="Z15" s="672"/>
      <c r="AA15" s="672"/>
      <c r="AB15" s="672"/>
      <c r="AC15" s="672"/>
      <c r="AD15" s="672"/>
      <c r="AE15" s="672"/>
      <c r="AF15" s="538"/>
      <c r="AG15" s="536"/>
      <c r="AH15" s="537"/>
      <c r="AI15" s="537"/>
    </row>
    <row r="16" spans="2:37" ht="18" customHeight="1">
      <c r="B16" s="537"/>
      <c r="C16" s="537"/>
      <c r="D16" s="537"/>
      <c r="E16" s="672"/>
      <c r="F16" s="672"/>
      <c r="G16" s="672"/>
      <c r="H16" s="672"/>
      <c r="I16" s="672"/>
      <c r="J16" s="672"/>
      <c r="K16" s="672"/>
      <c r="L16" s="672"/>
      <c r="M16" s="672"/>
      <c r="N16" s="672"/>
      <c r="O16" s="672"/>
      <c r="P16" s="672"/>
      <c r="Q16" s="672"/>
      <c r="R16" s="672"/>
      <c r="S16" s="672"/>
      <c r="T16" s="672"/>
      <c r="U16" s="672"/>
      <c r="V16" s="672"/>
      <c r="W16" s="672"/>
      <c r="X16" s="672"/>
      <c r="Y16" s="672"/>
      <c r="Z16" s="672"/>
      <c r="AA16" s="672"/>
      <c r="AB16" s="672"/>
      <c r="AC16" s="672"/>
      <c r="AD16" s="672"/>
      <c r="AE16" s="672"/>
      <c r="AF16" s="538"/>
      <c r="AG16" s="536"/>
      <c r="AH16" s="537"/>
      <c r="AI16" s="537"/>
    </row>
    <row r="17" spans="2:37" ht="18" customHeight="1">
      <c r="B17" s="537"/>
      <c r="C17" s="537"/>
      <c r="D17" s="537"/>
      <c r="E17" s="672"/>
      <c r="F17" s="672"/>
      <c r="G17" s="672"/>
      <c r="H17" s="672"/>
      <c r="I17" s="672"/>
      <c r="J17" s="672"/>
      <c r="K17" s="672"/>
      <c r="L17" s="672"/>
      <c r="M17" s="672"/>
      <c r="N17" s="672"/>
      <c r="O17" s="672"/>
      <c r="P17" s="672"/>
      <c r="Q17" s="672"/>
      <c r="R17" s="672"/>
      <c r="S17" s="672"/>
      <c r="T17" s="672"/>
      <c r="U17" s="672"/>
      <c r="V17" s="672"/>
      <c r="W17" s="672"/>
      <c r="X17" s="672"/>
      <c r="Y17" s="672"/>
      <c r="Z17" s="672"/>
      <c r="AA17" s="672"/>
      <c r="AB17" s="672"/>
      <c r="AC17" s="672"/>
      <c r="AD17" s="672"/>
      <c r="AE17" s="672"/>
      <c r="AF17" s="538"/>
      <c r="AG17" s="536"/>
      <c r="AH17" s="537"/>
      <c r="AI17" s="537"/>
    </row>
    <row r="18" spans="2:37" ht="18" customHeight="1">
      <c r="B18" s="537"/>
      <c r="C18" s="537"/>
      <c r="D18" s="537"/>
      <c r="E18" s="672"/>
      <c r="F18" s="672"/>
      <c r="G18" s="672"/>
      <c r="H18" s="672"/>
      <c r="I18" s="672"/>
      <c r="J18" s="672"/>
      <c r="K18" s="672"/>
      <c r="L18" s="672"/>
      <c r="M18" s="672"/>
      <c r="N18" s="672"/>
      <c r="O18" s="672"/>
      <c r="P18" s="672"/>
      <c r="Q18" s="672"/>
      <c r="R18" s="672"/>
      <c r="S18" s="672"/>
      <c r="T18" s="672"/>
      <c r="U18" s="672"/>
      <c r="V18" s="672"/>
      <c r="W18" s="672"/>
      <c r="X18" s="672"/>
      <c r="Y18" s="672"/>
      <c r="Z18" s="672"/>
      <c r="AA18" s="672"/>
      <c r="AB18" s="672"/>
      <c r="AC18" s="672"/>
      <c r="AD18" s="672"/>
      <c r="AE18" s="672"/>
      <c r="AF18" s="538"/>
      <c r="AG18" s="536"/>
      <c r="AH18" s="537"/>
      <c r="AI18" s="537"/>
    </row>
    <row r="19" spans="2:37" ht="18" customHeight="1">
      <c r="B19" s="537"/>
      <c r="C19" s="537"/>
      <c r="D19" s="537"/>
      <c r="E19" s="672"/>
      <c r="F19" s="672"/>
      <c r="G19" s="672"/>
      <c r="H19" s="672"/>
      <c r="I19" s="672"/>
      <c r="J19" s="672"/>
      <c r="K19" s="672"/>
      <c r="L19" s="672"/>
      <c r="M19" s="672"/>
      <c r="N19" s="672"/>
      <c r="O19" s="672"/>
      <c r="P19" s="672"/>
      <c r="Q19" s="672"/>
      <c r="R19" s="672"/>
      <c r="S19" s="672"/>
      <c r="T19" s="672"/>
      <c r="U19" s="672"/>
      <c r="V19" s="672"/>
      <c r="W19" s="672"/>
      <c r="X19" s="672"/>
      <c r="Y19" s="672"/>
      <c r="Z19" s="672"/>
      <c r="AA19" s="672"/>
      <c r="AB19" s="672"/>
      <c r="AC19" s="672"/>
      <c r="AD19" s="672"/>
      <c r="AE19" s="672"/>
      <c r="AF19" s="538"/>
      <c r="AG19" s="536"/>
      <c r="AH19" s="537"/>
      <c r="AI19" s="537"/>
    </row>
    <row r="20" spans="2:37" ht="18" customHeight="1">
      <c r="B20" s="537"/>
      <c r="C20" s="537"/>
      <c r="D20" s="537"/>
      <c r="E20" s="672"/>
      <c r="F20" s="672"/>
      <c r="G20" s="672"/>
      <c r="H20" s="672"/>
      <c r="I20" s="672"/>
      <c r="J20" s="672"/>
      <c r="K20" s="672"/>
      <c r="L20" s="672"/>
      <c r="M20" s="672"/>
      <c r="N20" s="672"/>
      <c r="O20" s="672"/>
      <c r="P20" s="672"/>
      <c r="Q20" s="672"/>
      <c r="R20" s="672"/>
      <c r="S20" s="672"/>
      <c r="T20" s="672"/>
      <c r="U20" s="672"/>
      <c r="V20" s="672"/>
      <c r="W20" s="672"/>
      <c r="X20" s="672"/>
      <c r="Y20" s="672"/>
      <c r="Z20" s="672"/>
      <c r="AA20" s="672"/>
      <c r="AB20" s="672"/>
      <c r="AC20" s="672"/>
      <c r="AD20" s="672"/>
      <c r="AE20" s="672"/>
      <c r="AF20" s="538"/>
      <c r="AG20" s="536"/>
      <c r="AH20" s="537"/>
      <c r="AI20" s="537"/>
    </row>
    <row r="21" spans="2:37" ht="18" customHeight="1">
      <c r="B21" s="537"/>
      <c r="C21" s="537"/>
      <c r="D21" s="537"/>
      <c r="E21" s="672"/>
      <c r="F21" s="672"/>
      <c r="G21" s="672"/>
      <c r="H21" s="672"/>
      <c r="I21" s="672"/>
      <c r="J21" s="672"/>
      <c r="K21" s="672"/>
      <c r="L21" s="672"/>
      <c r="M21" s="672"/>
      <c r="N21" s="672"/>
      <c r="O21" s="672"/>
      <c r="P21" s="672"/>
      <c r="Q21" s="672"/>
      <c r="R21" s="672"/>
      <c r="S21" s="672"/>
      <c r="T21" s="672"/>
      <c r="U21" s="672"/>
      <c r="V21" s="672"/>
      <c r="W21" s="672"/>
      <c r="X21" s="672"/>
      <c r="Y21" s="672"/>
      <c r="Z21" s="672"/>
      <c r="AA21" s="672"/>
      <c r="AB21" s="672"/>
      <c r="AC21" s="672"/>
      <c r="AD21" s="672"/>
      <c r="AE21" s="672"/>
      <c r="AF21" s="538"/>
      <c r="AG21" s="536"/>
      <c r="AH21" s="537"/>
      <c r="AI21" s="537"/>
    </row>
    <row r="22" spans="2:37" ht="18" customHeight="1">
      <c r="B22" s="537"/>
      <c r="C22" s="537"/>
      <c r="D22" s="537"/>
      <c r="E22" s="672"/>
      <c r="F22" s="672"/>
      <c r="G22" s="672"/>
      <c r="H22" s="672"/>
      <c r="I22" s="672"/>
      <c r="J22" s="672"/>
      <c r="K22" s="672"/>
      <c r="L22" s="672"/>
      <c r="M22" s="672"/>
      <c r="N22" s="672"/>
      <c r="O22" s="672"/>
      <c r="P22" s="672"/>
      <c r="Q22" s="672"/>
      <c r="R22" s="672"/>
      <c r="S22" s="672"/>
      <c r="T22" s="672"/>
      <c r="U22" s="672"/>
      <c r="V22" s="672"/>
      <c r="W22" s="672"/>
      <c r="X22" s="672"/>
      <c r="Y22" s="672"/>
      <c r="Z22" s="672"/>
      <c r="AA22" s="672"/>
      <c r="AB22" s="672"/>
      <c r="AC22" s="672"/>
      <c r="AD22" s="672"/>
      <c r="AE22" s="672"/>
      <c r="AF22" s="672"/>
      <c r="AG22" s="536"/>
      <c r="AH22" s="537"/>
      <c r="AI22" s="537"/>
    </row>
    <row r="23" spans="2:37" ht="18" customHeight="1">
      <c r="B23" s="537"/>
      <c r="C23" s="537"/>
      <c r="D23" s="537"/>
      <c r="E23" s="672"/>
      <c r="F23" s="672"/>
      <c r="G23" s="672"/>
      <c r="H23" s="672"/>
      <c r="I23" s="672"/>
      <c r="J23" s="672"/>
      <c r="K23" s="672"/>
      <c r="L23" s="672"/>
      <c r="M23" s="672"/>
      <c r="N23" s="672"/>
      <c r="O23" s="672"/>
      <c r="P23" s="672"/>
      <c r="Q23" s="672"/>
      <c r="R23" s="672"/>
      <c r="S23" s="672"/>
      <c r="T23" s="672"/>
      <c r="U23" s="672"/>
      <c r="V23" s="672"/>
      <c r="W23" s="672"/>
      <c r="X23" s="672"/>
      <c r="Y23" s="672"/>
      <c r="Z23" s="672"/>
      <c r="AA23" s="672"/>
      <c r="AB23" s="672"/>
      <c r="AC23" s="672"/>
      <c r="AD23" s="672"/>
      <c r="AE23" s="672"/>
      <c r="AF23" s="672"/>
      <c r="AG23" s="536"/>
      <c r="AH23" s="537"/>
      <c r="AI23" s="537"/>
    </row>
    <row r="24" spans="2:37" ht="18" customHeight="1" thickBot="1">
      <c r="B24" s="539"/>
      <c r="D24" s="539"/>
      <c r="E24" s="671"/>
      <c r="F24" s="671"/>
      <c r="G24" s="671"/>
      <c r="H24" s="671"/>
      <c r="I24" s="671"/>
      <c r="J24" s="671"/>
      <c r="K24" s="671"/>
      <c r="L24" s="671"/>
      <c r="M24" s="671"/>
      <c r="N24" s="671"/>
      <c r="O24" s="671"/>
      <c r="P24" s="671"/>
      <c r="Q24" s="671"/>
      <c r="R24" s="671"/>
      <c r="S24" s="671"/>
      <c r="T24" s="671"/>
      <c r="U24" s="671"/>
      <c r="V24" s="671"/>
      <c r="W24" s="671"/>
      <c r="X24" s="671"/>
      <c r="Y24" s="671"/>
      <c r="Z24" s="671"/>
      <c r="AA24" s="671"/>
      <c r="AB24" s="671"/>
      <c r="AC24" s="671"/>
      <c r="AD24" s="671"/>
      <c r="AE24" s="671"/>
      <c r="AF24" s="671"/>
      <c r="AG24" s="536"/>
      <c r="AH24" s="537"/>
      <c r="AI24" s="537"/>
    </row>
    <row r="25" spans="2:37" ht="18" customHeight="1" thickTop="1">
      <c r="B25" s="1735" t="s">
        <v>979</v>
      </c>
      <c r="C25" s="1736" t="s">
        <v>980</v>
      </c>
      <c r="D25" s="1736"/>
      <c r="E25" s="674"/>
      <c r="F25" s="674"/>
      <c r="G25" s="674"/>
      <c r="H25" s="674"/>
      <c r="I25" s="674"/>
      <c r="J25" s="674"/>
      <c r="K25" s="674"/>
      <c r="L25" s="674"/>
      <c r="M25" s="674"/>
      <c r="N25" s="674"/>
      <c r="O25" s="674"/>
      <c r="P25" s="674"/>
      <c r="Q25" s="674"/>
      <c r="R25" s="674"/>
      <c r="S25" s="674"/>
      <c r="T25" s="674"/>
      <c r="U25" s="674"/>
      <c r="V25" s="674"/>
      <c r="W25" s="674"/>
      <c r="X25" s="674"/>
      <c r="Y25" s="674"/>
      <c r="Z25" s="674"/>
      <c r="AA25" s="674"/>
      <c r="AB25" s="674"/>
      <c r="AC25" s="674"/>
      <c r="AD25" s="674"/>
      <c r="AE25" s="674"/>
      <c r="AF25" s="674"/>
      <c r="AI25" s="58"/>
    </row>
    <row r="26" spans="2:37" ht="30" customHeight="1">
      <c r="B26" s="1729"/>
      <c r="C26" s="1729" t="s">
        <v>981</v>
      </c>
      <c r="D26" s="1729"/>
      <c r="E26" s="540"/>
      <c r="F26" s="540"/>
      <c r="G26" s="540"/>
      <c r="H26" s="540"/>
      <c r="I26" s="540"/>
      <c r="J26" s="540"/>
      <c r="K26" s="540"/>
      <c r="L26" s="540"/>
      <c r="M26" s="540"/>
      <c r="N26" s="540"/>
      <c r="O26" s="540"/>
      <c r="P26" s="540"/>
      <c r="Q26" s="540"/>
      <c r="R26" s="540"/>
      <c r="S26" s="540"/>
      <c r="T26" s="540"/>
      <c r="U26" s="540"/>
      <c r="V26" s="540"/>
      <c r="W26" s="540"/>
      <c r="X26" s="540"/>
      <c r="Y26" s="540"/>
      <c r="Z26" s="540"/>
      <c r="AA26" s="540"/>
      <c r="AB26" s="540"/>
      <c r="AC26" s="540"/>
      <c r="AD26" s="540"/>
      <c r="AE26" s="540"/>
      <c r="AF26" s="540"/>
      <c r="AI26" s="430"/>
    </row>
    <row r="27" spans="2:37" ht="8.25" customHeight="1">
      <c r="B27" s="541"/>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42"/>
      <c r="AB27" s="542"/>
      <c r="AC27" s="542"/>
      <c r="AD27" s="542"/>
      <c r="AE27" s="542"/>
      <c r="AF27" s="542"/>
      <c r="AI27" s="430"/>
    </row>
    <row r="28" spans="2:37">
      <c r="B28" s="543" t="s">
        <v>982</v>
      </c>
      <c r="E28" s="544"/>
      <c r="AI28" s="545"/>
      <c r="AJ28" s="546"/>
      <c r="AK28" s="546"/>
    </row>
    <row r="29" spans="2:37" ht="6" customHeight="1">
      <c r="B29" s="543"/>
      <c r="AI29" s="430"/>
    </row>
    <row r="30" spans="2:37">
      <c r="B30" s="543" t="s">
        <v>983</v>
      </c>
      <c r="AI30" s="430"/>
    </row>
    <row r="31" spans="2:37">
      <c r="B31" s="543" t="s">
        <v>984</v>
      </c>
      <c r="AI31" s="430"/>
    </row>
    <row r="32" spans="2:37" ht="6.75" customHeight="1">
      <c r="B32" s="543"/>
      <c r="AI32" s="430"/>
    </row>
    <row r="33" spans="2:35">
      <c r="B33" s="543" t="s">
        <v>985</v>
      </c>
      <c r="AI33" s="430"/>
    </row>
    <row r="34" spans="2:35">
      <c r="B34" s="543" t="s">
        <v>984</v>
      </c>
      <c r="AI34" s="430"/>
    </row>
    <row r="35" spans="2:35" ht="6.75" customHeight="1">
      <c r="B35" s="543"/>
      <c r="AI35" s="430"/>
    </row>
    <row r="36" spans="2:35">
      <c r="B36" s="543" t="s">
        <v>986</v>
      </c>
      <c r="AI36" s="430"/>
    </row>
    <row r="37" spans="2:35">
      <c r="B37" s="543" t="s">
        <v>984</v>
      </c>
      <c r="AI37" s="430"/>
    </row>
    <row r="38" spans="2:35" ht="6" customHeight="1">
      <c r="B38" s="54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527"/>
      <c r="C39" s="57"/>
    </row>
    <row r="40" spans="2:35" ht="6.75" customHeight="1">
      <c r="B40" s="527"/>
    </row>
    <row r="41" spans="2:35">
      <c r="B41" s="1" t="s">
        <v>987</v>
      </c>
    </row>
    <row r="42" spans="2:35">
      <c r="B42" s="1" t="s">
        <v>988</v>
      </c>
    </row>
    <row r="43" spans="2:35">
      <c r="B43" s="1" t="s">
        <v>989</v>
      </c>
    </row>
    <row r="44" spans="2:35">
      <c r="B44" s="1" t="s">
        <v>990</v>
      </c>
    </row>
    <row r="45" spans="2:35">
      <c r="B45" s="1" t="s">
        <v>991</v>
      </c>
    </row>
    <row r="46" spans="2:35">
      <c r="B46" s="1" t="s">
        <v>1683</v>
      </c>
    </row>
    <row r="47" spans="2:35">
      <c r="B47" s="1" t="s">
        <v>992</v>
      </c>
    </row>
    <row r="48" spans="2:35">
      <c r="B48" s="1" t="s">
        <v>993</v>
      </c>
    </row>
    <row r="49" spans="2:2">
      <c r="B49" s="1" t="s">
        <v>994</v>
      </c>
    </row>
    <row r="50" spans="2:2">
      <c r="B50" s="1" t="s">
        <v>995</v>
      </c>
    </row>
    <row r="51" spans="2:2" ht="14.4">
      <c r="B51" s="548" t="s">
        <v>996</v>
      </c>
    </row>
    <row r="52" spans="2:2">
      <c r="B52" s="1" t="s">
        <v>997</v>
      </c>
    </row>
    <row r="53" spans="2:2">
      <c r="B53" s="1" t="s">
        <v>998</v>
      </c>
    </row>
    <row r="54" spans="2:2">
      <c r="B54" s="1" t="s">
        <v>999</v>
      </c>
    </row>
    <row r="55" spans="2:2">
      <c r="B55" s="1" t="s">
        <v>1000</v>
      </c>
    </row>
    <row r="56" spans="2:2">
      <c r="B56" s="1" t="s">
        <v>1684</v>
      </c>
    </row>
    <row r="57" spans="2:2">
      <c r="B57" s="1" t="s">
        <v>1001</v>
      </c>
    </row>
    <row r="58" spans="2:2">
      <c r="B58" s="1" t="s">
        <v>1002</v>
      </c>
    </row>
    <row r="59" spans="2:2">
      <c r="B59" s="1" t="s">
        <v>1003</v>
      </c>
    </row>
    <row r="60" spans="2:2">
      <c r="B60" s="1" t="s">
        <v>1004</v>
      </c>
    </row>
    <row r="61" spans="2:2">
      <c r="B61" s="1" t="s">
        <v>1005</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833"/>
    </row>
    <row r="83" spans="2:12">
      <c r="B83" s="1"/>
    </row>
    <row r="84" spans="2:12">
      <c r="B84" s="1"/>
    </row>
    <row r="85" spans="2:12">
      <c r="B85" s="1"/>
    </row>
    <row r="86" spans="2:12">
      <c r="B86" s="1"/>
    </row>
    <row r="87" spans="2:12">
      <c r="B87" s="1"/>
    </row>
    <row r="88" spans="2:12">
      <c r="B88" s="1"/>
    </row>
    <row r="89" spans="2:12">
      <c r="B89" s="1"/>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3"/>
  <printOptions horizontalCentered="1"/>
  <pageMargins left="0.23622047244094491" right="0.23622047244094491" top="0.74803149606299213" bottom="0.74803149606299213" header="0.31496062992125984" footer="0.31496062992125984"/>
  <pageSetup paperSize="9" scale="89" fitToHeight="0" orientation="landscape" cellComments="asDisplayed" r:id="rId1"/>
  <headerFooter alignWithMargins="0"/>
  <rowBreaks count="2" manualBreakCount="2">
    <brk id="39" max="34" man="1"/>
    <brk id="159" max="16383" man="1"/>
  </rowBreaks>
  <colBreaks count="1" manualBreakCount="1">
    <brk id="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D5E7-67C9-4E76-9395-3078944C4E37}">
  <sheetPr>
    <tabColor rgb="FFFFFF00"/>
  </sheetPr>
  <dimension ref="A1:X965"/>
  <sheetViews>
    <sheetView view="pageBreakPreview" zoomScale="70" zoomScaleNormal="100" zoomScaleSheetLayoutView="70" workbookViewId="0"/>
  </sheetViews>
  <sheetFormatPr defaultColWidth="9" defaultRowHeight="13.2"/>
  <cols>
    <col min="1" max="1" width="1.6640625" style="795" customWidth="1"/>
    <col min="2" max="2" width="9.6640625" style="795" customWidth="1"/>
    <col min="3" max="3" width="8.6640625" style="795" customWidth="1"/>
    <col min="4" max="4" width="5.6640625" style="795" customWidth="1"/>
    <col min="5" max="6" width="15.6640625" style="795" customWidth="1"/>
    <col min="7" max="7" width="5.6640625" style="795" customWidth="1"/>
    <col min="8" max="8" width="16.6640625" style="795" customWidth="1"/>
    <col min="9" max="9" width="5.6640625" style="795" customWidth="1"/>
    <col min="10" max="10" width="15.6640625" style="795" customWidth="1"/>
    <col min="11" max="11" width="5.6640625" style="795" customWidth="1"/>
    <col min="12" max="12" width="3.109375" style="795" customWidth="1"/>
    <col min="13" max="18" width="4.6640625" style="795" customWidth="1"/>
    <col min="19" max="19" width="1.6640625" style="795" customWidth="1"/>
    <col min="20" max="21" width="9" style="795"/>
    <col min="22" max="22" width="18.44140625" style="795" bestFit="1" customWidth="1"/>
    <col min="23" max="23" width="29.88671875" style="795" bestFit="1" customWidth="1"/>
    <col min="24" max="24" width="30.33203125" style="795" bestFit="1" customWidth="1"/>
    <col min="25" max="256" width="9" style="795"/>
    <col min="257" max="257" width="1.6640625" style="795" customWidth="1"/>
    <col min="258" max="258" width="9.6640625" style="795" customWidth="1"/>
    <col min="259" max="259" width="8.6640625" style="795" customWidth="1"/>
    <col min="260" max="260" width="5.6640625" style="795" customWidth="1"/>
    <col min="261" max="262" width="15.6640625" style="795" customWidth="1"/>
    <col min="263" max="263" width="5.6640625" style="795" customWidth="1"/>
    <col min="264" max="264" width="16.6640625" style="795" customWidth="1"/>
    <col min="265" max="265" width="5.6640625" style="795" customWidth="1"/>
    <col min="266" max="266" width="15.6640625" style="795" customWidth="1"/>
    <col min="267" max="267" width="5.6640625" style="795" customWidth="1"/>
    <col min="268" max="268" width="3.109375" style="795" customWidth="1"/>
    <col min="269" max="274" width="4.6640625" style="795" customWidth="1"/>
    <col min="275" max="275" width="1.6640625" style="795" customWidth="1"/>
    <col min="276" max="277" width="9" style="795"/>
    <col min="278" max="278" width="18.44140625" style="795" bestFit="1" customWidth="1"/>
    <col min="279" max="279" width="29.88671875" style="795" bestFit="1" customWidth="1"/>
    <col min="280" max="280" width="30.33203125" style="795" bestFit="1" customWidth="1"/>
    <col min="281" max="512" width="9" style="795"/>
    <col min="513" max="513" width="1.6640625" style="795" customWidth="1"/>
    <col min="514" max="514" width="9.6640625" style="795" customWidth="1"/>
    <col min="515" max="515" width="8.6640625" style="795" customWidth="1"/>
    <col min="516" max="516" width="5.6640625" style="795" customWidth="1"/>
    <col min="517" max="518" width="15.6640625" style="795" customWidth="1"/>
    <col min="519" max="519" width="5.6640625" style="795" customWidth="1"/>
    <col min="520" max="520" width="16.6640625" style="795" customWidth="1"/>
    <col min="521" max="521" width="5.6640625" style="795" customWidth="1"/>
    <col min="522" max="522" width="15.6640625" style="795" customWidth="1"/>
    <col min="523" max="523" width="5.6640625" style="795" customWidth="1"/>
    <col min="524" max="524" width="3.109375" style="795" customWidth="1"/>
    <col min="525" max="530" width="4.6640625" style="795" customWidth="1"/>
    <col min="531" max="531" width="1.6640625" style="795" customWidth="1"/>
    <col min="532" max="533" width="9" style="795"/>
    <col min="534" max="534" width="18.44140625" style="795" bestFit="1" customWidth="1"/>
    <col min="535" max="535" width="29.88671875" style="795" bestFit="1" customWidth="1"/>
    <col min="536" max="536" width="30.33203125" style="795" bestFit="1" customWidth="1"/>
    <col min="537" max="768" width="9" style="795"/>
    <col min="769" max="769" width="1.6640625" style="795" customWidth="1"/>
    <col min="770" max="770" width="9.6640625" style="795" customWidth="1"/>
    <col min="771" max="771" width="8.6640625" style="795" customWidth="1"/>
    <col min="772" max="772" width="5.6640625" style="795" customWidth="1"/>
    <col min="773" max="774" width="15.6640625" style="795" customWidth="1"/>
    <col min="775" max="775" width="5.6640625" style="795" customWidth="1"/>
    <col min="776" max="776" width="16.6640625" style="795" customWidth="1"/>
    <col min="777" max="777" width="5.6640625" style="795" customWidth="1"/>
    <col min="778" max="778" width="15.6640625" style="795" customWidth="1"/>
    <col min="779" max="779" width="5.6640625" style="795" customWidth="1"/>
    <col min="780" max="780" width="3.109375" style="795" customWidth="1"/>
    <col min="781" max="786" width="4.6640625" style="795" customWidth="1"/>
    <col min="787" max="787" width="1.6640625" style="795" customWidth="1"/>
    <col min="788" max="789" width="9" style="795"/>
    <col min="790" max="790" width="18.44140625" style="795" bestFit="1" customWidth="1"/>
    <col min="791" max="791" width="29.88671875" style="795" bestFit="1" customWidth="1"/>
    <col min="792" max="792" width="30.33203125" style="795" bestFit="1" customWidth="1"/>
    <col min="793" max="1024" width="9" style="795"/>
    <col min="1025" max="1025" width="1.6640625" style="795" customWidth="1"/>
    <col min="1026" max="1026" width="9.6640625" style="795" customWidth="1"/>
    <col min="1027" max="1027" width="8.6640625" style="795" customWidth="1"/>
    <col min="1028" max="1028" width="5.6640625" style="795" customWidth="1"/>
    <col min="1029" max="1030" width="15.6640625" style="795" customWidth="1"/>
    <col min="1031" max="1031" width="5.6640625" style="795" customWidth="1"/>
    <col min="1032" max="1032" width="16.6640625" style="795" customWidth="1"/>
    <col min="1033" max="1033" width="5.6640625" style="795" customWidth="1"/>
    <col min="1034" max="1034" width="15.6640625" style="795" customWidth="1"/>
    <col min="1035" max="1035" width="5.6640625" style="795" customWidth="1"/>
    <col min="1036" max="1036" width="3.109375" style="795" customWidth="1"/>
    <col min="1037" max="1042" width="4.6640625" style="795" customWidth="1"/>
    <col min="1043" max="1043" width="1.6640625" style="795" customWidth="1"/>
    <col min="1044" max="1045" width="9" style="795"/>
    <col min="1046" max="1046" width="18.44140625" style="795" bestFit="1" customWidth="1"/>
    <col min="1047" max="1047" width="29.88671875" style="795" bestFit="1" customWidth="1"/>
    <col min="1048" max="1048" width="30.33203125" style="795" bestFit="1" customWidth="1"/>
    <col min="1049" max="1280" width="9" style="795"/>
    <col min="1281" max="1281" width="1.6640625" style="795" customWidth="1"/>
    <col min="1282" max="1282" width="9.6640625" style="795" customWidth="1"/>
    <col min="1283" max="1283" width="8.6640625" style="795" customWidth="1"/>
    <col min="1284" max="1284" width="5.6640625" style="795" customWidth="1"/>
    <col min="1285" max="1286" width="15.6640625" style="795" customWidth="1"/>
    <col min="1287" max="1287" width="5.6640625" style="795" customWidth="1"/>
    <col min="1288" max="1288" width="16.6640625" style="795" customWidth="1"/>
    <col min="1289" max="1289" width="5.6640625" style="795" customWidth="1"/>
    <col min="1290" max="1290" width="15.6640625" style="795" customWidth="1"/>
    <col min="1291" max="1291" width="5.6640625" style="795" customWidth="1"/>
    <col min="1292" max="1292" width="3.109375" style="795" customWidth="1"/>
    <col min="1293" max="1298" width="4.6640625" style="795" customWidth="1"/>
    <col min="1299" max="1299" width="1.6640625" style="795" customWidth="1"/>
    <col min="1300" max="1301" width="9" style="795"/>
    <col min="1302" max="1302" width="18.44140625" style="795" bestFit="1" customWidth="1"/>
    <col min="1303" max="1303" width="29.88671875" style="795" bestFit="1" customWidth="1"/>
    <col min="1304" max="1304" width="30.33203125" style="795" bestFit="1" customWidth="1"/>
    <col min="1305" max="1536" width="9" style="795"/>
    <col min="1537" max="1537" width="1.6640625" style="795" customWidth="1"/>
    <col min="1538" max="1538" width="9.6640625" style="795" customWidth="1"/>
    <col min="1539" max="1539" width="8.6640625" style="795" customWidth="1"/>
    <col min="1540" max="1540" width="5.6640625" style="795" customWidth="1"/>
    <col min="1541" max="1542" width="15.6640625" style="795" customWidth="1"/>
    <col min="1543" max="1543" width="5.6640625" style="795" customWidth="1"/>
    <col min="1544" max="1544" width="16.6640625" style="795" customWidth="1"/>
    <col min="1545" max="1545" width="5.6640625" style="795" customWidth="1"/>
    <col min="1546" max="1546" width="15.6640625" style="795" customWidth="1"/>
    <col min="1547" max="1547" width="5.6640625" style="795" customWidth="1"/>
    <col min="1548" max="1548" width="3.109375" style="795" customWidth="1"/>
    <col min="1549" max="1554" width="4.6640625" style="795" customWidth="1"/>
    <col min="1555" max="1555" width="1.6640625" style="795" customWidth="1"/>
    <col min="1556" max="1557" width="9" style="795"/>
    <col min="1558" max="1558" width="18.44140625" style="795" bestFit="1" customWidth="1"/>
    <col min="1559" max="1559" width="29.88671875" style="795" bestFit="1" customWidth="1"/>
    <col min="1560" max="1560" width="30.33203125" style="795" bestFit="1" customWidth="1"/>
    <col min="1561" max="1792" width="9" style="795"/>
    <col min="1793" max="1793" width="1.6640625" style="795" customWidth="1"/>
    <col min="1794" max="1794" width="9.6640625" style="795" customWidth="1"/>
    <col min="1795" max="1795" width="8.6640625" style="795" customWidth="1"/>
    <col min="1796" max="1796" width="5.6640625" style="795" customWidth="1"/>
    <col min="1797" max="1798" width="15.6640625" style="795" customWidth="1"/>
    <col min="1799" max="1799" width="5.6640625" style="795" customWidth="1"/>
    <col min="1800" max="1800" width="16.6640625" style="795" customWidth="1"/>
    <col min="1801" max="1801" width="5.6640625" style="795" customWidth="1"/>
    <col min="1802" max="1802" width="15.6640625" style="795" customWidth="1"/>
    <col min="1803" max="1803" width="5.6640625" style="795" customWidth="1"/>
    <col min="1804" max="1804" width="3.109375" style="795" customWidth="1"/>
    <col min="1805" max="1810" width="4.6640625" style="795" customWidth="1"/>
    <col min="1811" max="1811" width="1.6640625" style="795" customWidth="1"/>
    <col min="1812" max="1813" width="9" style="795"/>
    <col min="1814" max="1814" width="18.44140625" style="795" bestFit="1" customWidth="1"/>
    <col min="1815" max="1815" width="29.88671875" style="795" bestFit="1" customWidth="1"/>
    <col min="1816" max="1816" width="30.33203125" style="795" bestFit="1" customWidth="1"/>
    <col min="1817" max="2048" width="9" style="795"/>
    <col min="2049" max="2049" width="1.6640625" style="795" customWidth="1"/>
    <col min="2050" max="2050" width="9.6640625" style="795" customWidth="1"/>
    <col min="2051" max="2051" width="8.6640625" style="795" customWidth="1"/>
    <col min="2052" max="2052" width="5.6640625" style="795" customWidth="1"/>
    <col min="2053" max="2054" width="15.6640625" style="795" customWidth="1"/>
    <col min="2055" max="2055" width="5.6640625" style="795" customWidth="1"/>
    <col min="2056" max="2056" width="16.6640625" style="795" customWidth="1"/>
    <col min="2057" max="2057" width="5.6640625" style="795" customWidth="1"/>
    <col min="2058" max="2058" width="15.6640625" style="795" customWidth="1"/>
    <col min="2059" max="2059" width="5.6640625" style="795" customWidth="1"/>
    <col min="2060" max="2060" width="3.109375" style="795" customWidth="1"/>
    <col min="2061" max="2066" width="4.6640625" style="795" customWidth="1"/>
    <col min="2067" max="2067" width="1.6640625" style="795" customWidth="1"/>
    <col min="2068" max="2069" width="9" style="795"/>
    <col min="2070" max="2070" width="18.44140625" style="795" bestFit="1" customWidth="1"/>
    <col min="2071" max="2071" width="29.88671875" style="795" bestFit="1" customWidth="1"/>
    <col min="2072" max="2072" width="30.33203125" style="795" bestFit="1" customWidth="1"/>
    <col min="2073" max="2304" width="9" style="795"/>
    <col min="2305" max="2305" width="1.6640625" style="795" customWidth="1"/>
    <col min="2306" max="2306" width="9.6640625" style="795" customWidth="1"/>
    <col min="2307" max="2307" width="8.6640625" style="795" customWidth="1"/>
    <col min="2308" max="2308" width="5.6640625" style="795" customWidth="1"/>
    <col min="2309" max="2310" width="15.6640625" style="795" customWidth="1"/>
    <col min="2311" max="2311" width="5.6640625" style="795" customWidth="1"/>
    <col min="2312" max="2312" width="16.6640625" style="795" customWidth="1"/>
    <col min="2313" max="2313" width="5.6640625" style="795" customWidth="1"/>
    <col min="2314" max="2314" width="15.6640625" style="795" customWidth="1"/>
    <col min="2315" max="2315" width="5.6640625" style="795" customWidth="1"/>
    <col min="2316" max="2316" width="3.109375" style="795" customWidth="1"/>
    <col min="2317" max="2322" width="4.6640625" style="795" customWidth="1"/>
    <col min="2323" max="2323" width="1.6640625" style="795" customWidth="1"/>
    <col min="2324" max="2325" width="9" style="795"/>
    <col min="2326" max="2326" width="18.44140625" style="795" bestFit="1" customWidth="1"/>
    <col min="2327" max="2327" width="29.88671875" style="795" bestFit="1" customWidth="1"/>
    <col min="2328" max="2328" width="30.33203125" style="795" bestFit="1" customWidth="1"/>
    <col min="2329" max="2560" width="9" style="795"/>
    <col min="2561" max="2561" width="1.6640625" style="795" customWidth="1"/>
    <col min="2562" max="2562" width="9.6640625" style="795" customWidth="1"/>
    <col min="2563" max="2563" width="8.6640625" style="795" customWidth="1"/>
    <col min="2564" max="2564" width="5.6640625" style="795" customWidth="1"/>
    <col min="2565" max="2566" width="15.6640625" style="795" customWidth="1"/>
    <col min="2567" max="2567" width="5.6640625" style="795" customWidth="1"/>
    <col min="2568" max="2568" width="16.6640625" style="795" customWidth="1"/>
    <col min="2569" max="2569" width="5.6640625" style="795" customWidth="1"/>
    <col min="2570" max="2570" width="15.6640625" style="795" customWidth="1"/>
    <col min="2571" max="2571" width="5.6640625" style="795" customWidth="1"/>
    <col min="2572" max="2572" width="3.109375" style="795" customWidth="1"/>
    <col min="2573" max="2578" width="4.6640625" style="795" customWidth="1"/>
    <col min="2579" max="2579" width="1.6640625" style="795" customWidth="1"/>
    <col min="2580" max="2581" width="9" style="795"/>
    <col min="2582" max="2582" width="18.44140625" style="795" bestFit="1" customWidth="1"/>
    <col min="2583" max="2583" width="29.88671875" style="795" bestFit="1" customWidth="1"/>
    <col min="2584" max="2584" width="30.33203125" style="795" bestFit="1" customWidth="1"/>
    <col min="2585" max="2816" width="9" style="795"/>
    <col min="2817" max="2817" width="1.6640625" style="795" customWidth="1"/>
    <col min="2818" max="2818" width="9.6640625" style="795" customWidth="1"/>
    <col min="2819" max="2819" width="8.6640625" style="795" customWidth="1"/>
    <col min="2820" max="2820" width="5.6640625" style="795" customWidth="1"/>
    <col min="2821" max="2822" width="15.6640625" style="795" customWidth="1"/>
    <col min="2823" max="2823" width="5.6640625" style="795" customWidth="1"/>
    <col min="2824" max="2824" width="16.6640625" style="795" customWidth="1"/>
    <col min="2825" max="2825" width="5.6640625" style="795" customWidth="1"/>
    <col min="2826" max="2826" width="15.6640625" style="795" customWidth="1"/>
    <col min="2827" max="2827" width="5.6640625" style="795" customWidth="1"/>
    <col min="2828" max="2828" width="3.109375" style="795" customWidth="1"/>
    <col min="2829" max="2834" width="4.6640625" style="795" customWidth="1"/>
    <col min="2835" max="2835" width="1.6640625" style="795" customWidth="1"/>
    <col min="2836" max="2837" width="9" style="795"/>
    <col min="2838" max="2838" width="18.44140625" style="795" bestFit="1" customWidth="1"/>
    <col min="2839" max="2839" width="29.88671875" style="795" bestFit="1" customWidth="1"/>
    <col min="2840" max="2840" width="30.33203125" style="795" bestFit="1" customWidth="1"/>
    <col min="2841" max="3072" width="9" style="795"/>
    <col min="3073" max="3073" width="1.6640625" style="795" customWidth="1"/>
    <col min="3074" max="3074" width="9.6640625" style="795" customWidth="1"/>
    <col min="3075" max="3075" width="8.6640625" style="795" customWidth="1"/>
    <col min="3076" max="3076" width="5.6640625" style="795" customWidth="1"/>
    <col min="3077" max="3078" width="15.6640625" style="795" customWidth="1"/>
    <col min="3079" max="3079" width="5.6640625" style="795" customWidth="1"/>
    <col min="3080" max="3080" width="16.6640625" style="795" customWidth="1"/>
    <col min="3081" max="3081" width="5.6640625" style="795" customWidth="1"/>
    <col min="3082" max="3082" width="15.6640625" style="795" customWidth="1"/>
    <col min="3083" max="3083" width="5.6640625" style="795" customWidth="1"/>
    <col min="3084" max="3084" width="3.109375" style="795" customWidth="1"/>
    <col min="3085" max="3090" width="4.6640625" style="795" customWidth="1"/>
    <col min="3091" max="3091" width="1.6640625" style="795" customWidth="1"/>
    <col min="3092" max="3093" width="9" style="795"/>
    <col min="3094" max="3094" width="18.44140625" style="795" bestFit="1" customWidth="1"/>
    <col min="3095" max="3095" width="29.88671875" style="795" bestFit="1" customWidth="1"/>
    <col min="3096" max="3096" width="30.33203125" style="795" bestFit="1" customWidth="1"/>
    <col min="3097" max="3328" width="9" style="795"/>
    <col min="3329" max="3329" width="1.6640625" style="795" customWidth="1"/>
    <col min="3330" max="3330" width="9.6640625" style="795" customWidth="1"/>
    <col min="3331" max="3331" width="8.6640625" style="795" customWidth="1"/>
    <col min="3332" max="3332" width="5.6640625" style="795" customWidth="1"/>
    <col min="3333" max="3334" width="15.6640625" style="795" customWidth="1"/>
    <col min="3335" max="3335" width="5.6640625" style="795" customWidth="1"/>
    <col min="3336" max="3336" width="16.6640625" style="795" customWidth="1"/>
    <col min="3337" max="3337" width="5.6640625" style="795" customWidth="1"/>
    <col min="3338" max="3338" width="15.6640625" style="795" customWidth="1"/>
    <col min="3339" max="3339" width="5.6640625" style="795" customWidth="1"/>
    <col min="3340" max="3340" width="3.109375" style="795" customWidth="1"/>
    <col min="3341" max="3346" width="4.6640625" style="795" customWidth="1"/>
    <col min="3347" max="3347" width="1.6640625" style="795" customWidth="1"/>
    <col min="3348" max="3349" width="9" style="795"/>
    <col min="3350" max="3350" width="18.44140625" style="795" bestFit="1" customWidth="1"/>
    <col min="3351" max="3351" width="29.88671875" style="795" bestFit="1" customWidth="1"/>
    <col min="3352" max="3352" width="30.33203125" style="795" bestFit="1" customWidth="1"/>
    <col min="3353" max="3584" width="9" style="795"/>
    <col min="3585" max="3585" width="1.6640625" style="795" customWidth="1"/>
    <col min="3586" max="3586" width="9.6640625" style="795" customWidth="1"/>
    <col min="3587" max="3587" width="8.6640625" style="795" customWidth="1"/>
    <col min="3588" max="3588" width="5.6640625" style="795" customWidth="1"/>
    <col min="3589" max="3590" width="15.6640625" style="795" customWidth="1"/>
    <col min="3591" max="3591" width="5.6640625" style="795" customWidth="1"/>
    <col min="3592" max="3592" width="16.6640625" style="795" customWidth="1"/>
    <col min="3593" max="3593" width="5.6640625" style="795" customWidth="1"/>
    <col min="3594" max="3594" width="15.6640625" style="795" customWidth="1"/>
    <col min="3595" max="3595" width="5.6640625" style="795" customWidth="1"/>
    <col min="3596" max="3596" width="3.109375" style="795" customWidth="1"/>
    <col min="3597" max="3602" width="4.6640625" style="795" customWidth="1"/>
    <col min="3603" max="3603" width="1.6640625" style="795" customWidth="1"/>
    <col min="3604" max="3605" width="9" style="795"/>
    <col min="3606" max="3606" width="18.44140625" style="795" bestFit="1" customWidth="1"/>
    <col min="3607" max="3607" width="29.88671875" style="795" bestFit="1" customWidth="1"/>
    <col min="3608" max="3608" width="30.33203125" style="795" bestFit="1" customWidth="1"/>
    <col min="3609" max="3840" width="9" style="795"/>
    <col min="3841" max="3841" width="1.6640625" style="795" customWidth="1"/>
    <col min="3842" max="3842" width="9.6640625" style="795" customWidth="1"/>
    <col min="3843" max="3843" width="8.6640625" style="795" customWidth="1"/>
    <col min="3844" max="3844" width="5.6640625" style="795" customWidth="1"/>
    <col min="3845" max="3846" width="15.6640625" style="795" customWidth="1"/>
    <col min="3847" max="3847" width="5.6640625" style="795" customWidth="1"/>
    <col min="3848" max="3848" width="16.6640625" style="795" customWidth="1"/>
    <col min="3849" max="3849" width="5.6640625" style="795" customWidth="1"/>
    <col min="3850" max="3850" width="15.6640625" style="795" customWidth="1"/>
    <col min="3851" max="3851" width="5.6640625" style="795" customWidth="1"/>
    <col min="3852" max="3852" width="3.109375" style="795" customWidth="1"/>
    <col min="3853" max="3858" width="4.6640625" style="795" customWidth="1"/>
    <col min="3859" max="3859" width="1.6640625" style="795" customWidth="1"/>
    <col min="3860" max="3861" width="9" style="795"/>
    <col min="3862" max="3862" width="18.44140625" style="795" bestFit="1" customWidth="1"/>
    <col min="3863" max="3863" width="29.88671875" style="795" bestFit="1" customWidth="1"/>
    <col min="3864" max="3864" width="30.33203125" style="795" bestFit="1" customWidth="1"/>
    <col min="3865" max="4096" width="9" style="795"/>
    <col min="4097" max="4097" width="1.6640625" style="795" customWidth="1"/>
    <col min="4098" max="4098" width="9.6640625" style="795" customWidth="1"/>
    <col min="4099" max="4099" width="8.6640625" style="795" customWidth="1"/>
    <col min="4100" max="4100" width="5.6640625" style="795" customWidth="1"/>
    <col min="4101" max="4102" width="15.6640625" style="795" customWidth="1"/>
    <col min="4103" max="4103" width="5.6640625" style="795" customWidth="1"/>
    <col min="4104" max="4104" width="16.6640625" style="795" customWidth="1"/>
    <col min="4105" max="4105" width="5.6640625" style="795" customWidth="1"/>
    <col min="4106" max="4106" width="15.6640625" style="795" customWidth="1"/>
    <col min="4107" max="4107" width="5.6640625" style="795" customWidth="1"/>
    <col min="4108" max="4108" width="3.109375" style="795" customWidth="1"/>
    <col min="4109" max="4114" width="4.6640625" style="795" customWidth="1"/>
    <col min="4115" max="4115" width="1.6640625" style="795" customWidth="1"/>
    <col min="4116" max="4117" width="9" style="795"/>
    <col min="4118" max="4118" width="18.44140625" style="795" bestFit="1" customWidth="1"/>
    <col min="4119" max="4119" width="29.88671875" style="795" bestFit="1" customWidth="1"/>
    <col min="4120" max="4120" width="30.33203125" style="795" bestFit="1" customWidth="1"/>
    <col min="4121" max="4352" width="9" style="795"/>
    <col min="4353" max="4353" width="1.6640625" style="795" customWidth="1"/>
    <col min="4354" max="4354" width="9.6640625" style="795" customWidth="1"/>
    <col min="4355" max="4355" width="8.6640625" style="795" customWidth="1"/>
    <col min="4356" max="4356" width="5.6640625" style="795" customWidth="1"/>
    <col min="4357" max="4358" width="15.6640625" style="795" customWidth="1"/>
    <col min="4359" max="4359" width="5.6640625" style="795" customWidth="1"/>
    <col min="4360" max="4360" width="16.6640625" style="795" customWidth="1"/>
    <col min="4361" max="4361" width="5.6640625" style="795" customWidth="1"/>
    <col min="4362" max="4362" width="15.6640625" style="795" customWidth="1"/>
    <col min="4363" max="4363" width="5.6640625" style="795" customWidth="1"/>
    <col min="4364" max="4364" width="3.109375" style="795" customWidth="1"/>
    <col min="4365" max="4370" width="4.6640625" style="795" customWidth="1"/>
    <col min="4371" max="4371" width="1.6640625" style="795" customWidth="1"/>
    <col min="4372" max="4373" width="9" style="795"/>
    <col min="4374" max="4374" width="18.44140625" style="795" bestFit="1" customWidth="1"/>
    <col min="4375" max="4375" width="29.88671875" style="795" bestFit="1" customWidth="1"/>
    <col min="4376" max="4376" width="30.33203125" style="795" bestFit="1" customWidth="1"/>
    <col min="4377" max="4608" width="9" style="795"/>
    <col min="4609" max="4609" width="1.6640625" style="795" customWidth="1"/>
    <col min="4610" max="4610" width="9.6640625" style="795" customWidth="1"/>
    <col min="4611" max="4611" width="8.6640625" style="795" customWidth="1"/>
    <col min="4612" max="4612" width="5.6640625" style="795" customWidth="1"/>
    <col min="4613" max="4614" width="15.6640625" style="795" customWidth="1"/>
    <col min="4615" max="4615" width="5.6640625" style="795" customWidth="1"/>
    <col min="4616" max="4616" width="16.6640625" style="795" customWidth="1"/>
    <col min="4617" max="4617" width="5.6640625" style="795" customWidth="1"/>
    <col min="4618" max="4618" width="15.6640625" style="795" customWidth="1"/>
    <col min="4619" max="4619" width="5.6640625" style="795" customWidth="1"/>
    <col min="4620" max="4620" width="3.109375" style="795" customWidth="1"/>
    <col min="4621" max="4626" width="4.6640625" style="795" customWidth="1"/>
    <col min="4627" max="4627" width="1.6640625" style="795" customWidth="1"/>
    <col min="4628" max="4629" width="9" style="795"/>
    <col min="4630" max="4630" width="18.44140625" style="795" bestFit="1" customWidth="1"/>
    <col min="4631" max="4631" width="29.88671875" style="795" bestFit="1" customWidth="1"/>
    <col min="4632" max="4632" width="30.33203125" style="795" bestFit="1" customWidth="1"/>
    <col min="4633" max="4864" width="9" style="795"/>
    <col min="4865" max="4865" width="1.6640625" style="795" customWidth="1"/>
    <col min="4866" max="4866" width="9.6640625" style="795" customWidth="1"/>
    <col min="4867" max="4867" width="8.6640625" style="795" customWidth="1"/>
    <col min="4868" max="4868" width="5.6640625" style="795" customWidth="1"/>
    <col min="4869" max="4870" width="15.6640625" style="795" customWidth="1"/>
    <col min="4871" max="4871" width="5.6640625" style="795" customWidth="1"/>
    <col min="4872" max="4872" width="16.6640625" style="795" customWidth="1"/>
    <col min="4873" max="4873" width="5.6640625" style="795" customWidth="1"/>
    <col min="4874" max="4874" width="15.6640625" style="795" customWidth="1"/>
    <col min="4875" max="4875" width="5.6640625" style="795" customWidth="1"/>
    <col min="4876" max="4876" width="3.109375" style="795" customWidth="1"/>
    <col min="4877" max="4882" width="4.6640625" style="795" customWidth="1"/>
    <col min="4883" max="4883" width="1.6640625" style="795" customWidth="1"/>
    <col min="4884" max="4885" width="9" style="795"/>
    <col min="4886" max="4886" width="18.44140625" style="795" bestFit="1" customWidth="1"/>
    <col min="4887" max="4887" width="29.88671875" style="795" bestFit="1" customWidth="1"/>
    <col min="4888" max="4888" width="30.33203125" style="795" bestFit="1" customWidth="1"/>
    <col min="4889" max="5120" width="9" style="795"/>
    <col min="5121" max="5121" width="1.6640625" style="795" customWidth="1"/>
    <col min="5122" max="5122" width="9.6640625" style="795" customWidth="1"/>
    <col min="5123" max="5123" width="8.6640625" style="795" customWidth="1"/>
    <col min="5124" max="5124" width="5.6640625" style="795" customWidth="1"/>
    <col min="5125" max="5126" width="15.6640625" style="795" customWidth="1"/>
    <col min="5127" max="5127" width="5.6640625" style="795" customWidth="1"/>
    <col min="5128" max="5128" width="16.6640625" style="795" customWidth="1"/>
    <col min="5129" max="5129" width="5.6640625" style="795" customWidth="1"/>
    <col min="5130" max="5130" width="15.6640625" style="795" customWidth="1"/>
    <col min="5131" max="5131" width="5.6640625" style="795" customWidth="1"/>
    <col min="5132" max="5132" width="3.109375" style="795" customWidth="1"/>
    <col min="5133" max="5138" width="4.6640625" style="795" customWidth="1"/>
    <col min="5139" max="5139" width="1.6640625" style="795" customWidth="1"/>
    <col min="5140" max="5141" width="9" style="795"/>
    <col min="5142" max="5142" width="18.44140625" style="795" bestFit="1" customWidth="1"/>
    <col min="5143" max="5143" width="29.88671875" style="795" bestFit="1" customWidth="1"/>
    <col min="5144" max="5144" width="30.33203125" style="795" bestFit="1" customWidth="1"/>
    <col min="5145" max="5376" width="9" style="795"/>
    <col min="5377" max="5377" width="1.6640625" style="795" customWidth="1"/>
    <col min="5378" max="5378" width="9.6640625" style="795" customWidth="1"/>
    <col min="5379" max="5379" width="8.6640625" style="795" customWidth="1"/>
    <col min="5380" max="5380" width="5.6640625" style="795" customWidth="1"/>
    <col min="5381" max="5382" width="15.6640625" style="795" customWidth="1"/>
    <col min="5383" max="5383" width="5.6640625" style="795" customWidth="1"/>
    <col min="5384" max="5384" width="16.6640625" style="795" customWidth="1"/>
    <col min="5385" max="5385" width="5.6640625" style="795" customWidth="1"/>
    <col min="5386" max="5386" width="15.6640625" style="795" customWidth="1"/>
    <col min="5387" max="5387" width="5.6640625" style="795" customWidth="1"/>
    <col min="5388" max="5388" width="3.109375" style="795" customWidth="1"/>
    <col min="5389" max="5394" width="4.6640625" style="795" customWidth="1"/>
    <col min="5395" max="5395" width="1.6640625" style="795" customWidth="1"/>
    <col min="5396" max="5397" width="9" style="795"/>
    <col min="5398" max="5398" width="18.44140625" style="795" bestFit="1" customWidth="1"/>
    <col min="5399" max="5399" width="29.88671875" style="795" bestFit="1" customWidth="1"/>
    <col min="5400" max="5400" width="30.33203125" style="795" bestFit="1" customWidth="1"/>
    <col min="5401" max="5632" width="9" style="795"/>
    <col min="5633" max="5633" width="1.6640625" style="795" customWidth="1"/>
    <col min="5634" max="5634" width="9.6640625" style="795" customWidth="1"/>
    <col min="5635" max="5635" width="8.6640625" style="795" customWidth="1"/>
    <col min="5636" max="5636" width="5.6640625" style="795" customWidth="1"/>
    <col min="5637" max="5638" width="15.6640625" style="795" customWidth="1"/>
    <col min="5639" max="5639" width="5.6640625" style="795" customWidth="1"/>
    <col min="5640" max="5640" width="16.6640625" style="795" customWidth="1"/>
    <col min="5641" max="5641" width="5.6640625" style="795" customWidth="1"/>
    <col min="5642" max="5642" width="15.6640625" style="795" customWidth="1"/>
    <col min="5643" max="5643" width="5.6640625" style="795" customWidth="1"/>
    <col min="5644" max="5644" width="3.109375" style="795" customWidth="1"/>
    <col min="5645" max="5650" width="4.6640625" style="795" customWidth="1"/>
    <col min="5651" max="5651" width="1.6640625" style="795" customWidth="1"/>
    <col min="5652" max="5653" width="9" style="795"/>
    <col min="5654" max="5654" width="18.44140625" style="795" bestFit="1" customWidth="1"/>
    <col min="5655" max="5655" width="29.88671875" style="795" bestFit="1" customWidth="1"/>
    <col min="5656" max="5656" width="30.33203125" style="795" bestFit="1" customWidth="1"/>
    <col min="5657" max="5888" width="9" style="795"/>
    <col min="5889" max="5889" width="1.6640625" style="795" customWidth="1"/>
    <col min="5890" max="5890" width="9.6640625" style="795" customWidth="1"/>
    <col min="5891" max="5891" width="8.6640625" style="795" customWidth="1"/>
    <col min="5892" max="5892" width="5.6640625" style="795" customWidth="1"/>
    <col min="5893" max="5894" width="15.6640625" style="795" customWidth="1"/>
    <col min="5895" max="5895" width="5.6640625" style="795" customWidth="1"/>
    <col min="5896" max="5896" width="16.6640625" style="795" customWidth="1"/>
    <col min="5897" max="5897" width="5.6640625" style="795" customWidth="1"/>
    <col min="5898" max="5898" width="15.6640625" style="795" customWidth="1"/>
    <col min="5899" max="5899" width="5.6640625" style="795" customWidth="1"/>
    <col min="5900" max="5900" width="3.109375" style="795" customWidth="1"/>
    <col min="5901" max="5906" width="4.6640625" style="795" customWidth="1"/>
    <col min="5907" max="5907" width="1.6640625" style="795" customWidth="1"/>
    <col min="5908" max="5909" width="9" style="795"/>
    <col min="5910" max="5910" width="18.44140625" style="795" bestFit="1" customWidth="1"/>
    <col min="5911" max="5911" width="29.88671875" style="795" bestFit="1" customWidth="1"/>
    <col min="5912" max="5912" width="30.33203125" style="795" bestFit="1" customWidth="1"/>
    <col min="5913" max="6144" width="9" style="795"/>
    <col min="6145" max="6145" width="1.6640625" style="795" customWidth="1"/>
    <col min="6146" max="6146" width="9.6640625" style="795" customWidth="1"/>
    <col min="6147" max="6147" width="8.6640625" style="795" customWidth="1"/>
    <col min="6148" max="6148" width="5.6640625" style="795" customWidth="1"/>
    <col min="6149" max="6150" width="15.6640625" style="795" customWidth="1"/>
    <col min="6151" max="6151" width="5.6640625" style="795" customWidth="1"/>
    <col min="6152" max="6152" width="16.6640625" style="795" customWidth="1"/>
    <col min="6153" max="6153" width="5.6640625" style="795" customWidth="1"/>
    <col min="6154" max="6154" width="15.6640625" style="795" customWidth="1"/>
    <col min="6155" max="6155" width="5.6640625" style="795" customWidth="1"/>
    <col min="6156" max="6156" width="3.109375" style="795" customWidth="1"/>
    <col min="6157" max="6162" width="4.6640625" style="795" customWidth="1"/>
    <col min="6163" max="6163" width="1.6640625" style="795" customWidth="1"/>
    <col min="6164" max="6165" width="9" style="795"/>
    <col min="6166" max="6166" width="18.44140625" style="795" bestFit="1" customWidth="1"/>
    <col min="6167" max="6167" width="29.88671875" style="795" bestFit="1" customWidth="1"/>
    <col min="6168" max="6168" width="30.33203125" style="795" bestFit="1" customWidth="1"/>
    <col min="6169" max="6400" width="9" style="795"/>
    <col min="6401" max="6401" width="1.6640625" style="795" customWidth="1"/>
    <col min="6402" max="6402" width="9.6640625" style="795" customWidth="1"/>
    <col min="6403" max="6403" width="8.6640625" style="795" customWidth="1"/>
    <col min="6404" max="6404" width="5.6640625" style="795" customWidth="1"/>
    <col min="6405" max="6406" width="15.6640625" style="795" customWidth="1"/>
    <col min="6407" max="6407" width="5.6640625" style="795" customWidth="1"/>
    <col min="6408" max="6408" width="16.6640625" style="795" customWidth="1"/>
    <col min="6409" max="6409" width="5.6640625" style="795" customWidth="1"/>
    <col min="6410" max="6410" width="15.6640625" style="795" customWidth="1"/>
    <col min="6411" max="6411" width="5.6640625" style="795" customWidth="1"/>
    <col min="6412" max="6412" width="3.109375" style="795" customWidth="1"/>
    <col min="6413" max="6418" width="4.6640625" style="795" customWidth="1"/>
    <col min="6419" max="6419" width="1.6640625" style="795" customWidth="1"/>
    <col min="6420" max="6421" width="9" style="795"/>
    <col min="6422" max="6422" width="18.44140625" style="795" bestFit="1" customWidth="1"/>
    <col min="6423" max="6423" width="29.88671875" style="795" bestFit="1" customWidth="1"/>
    <col min="6424" max="6424" width="30.33203125" style="795" bestFit="1" customWidth="1"/>
    <col min="6425" max="6656" width="9" style="795"/>
    <col min="6657" max="6657" width="1.6640625" style="795" customWidth="1"/>
    <col min="6658" max="6658" width="9.6640625" style="795" customWidth="1"/>
    <col min="6659" max="6659" width="8.6640625" style="795" customWidth="1"/>
    <col min="6660" max="6660" width="5.6640625" style="795" customWidth="1"/>
    <col min="6661" max="6662" width="15.6640625" style="795" customWidth="1"/>
    <col min="6663" max="6663" width="5.6640625" style="795" customWidth="1"/>
    <col min="6664" max="6664" width="16.6640625" style="795" customWidth="1"/>
    <col min="6665" max="6665" width="5.6640625" style="795" customWidth="1"/>
    <col min="6666" max="6666" width="15.6640625" style="795" customWidth="1"/>
    <col min="6667" max="6667" width="5.6640625" style="795" customWidth="1"/>
    <col min="6668" max="6668" width="3.109375" style="795" customWidth="1"/>
    <col min="6669" max="6674" width="4.6640625" style="795" customWidth="1"/>
    <col min="6675" max="6675" width="1.6640625" style="795" customWidth="1"/>
    <col min="6676" max="6677" width="9" style="795"/>
    <col min="6678" max="6678" width="18.44140625" style="795" bestFit="1" customWidth="1"/>
    <col min="6679" max="6679" width="29.88671875" style="795" bestFit="1" customWidth="1"/>
    <col min="6680" max="6680" width="30.33203125" style="795" bestFit="1" customWidth="1"/>
    <col min="6681" max="6912" width="9" style="795"/>
    <col min="6913" max="6913" width="1.6640625" style="795" customWidth="1"/>
    <col min="6914" max="6914" width="9.6640625" style="795" customWidth="1"/>
    <col min="6915" max="6915" width="8.6640625" style="795" customWidth="1"/>
    <col min="6916" max="6916" width="5.6640625" style="795" customWidth="1"/>
    <col min="6917" max="6918" width="15.6640625" style="795" customWidth="1"/>
    <col min="6919" max="6919" width="5.6640625" style="795" customWidth="1"/>
    <col min="6920" max="6920" width="16.6640625" style="795" customWidth="1"/>
    <col min="6921" max="6921" width="5.6640625" style="795" customWidth="1"/>
    <col min="6922" max="6922" width="15.6640625" style="795" customWidth="1"/>
    <col min="6923" max="6923" width="5.6640625" style="795" customWidth="1"/>
    <col min="6924" max="6924" width="3.109375" style="795" customWidth="1"/>
    <col min="6925" max="6930" width="4.6640625" style="795" customWidth="1"/>
    <col min="6931" max="6931" width="1.6640625" style="795" customWidth="1"/>
    <col min="6932" max="6933" width="9" style="795"/>
    <col min="6934" max="6934" width="18.44140625" style="795" bestFit="1" customWidth="1"/>
    <col min="6935" max="6935" width="29.88671875" style="795" bestFit="1" customWidth="1"/>
    <col min="6936" max="6936" width="30.33203125" style="795" bestFit="1" customWidth="1"/>
    <col min="6937" max="7168" width="9" style="795"/>
    <col min="7169" max="7169" width="1.6640625" style="795" customWidth="1"/>
    <col min="7170" max="7170" width="9.6640625" style="795" customWidth="1"/>
    <col min="7171" max="7171" width="8.6640625" style="795" customWidth="1"/>
    <col min="7172" max="7172" width="5.6640625" style="795" customWidth="1"/>
    <col min="7173" max="7174" width="15.6640625" style="795" customWidth="1"/>
    <col min="7175" max="7175" width="5.6640625" style="795" customWidth="1"/>
    <col min="7176" max="7176" width="16.6640625" style="795" customWidth="1"/>
    <col min="7177" max="7177" width="5.6640625" style="795" customWidth="1"/>
    <col min="7178" max="7178" width="15.6640625" style="795" customWidth="1"/>
    <col min="7179" max="7179" width="5.6640625" style="795" customWidth="1"/>
    <col min="7180" max="7180" width="3.109375" style="795" customWidth="1"/>
    <col min="7181" max="7186" width="4.6640625" style="795" customWidth="1"/>
    <col min="7187" max="7187" width="1.6640625" style="795" customWidth="1"/>
    <col min="7188" max="7189" width="9" style="795"/>
    <col min="7190" max="7190" width="18.44140625" style="795" bestFit="1" customWidth="1"/>
    <col min="7191" max="7191" width="29.88671875" style="795" bestFit="1" customWidth="1"/>
    <col min="7192" max="7192" width="30.33203125" style="795" bestFit="1" customWidth="1"/>
    <col min="7193" max="7424" width="9" style="795"/>
    <col min="7425" max="7425" width="1.6640625" style="795" customWidth="1"/>
    <col min="7426" max="7426" width="9.6640625" style="795" customWidth="1"/>
    <col min="7427" max="7427" width="8.6640625" style="795" customWidth="1"/>
    <col min="7428" max="7428" width="5.6640625" style="795" customWidth="1"/>
    <col min="7429" max="7430" width="15.6640625" style="795" customWidth="1"/>
    <col min="7431" max="7431" width="5.6640625" style="795" customWidth="1"/>
    <col min="7432" max="7432" width="16.6640625" style="795" customWidth="1"/>
    <col min="7433" max="7433" width="5.6640625" style="795" customWidth="1"/>
    <col min="7434" max="7434" width="15.6640625" style="795" customWidth="1"/>
    <col min="7435" max="7435" width="5.6640625" style="795" customWidth="1"/>
    <col min="7436" max="7436" width="3.109375" style="795" customWidth="1"/>
    <col min="7437" max="7442" width="4.6640625" style="795" customWidth="1"/>
    <col min="7443" max="7443" width="1.6640625" style="795" customWidth="1"/>
    <col min="7444" max="7445" width="9" style="795"/>
    <col min="7446" max="7446" width="18.44140625" style="795" bestFit="1" customWidth="1"/>
    <col min="7447" max="7447" width="29.88671875" style="795" bestFit="1" customWidth="1"/>
    <col min="7448" max="7448" width="30.33203125" style="795" bestFit="1" customWidth="1"/>
    <col min="7449" max="7680" width="9" style="795"/>
    <col min="7681" max="7681" width="1.6640625" style="795" customWidth="1"/>
    <col min="7682" max="7682" width="9.6640625" style="795" customWidth="1"/>
    <col min="7683" max="7683" width="8.6640625" style="795" customWidth="1"/>
    <col min="7684" max="7684" width="5.6640625" style="795" customWidth="1"/>
    <col min="7685" max="7686" width="15.6640625" style="795" customWidth="1"/>
    <col min="7687" max="7687" width="5.6640625" style="795" customWidth="1"/>
    <col min="7688" max="7688" width="16.6640625" style="795" customWidth="1"/>
    <col min="7689" max="7689" width="5.6640625" style="795" customWidth="1"/>
    <col min="7690" max="7690" width="15.6640625" style="795" customWidth="1"/>
    <col min="7691" max="7691" width="5.6640625" style="795" customWidth="1"/>
    <col min="7692" max="7692" width="3.109375" style="795" customWidth="1"/>
    <col min="7693" max="7698" width="4.6640625" style="795" customWidth="1"/>
    <col min="7699" max="7699" width="1.6640625" style="795" customWidth="1"/>
    <col min="7700" max="7701" width="9" style="795"/>
    <col min="7702" max="7702" width="18.44140625" style="795" bestFit="1" customWidth="1"/>
    <col min="7703" max="7703" width="29.88671875" style="795" bestFit="1" customWidth="1"/>
    <col min="7704" max="7704" width="30.33203125" style="795" bestFit="1" customWidth="1"/>
    <col min="7705" max="7936" width="9" style="795"/>
    <col min="7937" max="7937" width="1.6640625" style="795" customWidth="1"/>
    <col min="7938" max="7938" width="9.6640625" style="795" customWidth="1"/>
    <col min="7939" max="7939" width="8.6640625" style="795" customWidth="1"/>
    <col min="7940" max="7940" width="5.6640625" style="795" customWidth="1"/>
    <col min="7941" max="7942" width="15.6640625" style="795" customWidth="1"/>
    <col min="7943" max="7943" width="5.6640625" style="795" customWidth="1"/>
    <col min="7944" max="7944" width="16.6640625" style="795" customWidth="1"/>
    <col min="7945" max="7945" width="5.6640625" style="795" customWidth="1"/>
    <col min="7946" max="7946" width="15.6640625" style="795" customWidth="1"/>
    <col min="7947" max="7947" width="5.6640625" style="795" customWidth="1"/>
    <col min="7948" max="7948" width="3.109375" style="795" customWidth="1"/>
    <col min="7949" max="7954" width="4.6640625" style="795" customWidth="1"/>
    <col min="7955" max="7955" width="1.6640625" style="795" customWidth="1"/>
    <col min="7956" max="7957" width="9" style="795"/>
    <col min="7958" max="7958" width="18.44140625" style="795" bestFit="1" customWidth="1"/>
    <col min="7959" max="7959" width="29.88671875" style="795" bestFit="1" customWidth="1"/>
    <col min="7960" max="7960" width="30.33203125" style="795" bestFit="1" customWidth="1"/>
    <col min="7961" max="8192" width="9" style="795"/>
    <col min="8193" max="8193" width="1.6640625" style="795" customWidth="1"/>
    <col min="8194" max="8194" width="9.6640625" style="795" customWidth="1"/>
    <col min="8195" max="8195" width="8.6640625" style="795" customWidth="1"/>
    <col min="8196" max="8196" width="5.6640625" style="795" customWidth="1"/>
    <col min="8197" max="8198" width="15.6640625" style="795" customWidth="1"/>
    <col min="8199" max="8199" width="5.6640625" style="795" customWidth="1"/>
    <col min="8200" max="8200" width="16.6640625" style="795" customWidth="1"/>
    <col min="8201" max="8201" width="5.6640625" style="795" customWidth="1"/>
    <col min="8202" max="8202" width="15.6640625" style="795" customWidth="1"/>
    <col min="8203" max="8203" width="5.6640625" style="795" customWidth="1"/>
    <col min="8204" max="8204" width="3.109375" style="795" customWidth="1"/>
    <col min="8205" max="8210" width="4.6640625" style="795" customWidth="1"/>
    <col min="8211" max="8211" width="1.6640625" style="795" customWidth="1"/>
    <col min="8212" max="8213" width="9" style="795"/>
    <col min="8214" max="8214" width="18.44140625" style="795" bestFit="1" customWidth="1"/>
    <col min="8215" max="8215" width="29.88671875" style="795" bestFit="1" customWidth="1"/>
    <col min="8216" max="8216" width="30.33203125" style="795" bestFit="1" customWidth="1"/>
    <col min="8217" max="8448" width="9" style="795"/>
    <col min="8449" max="8449" width="1.6640625" style="795" customWidth="1"/>
    <col min="8450" max="8450" width="9.6640625" style="795" customWidth="1"/>
    <col min="8451" max="8451" width="8.6640625" style="795" customWidth="1"/>
    <col min="8452" max="8452" width="5.6640625" style="795" customWidth="1"/>
    <col min="8453" max="8454" width="15.6640625" style="795" customWidth="1"/>
    <col min="8455" max="8455" width="5.6640625" style="795" customWidth="1"/>
    <col min="8456" max="8456" width="16.6640625" style="795" customWidth="1"/>
    <col min="8457" max="8457" width="5.6640625" style="795" customWidth="1"/>
    <col min="8458" max="8458" width="15.6640625" style="795" customWidth="1"/>
    <col min="8459" max="8459" width="5.6640625" style="795" customWidth="1"/>
    <col min="8460" max="8460" width="3.109375" style="795" customWidth="1"/>
    <col min="8461" max="8466" width="4.6640625" style="795" customWidth="1"/>
    <col min="8467" max="8467" width="1.6640625" style="795" customWidth="1"/>
    <col min="8468" max="8469" width="9" style="795"/>
    <col min="8470" max="8470" width="18.44140625" style="795" bestFit="1" customWidth="1"/>
    <col min="8471" max="8471" width="29.88671875" style="795" bestFit="1" customWidth="1"/>
    <col min="8472" max="8472" width="30.33203125" style="795" bestFit="1" customWidth="1"/>
    <col min="8473" max="8704" width="9" style="795"/>
    <col min="8705" max="8705" width="1.6640625" style="795" customWidth="1"/>
    <col min="8706" max="8706" width="9.6640625" style="795" customWidth="1"/>
    <col min="8707" max="8707" width="8.6640625" style="795" customWidth="1"/>
    <col min="8708" max="8708" width="5.6640625" style="795" customWidth="1"/>
    <col min="8709" max="8710" width="15.6640625" style="795" customWidth="1"/>
    <col min="8711" max="8711" width="5.6640625" style="795" customWidth="1"/>
    <col min="8712" max="8712" width="16.6640625" style="795" customWidth="1"/>
    <col min="8713" max="8713" width="5.6640625" style="795" customWidth="1"/>
    <col min="8714" max="8714" width="15.6640625" style="795" customWidth="1"/>
    <col min="8715" max="8715" width="5.6640625" style="795" customWidth="1"/>
    <col min="8716" max="8716" width="3.109375" style="795" customWidth="1"/>
    <col min="8717" max="8722" width="4.6640625" style="795" customWidth="1"/>
    <col min="8723" max="8723" width="1.6640625" style="795" customWidth="1"/>
    <col min="8724" max="8725" width="9" style="795"/>
    <col min="8726" max="8726" width="18.44140625" style="795" bestFit="1" customWidth="1"/>
    <col min="8727" max="8727" width="29.88671875" style="795" bestFit="1" customWidth="1"/>
    <col min="8728" max="8728" width="30.33203125" style="795" bestFit="1" customWidth="1"/>
    <col min="8729" max="8960" width="9" style="795"/>
    <col min="8961" max="8961" width="1.6640625" style="795" customWidth="1"/>
    <col min="8962" max="8962" width="9.6640625" style="795" customWidth="1"/>
    <col min="8963" max="8963" width="8.6640625" style="795" customWidth="1"/>
    <col min="8964" max="8964" width="5.6640625" style="795" customWidth="1"/>
    <col min="8965" max="8966" width="15.6640625" style="795" customWidth="1"/>
    <col min="8967" max="8967" width="5.6640625" style="795" customWidth="1"/>
    <col min="8968" max="8968" width="16.6640625" style="795" customWidth="1"/>
    <col min="8969" max="8969" width="5.6640625" style="795" customWidth="1"/>
    <col min="8970" max="8970" width="15.6640625" style="795" customWidth="1"/>
    <col min="8971" max="8971" width="5.6640625" style="795" customWidth="1"/>
    <col min="8972" max="8972" width="3.109375" style="795" customWidth="1"/>
    <col min="8973" max="8978" width="4.6640625" style="795" customWidth="1"/>
    <col min="8979" max="8979" width="1.6640625" style="795" customWidth="1"/>
    <col min="8980" max="8981" width="9" style="795"/>
    <col min="8982" max="8982" width="18.44140625" style="795" bestFit="1" customWidth="1"/>
    <col min="8983" max="8983" width="29.88671875" style="795" bestFit="1" customWidth="1"/>
    <col min="8984" max="8984" width="30.33203125" style="795" bestFit="1" customWidth="1"/>
    <col min="8985" max="9216" width="9" style="795"/>
    <col min="9217" max="9217" width="1.6640625" style="795" customWidth="1"/>
    <col min="9218" max="9218" width="9.6640625" style="795" customWidth="1"/>
    <col min="9219" max="9219" width="8.6640625" style="795" customWidth="1"/>
    <col min="9220" max="9220" width="5.6640625" style="795" customWidth="1"/>
    <col min="9221" max="9222" width="15.6640625" style="795" customWidth="1"/>
    <col min="9223" max="9223" width="5.6640625" style="795" customWidth="1"/>
    <col min="9224" max="9224" width="16.6640625" style="795" customWidth="1"/>
    <col min="9225" max="9225" width="5.6640625" style="795" customWidth="1"/>
    <col min="9226" max="9226" width="15.6640625" style="795" customWidth="1"/>
    <col min="9227" max="9227" width="5.6640625" style="795" customWidth="1"/>
    <col min="9228" max="9228" width="3.109375" style="795" customWidth="1"/>
    <col min="9229" max="9234" width="4.6640625" style="795" customWidth="1"/>
    <col min="9235" max="9235" width="1.6640625" style="795" customWidth="1"/>
    <col min="9236" max="9237" width="9" style="795"/>
    <col min="9238" max="9238" width="18.44140625" style="795" bestFit="1" customWidth="1"/>
    <col min="9239" max="9239" width="29.88671875" style="795" bestFit="1" customWidth="1"/>
    <col min="9240" max="9240" width="30.33203125" style="795" bestFit="1" customWidth="1"/>
    <col min="9241" max="9472" width="9" style="795"/>
    <col min="9473" max="9473" width="1.6640625" style="795" customWidth="1"/>
    <col min="9474" max="9474" width="9.6640625" style="795" customWidth="1"/>
    <col min="9475" max="9475" width="8.6640625" style="795" customWidth="1"/>
    <col min="9476" max="9476" width="5.6640625" style="795" customWidth="1"/>
    <col min="9477" max="9478" width="15.6640625" style="795" customWidth="1"/>
    <col min="9479" max="9479" width="5.6640625" style="795" customWidth="1"/>
    <col min="9480" max="9480" width="16.6640625" style="795" customWidth="1"/>
    <col min="9481" max="9481" width="5.6640625" style="795" customWidth="1"/>
    <col min="9482" max="9482" width="15.6640625" style="795" customWidth="1"/>
    <col min="9483" max="9483" width="5.6640625" style="795" customWidth="1"/>
    <col min="9484" max="9484" width="3.109375" style="795" customWidth="1"/>
    <col min="9485" max="9490" width="4.6640625" style="795" customWidth="1"/>
    <col min="9491" max="9491" width="1.6640625" style="795" customWidth="1"/>
    <col min="9492" max="9493" width="9" style="795"/>
    <col min="9494" max="9494" width="18.44140625" style="795" bestFit="1" customWidth="1"/>
    <col min="9495" max="9495" width="29.88671875" style="795" bestFit="1" customWidth="1"/>
    <col min="9496" max="9496" width="30.33203125" style="795" bestFit="1" customWidth="1"/>
    <col min="9497" max="9728" width="9" style="795"/>
    <col min="9729" max="9729" width="1.6640625" style="795" customWidth="1"/>
    <col min="9730" max="9730" width="9.6640625" style="795" customWidth="1"/>
    <col min="9731" max="9731" width="8.6640625" style="795" customWidth="1"/>
    <col min="9732" max="9732" width="5.6640625" style="795" customWidth="1"/>
    <col min="9733" max="9734" width="15.6640625" style="795" customWidth="1"/>
    <col min="9735" max="9735" width="5.6640625" style="795" customWidth="1"/>
    <col min="9736" max="9736" width="16.6640625" style="795" customWidth="1"/>
    <col min="9737" max="9737" width="5.6640625" style="795" customWidth="1"/>
    <col min="9738" max="9738" width="15.6640625" style="795" customWidth="1"/>
    <col min="9739" max="9739" width="5.6640625" style="795" customWidth="1"/>
    <col min="9740" max="9740" width="3.109375" style="795" customWidth="1"/>
    <col min="9741" max="9746" width="4.6640625" style="795" customWidth="1"/>
    <col min="9747" max="9747" width="1.6640625" style="795" customWidth="1"/>
    <col min="9748" max="9749" width="9" style="795"/>
    <col min="9750" max="9750" width="18.44140625" style="795" bestFit="1" customWidth="1"/>
    <col min="9751" max="9751" width="29.88671875" style="795" bestFit="1" customWidth="1"/>
    <col min="9752" max="9752" width="30.33203125" style="795" bestFit="1" customWidth="1"/>
    <col min="9753" max="9984" width="9" style="795"/>
    <col min="9985" max="9985" width="1.6640625" style="795" customWidth="1"/>
    <col min="9986" max="9986" width="9.6640625" style="795" customWidth="1"/>
    <col min="9987" max="9987" width="8.6640625" style="795" customWidth="1"/>
    <col min="9988" max="9988" width="5.6640625" style="795" customWidth="1"/>
    <col min="9989" max="9990" width="15.6640625" style="795" customWidth="1"/>
    <col min="9991" max="9991" width="5.6640625" style="795" customWidth="1"/>
    <col min="9992" max="9992" width="16.6640625" style="795" customWidth="1"/>
    <col min="9993" max="9993" width="5.6640625" style="795" customWidth="1"/>
    <col min="9994" max="9994" width="15.6640625" style="795" customWidth="1"/>
    <col min="9995" max="9995" width="5.6640625" style="795" customWidth="1"/>
    <col min="9996" max="9996" width="3.109375" style="795" customWidth="1"/>
    <col min="9997" max="10002" width="4.6640625" style="795" customWidth="1"/>
    <col min="10003" max="10003" width="1.6640625" style="795" customWidth="1"/>
    <col min="10004" max="10005" width="9" style="795"/>
    <col min="10006" max="10006" width="18.44140625" style="795" bestFit="1" customWidth="1"/>
    <col min="10007" max="10007" width="29.88671875" style="795" bestFit="1" customWidth="1"/>
    <col min="10008" max="10008" width="30.33203125" style="795" bestFit="1" customWidth="1"/>
    <col min="10009" max="10240" width="9" style="795"/>
    <col min="10241" max="10241" width="1.6640625" style="795" customWidth="1"/>
    <col min="10242" max="10242" width="9.6640625" style="795" customWidth="1"/>
    <col min="10243" max="10243" width="8.6640625" style="795" customWidth="1"/>
    <col min="10244" max="10244" width="5.6640625" style="795" customWidth="1"/>
    <col min="10245" max="10246" width="15.6640625" style="795" customWidth="1"/>
    <col min="10247" max="10247" width="5.6640625" style="795" customWidth="1"/>
    <col min="10248" max="10248" width="16.6640625" style="795" customWidth="1"/>
    <col min="10249" max="10249" width="5.6640625" style="795" customWidth="1"/>
    <col min="10250" max="10250" width="15.6640625" style="795" customWidth="1"/>
    <col min="10251" max="10251" width="5.6640625" style="795" customWidth="1"/>
    <col min="10252" max="10252" width="3.109375" style="795" customWidth="1"/>
    <col min="10253" max="10258" width="4.6640625" style="795" customWidth="1"/>
    <col min="10259" max="10259" width="1.6640625" style="795" customWidth="1"/>
    <col min="10260" max="10261" width="9" style="795"/>
    <col min="10262" max="10262" width="18.44140625" style="795" bestFit="1" customWidth="1"/>
    <col min="10263" max="10263" width="29.88671875" style="795" bestFit="1" customWidth="1"/>
    <col min="10264" max="10264" width="30.33203125" style="795" bestFit="1" customWidth="1"/>
    <col min="10265" max="10496" width="9" style="795"/>
    <col min="10497" max="10497" width="1.6640625" style="795" customWidth="1"/>
    <col min="10498" max="10498" width="9.6640625" style="795" customWidth="1"/>
    <col min="10499" max="10499" width="8.6640625" style="795" customWidth="1"/>
    <col min="10500" max="10500" width="5.6640625" style="795" customWidth="1"/>
    <col min="10501" max="10502" width="15.6640625" style="795" customWidth="1"/>
    <col min="10503" max="10503" width="5.6640625" style="795" customWidth="1"/>
    <col min="10504" max="10504" width="16.6640625" style="795" customWidth="1"/>
    <col min="10505" max="10505" width="5.6640625" style="795" customWidth="1"/>
    <col min="10506" max="10506" width="15.6640625" style="795" customWidth="1"/>
    <col min="10507" max="10507" width="5.6640625" style="795" customWidth="1"/>
    <col min="10508" max="10508" width="3.109375" style="795" customWidth="1"/>
    <col min="10509" max="10514" width="4.6640625" style="795" customWidth="1"/>
    <col min="10515" max="10515" width="1.6640625" style="795" customWidth="1"/>
    <col min="10516" max="10517" width="9" style="795"/>
    <col min="10518" max="10518" width="18.44140625" style="795" bestFit="1" customWidth="1"/>
    <col min="10519" max="10519" width="29.88671875" style="795" bestFit="1" customWidth="1"/>
    <col min="10520" max="10520" width="30.33203125" style="795" bestFit="1" customWidth="1"/>
    <col min="10521" max="10752" width="9" style="795"/>
    <col min="10753" max="10753" width="1.6640625" style="795" customWidth="1"/>
    <col min="10754" max="10754" width="9.6640625" style="795" customWidth="1"/>
    <col min="10755" max="10755" width="8.6640625" style="795" customWidth="1"/>
    <col min="10756" max="10756" width="5.6640625" style="795" customWidth="1"/>
    <col min="10757" max="10758" width="15.6640625" style="795" customWidth="1"/>
    <col min="10759" max="10759" width="5.6640625" style="795" customWidth="1"/>
    <col min="10760" max="10760" width="16.6640625" style="795" customWidth="1"/>
    <col min="10761" max="10761" width="5.6640625" style="795" customWidth="1"/>
    <col min="10762" max="10762" width="15.6640625" style="795" customWidth="1"/>
    <col min="10763" max="10763" width="5.6640625" style="795" customWidth="1"/>
    <col min="10764" max="10764" width="3.109375" style="795" customWidth="1"/>
    <col min="10765" max="10770" width="4.6640625" style="795" customWidth="1"/>
    <col min="10771" max="10771" width="1.6640625" style="795" customWidth="1"/>
    <col min="10772" max="10773" width="9" style="795"/>
    <col min="10774" max="10774" width="18.44140625" style="795" bestFit="1" customWidth="1"/>
    <col min="10775" max="10775" width="29.88671875" style="795" bestFit="1" customWidth="1"/>
    <col min="10776" max="10776" width="30.33203125" style="795" bestFit="1" customWidth="1"/>
    <col min="10777" max="11008" width="9" style="795"/>
    <col min="11009" max="11009" width="1.6640625" style="795" customWidth="1"/>
    <col min="11010" max="11010" width="9.6640625" style="795" customWidth="1"/>
    <col min="11011" max="11011" width="8.6640625" style="795" customWidth="1"/>
    <col min="11012" max="11012" width="5.6640625" style="795" customWidth="1"/>
    <col min="11013" max="11014" width="15.6640625" style="795" customWidth="1"/>
    <col min="11015" max="11015" width="5.6640625" style="795" customWidth="1"/>
    <col min="11016" max="11016" width="16.6640625" style="795" customWidth="1"/>
    <col min="11017" max="11017" width="5.6640625" style="795" customWidth="1"/>
    <col min="11018" max="11018" width="15.6640625" style="795" customWidth="1"/>
    <col min="11019" max="11019" width="5.6640625" style="795" customWidth="1"/>
    <col min="11020" max="11020" width="3.109375" style="795" customWidth="1"/>
    <col min="11021" max="11026" width="4.6640625" style="795" customWidth="1"/>
    <col min="11027" max="11027" width="1.6640625" style="795" customWidth="1"/>
    <col min="11028" max="11029" width="9" style="795"/>
    <col min="11030" max="11030" width="18.44140625" style="795" bestFit="1" customWidth="1"/>
    <col min="11031" max="11031" width="29.88671875" style="795" bestFit="1" customWidth="1"/>
    <col min="11032" max="11032" width="30.33203125" style="795" bestFit="1" customWidth="1"/>
    <col min="11033" max="11264" width="9" style="795"/>
    <col min="11265" max="11265" width="1.6640625" style="795" customWidth="1"/>
    <col min="11266" max="11266" width="9.6640625" style="795" customWidth="1"/>
    <col min="11267" max="11267" width="8.6640625" style="795" customWidth="1"/>
    <col min="11268" max="11268" width="5.6640625" style="795" customWidth="1"/>
    <col min="11269" max="11270" width="15.6640625" style="795" customWidth="1"/>
    <col min="11271" max="11271" width="5.6640625" style="795" customWidth="1"/>
    <col min="11272" max="11272" width="16.6640625" style="795" customWidth="1"/>
    <col min="11273" max="11273" width="5.6640625" style="795" customWidth="1"/>
    <col min="11274" max="11274" width="15.6640625" style="795" customWidth="1"/>
    <col min="11275" max="11275" width="5.6640625" style="795" customWidth="1"/>
    <col min="11276" max="11276" width="3.109375" style="795" customWidth="1"/>
    <col min="11277" max="11282" width="4.6640625" style="795" customWidth="1"/>
    <col min="11283" max="11283" width="1.6640625" style="795" customWidth="1"/>
    <col min="11284" max="11285" width="9" style="795"/>
    <col min="11286" max="11286" width="18.44140625" style="795" bestFit="1" customWidth="1"/>
    <col min="11287" max="11287" width="29.88671875" style="795" bestFit="1" customWidth="1"/>
    <col min="11288" max="11288" width="30.33203125" style="795" bestFit="1" customWidth="1"/>
    <col min="11289" max="11520" width="9" style="795"/>
    <col min="11521" max="11521" width="1.6640625" style="795" customWidth="1"/>
    <col min="11522" max="11522" width="9.6640625" style="795" customWidth="1"/>
    <col min="11523" max="11523" width="8.6640625" style="795" customWidth="1"/>
    <col min="11524" max="11524" width="5.6640625" style="795" customWidth="1"/>
    <col min="11525" max="11526" width="15.6640625" style="795" customWidth="1"/>
    <col min="11527" max="11527" width="5.6640625" style="795" customWidth="1"/>
    <col min="11528" max="11528" width="16.6640625" style="795" customWidth="1"/>
    <col min="11529" max="11529" width="5.6640625" style="795" customWidth="1"/>
    <col min="11530" max="11530" width="15.6640625" style="795" customWidth="1"/>
    <col min="11531" max="11531" width="5.6640625" style="795" customWidth="1"/>
    <col min="11532" max="11532" width="3.109375" style="795" customWidth="1"/>
    <col min="11533" max="11538" width="4.6640625" style="795" customWidth="1"/>
    <col min="11539" max="11539" width="1.6640625" style="795" customWidth="1"/>
    <col min="11540" max="11541" width="9" style="795"/>
    <col min="11542" max="11542" width="18.44140625" style="795" bestFit="1" customWidth="1"/>
    <col min="11543" max="11543" width="29.88671875" style="795" bestFit="1" customWidth="1"/>
    <col min="11544" max="11544" width="30.33203125" style="795" bestFit="1" customWidth="1"/>
    <col min="11545" max="11776" width="9" style="795"/>
    <col min="11777" max="11777" width="1.6640625" style="795" customWidth="1"/>
    <col min="11778" max="11778" width="9.6640625" style="795" customWidth="1"/>
    <col min="11779" max="11779" width="8.6640625" style="795" customWidth="1"/>
    <col min="11780" max="11780" width="5.6640625" style="795" customWidth="1"/>
    <col min="11781" max="11782" width="15.6640625" style="795" customWidth="1"/>
    <col min="11783" max="11783" width="5.6640625" style="795" customWidth="1"/>
    <col min="11784" max="11784" width="16.6640625" style="795" customWidth="1"/>
    <col min="11785" max="11785" width="5.6640625" style="795" customWidth="1"/>
    <col min="11786" max="11786" width="15.6640625" style="795" customWidth="1"/>
    <col min="11787" max="11787" width="5.6640625" style="795" customWidth="1"/>
    <col min="11788" max="11788" width="3.109375" style="795" customWidth="1"/>
    <col min="11789" max="11794" width="4.6640625" style="795" customWidth="1"/>
    <col min="11795" max="11795" width="1.6640625" style="795" customWidth="1"/>
    <col min="11796" max="11797" width="9" style="795"/>
    <col min="11798" max="11798" width="18.44140625" style="795" bestFit="1" customWidth="1"/>
    <col min="11799" max="11799" width="29.88671875" style="795" bestFit="1" customWidth="1"/>
    <col min="11800" max="11800" width="30.33203125" style="795" bestFit="1" customWidth="1"/>
    <col min="11801" max="12032" width="9" style="795"/>
    <col min="12033" max="12033" width="1.6640625" style="795" customWidth="1"/>
    <col min="12034" max="12034" width="9.6640625" style="795" customWidth="1"/>
    <col min="12035" max="12035" width="8.6640625" style="795" customWidth="1"/>
    <col min="12036" max="12036" width="5.6640625" style="795" customWidth="1"/>
    <col min="12037" max="12038" width="15.6640625" style="795" customWidth="1"/>
    <col min="12039" max="12039" width="5.6640625" style="795" customWidth="1"/>
    <col min="12040" max="12040" width="16.6640625" style="795" customWidth="1"/>
    <col min="12041" max="12041" width="5.6640625" style="795" customWidth="1"/>
    <col min="12042" max="12042" width="15.6640625" style="795" customWidth="1"/>
    <col min="12043" max="12043" width="5.6640625" style="795" customWidth="1"/>
    <col min="12044" max="12044" width="3.109375" style="795" customWidth="1"/>
    <col min="12045" max="12050" width="4.6640625" style="795" customWidth="1"/>
    <col min="12051" max="12051" width="1.6640625" style="795" customWidth="1"/>
    <col min="12052" max="12053" width="9" style="795"/>
    <col min="12054" max="12054" width="18.44140625" style="795" bestFit="1" customWidth="1"/>
    <col min="12055" max="12055" width="29.88671875" style="795" bestFit="1" customWidth="1"/>
    <col min="12056" max="12056" width="30.33203125" style="795" bestFit="1" customWidth="1"/>
    <col min="12057" max="12288" width="9" style="795"/>
    <col min="12289" max="12289" width="1.6640625" style="795" customWidth="1"/>
    <col min="12290" max="12290" width="9.6640625" style="795" customWidth="1"/>
    <col min="12291" max="12291" width="8.6640625" style="795" customWidth="1"/>
    <col min="12292" max="12292" width="5.6640625" style="795" customWidth="1"/>
    <col min="12293" max="12294" width="15.6640625" style="795" customWidth="1"/>
    <col min="12295" max="12295" width="5.6640625" style="795" customWidth="1"/>
    <col min="12296" max="12296" width="16.6640625" style="795" customWidth="1"/>
    <col min="12297" max="12297" width="5.6640625" style="795" customWidth="1"/>
    <col min="12298" max="12298" width="15.6640625" style="795" customWidth="1"/>
    <col min="12299" max="12299" width="5.6640625" style="795" customWidth="1"/>
    <col min="12300" max="12300" width="3.109375" style="795" customWidth="1"/>
    <col min="12301" max="12306" width="4.6640625" style="795" customWidth="1"/>
    <col min="12307" max="12307" width="1.6640625" style="795" customWidth="1"/>
    <col min="12308" max="12309" width="9" style="795"/>
    <col min="12310" max="12310" width="18.44140625" style="795" bestFit="1" customWidth="1"/>
    <col min="12311" max="12311" width="29.88671875" style="795" bestFit="1" customWidth="1"/>
    <col min="12312" max="12312" width="30.33203125" style="795" bestFit="1" customWidth="1"/>
    <col min="12313" max="12544" width="9" style="795"/>
    <col min="12545" max="12545" width="1.6640625" style="795" customWidth="1"/>
    <col min="12546" max="12546" width="9.6640625" style="795" customWidth="1"/>
    <col min="12547" max="12547" width="8.6640625" style="795" customWidth="1"/>
    <col min="12548" max="12548" width="5.6640625" style="795" customWidth="1"/>
    <col min="12549" max="12550" width="15.6640625" style="795" customWidth="1"/>
    <col min="12551" max="12551" width="5.6640625" style="795" customWidth="1"/>
    <col min="12552" max="12552" width="16.6640625" style="795" customWidth="1"/>
    <col min="12553" max="12553" width="5.6640625" style="795" customWidth="1"/>
    <col min="12554" max="12554" width="15.6640625" style="795" customWidth="1"/>
    <col min="12555" max="12555" width="5.6640625" style="795" customWidth="1"/>
    <col min="12556" max="12556" width="3.109375" style="795" customWidth="1"/>
    <col min="12557" max="12562" width="4.6640625" style="795" customWidth="1"/>
    <col min="12563" max="12563" width="1.6640625" style="795" customWidth="1"/>
    <col min="12564" max="12565" width="9" style="795"/>
    <col min="12566" max="12566" width="18.44140625" style="795" bestFit="1" customWidth="1"/>
    <col min="12567" max="12567" width="29.88671875" style="795" bestFit="1" customWidth="1"/>
    <col min="12568" max="12568" width="30.33203125" style="795" bestFit="1" customWidth="1"/>
    <col min="12569" max="12800" width="9" style="795"/>
    <col min="12801" max="12801" width="1.6640625" style="795" customWidth="1"/>
    <col min="12802" max="12802" width="9.6640625" style="795" customWidth="1"/>
    <col min="12803" max="12803" width="8.6640625" style="795" customWidth="1"/>
    <col min="12804" max="12804" width="5.6640625" style="795" customWidth="1"/>
    <col min="12805" max="12806" width="15.6640625" style="795" customWidth="1"/>
    <col min="12807" max="12807" width="5.6640625" style="795" customWidth="1"/>
    <col min="12808" max="12808" width="16.6640625" style="795" customWidth="1"/>
    <col min="12809" max="12809" width="5.6640625" style="795" customWidth="1"/>
    <col min="12810" max="12810" width="15.6640625" style="795" customWidth="1"/>
    <col min="12811" max="12811" width="5.6640625" style="795" customWidth="1"/>
    <col min="12812" max="12812" width="3.109375" style="795" customWidth="1"/>
    <col min="12813" max="12818" width="4.6640625" style="795" customWidth="1"/>
    <col min="12819" max="12819" width="1.6640625" style="795" customWidth="1"/>
    <col min="12820" max="12821" width="9" style="795"/>
    <col min="12822" max="12822" width="18.44140625" style="795" bestFit="1" customWidth="1"/>
    <col min="12823" max="12823" width="29.88671875" style="795" bestFit="1" customWidth="1"/>
    <col min="12824" max="12824" width="30.33203125" style="795" bestFit="1" customWidth="1"/>
    <col min="12825" max="13056" width="9" style="795"/>
    <col min="13057" max="13057" width="1.6640625" style="795" customWidth="1"/>
    <col min="13058" max="13058" width="9.6640625" style="795" customWidth="1"/>
    <col min="13059" max="13059" width="8.6640625" style="795" customWidth="1"/>
    <col min="13060" max="13060" width="5.6640625" style="795" customWidth="1"/>
    <col min="13061" max="13062" width="15.6640625" style="795" customWidth="1"/>
    <col min="13063" max="13063" width="5.6640625" style="795" customWidth="1"/>
    <col min="13064" max="13064" width="16.6640625" style="795" customWidth="1"/>
    <col min="13065" max="13065" width="5.6640625" style="795" customWidth="1"/>
    <col min="13066" max="13066" width="15.6640625" style="795" customWidth="1"/>
    <col min="13067" max="13067" width="5.6640625" style="795" customWidth="1"/>
    <col min="13068" max="13068" width="3.109375" style="795" customWidth="1"/>
    <col min="13069" max="13074" width="4.6640625" style="795" customWidth="1"/>
    <col min="13075" max="13075" width="1.6640625" style="795" customWidth="1"/>
    <col min="13076" max="13077" width="9" style="795"/>
    <col min="13078" max="13078" width="18.44140625" style="795" bestFit="1" customWidth="1"/>
    <col min="13079" max="13079" width="29.88671875" style="795" bestFit="1" customWidth="1"/>
    <col min="13080" max="13080" width="30.33203125" style="795" bestFit="1" customWidth="1"/>
    <col min="13081" max="13312" width="9" style="795"/>
    <col min="13313" max="13313" width="1.6640625" style="795" customWidth="1"/>
    <col min="13314" max="13314" width="9.6640625" style="795" customWidth="1"/>
    <col min="13315" max="13315" width="8.6640625" style="795" customWidth="1"/>
    <col min="13316" max="13316" width="5.6640625" style="795" customWidth="1"/>
    <col min="13317" max="13318" width="15.6640625" style="795" customWidth="1"/>
    <col min="13319" max="13319" width="5.6640625" style="795" customWidth="1"/>
    <col min="13320" max="13320" width="16.6640625" style="795" customWidth="1"/>
    <col min="13321" max="13321" width="5.6640625" style="795" customWidth="1"/>
    <col min="13322" max="13322" width="15.6640625" style="795" customWidth="1"/>
    <col min="13323" max="13323" width="5.6640625" style="795" customWidth="1"/>
    <col min="13324" max="13324" width="3.109375" style="795" customWidth="1"/>
    <col min="13325" max="13330" width="4.6640625" style="795" customWidth="1"/>
    <col min="13331" max="13331" width="1.6640625" style="795" customWidth="1"/>
    <col min="13332" max="13333" width="9" style="795"/>
    <col min="13334" max="13334" width="18.44140625" style="795" bestFit="1" customWidth="1"/>
    <col min="13335" max="13335" width="29.88671875" style="795" bestFit="1" customWidth="1"/>
    <col min="13336" max="13336" width="30.33203125" style="795" bestFit="1" customWidth="1"/>
    <col min="13337" max="13568" width="9" style="795"/>
    <col min="13569" max="13569" width="1.6640625" style="795" customWidth="1"/>
    <col min="13570" max="13570" width="9.6640625" style="795" customWidth="1"/>
    <col min="13571" max="13571" width="8.6640625" style="795" customWidth="1"/>
    <col min="13572" max="13572" width="5.6640625" style="795" customWidth="1"/>
    <col min="13573" max="13574" width="15.6640625" style="795" customWidth="1"/>
    <col min="13575" max="13575" width="5.6640625" style="795" customWidth="1"/>
    <col min="13576" max="13576" width="16.6640625" style="795" customWidth="1"/>
    <col min="13577" max="13577" width="5.6640625" style="795" customWidth="1"/>
    <col min="13578" max="13578" width="15.6640625" style="795" customWidth="1"/>
    <col min="13579" max="13579" width="5.6640625" style="795" customWidth="1"/>
    <col min="13580" max="13580" width="3.109375" style="795" customWidth="1"/>
    <col min="13581" max="13586" width="4.6640625" style="795" customWidth="1"/>
    <col min="13587" max="13587" width="1.6640625" style="795" customWidth="1"/>
    <col min="13588" max="13589" width="9" style="795"/>
    <col min="13590" max="13590" width="18.44140625" style="795" bestFit="1" customWidth="1"/>
    <col min="13591" max="13591" width="29.88671875" style="795" bestFit="1" customWidth="1"/>
    <col min="13592" max="13592" width="30.33203125" style="795" bestFit="1" customWidth="1"/>
    <col min="13593" max="13824" width="9" style="795"/>
    <col min="13825" max="13825" width="1.6640625" style="795" customWidth="1"/>
    <col min="13826" max="13826" width="9.6640625" style="795" customWidth="1"/>
    <col min="13827" max="13827" width="8.6640625" style="795" customWidth="1"/>
    <col min="13828" max="13828" width="5.6640625" style="795" customWidth="1"/>
    <col min="13829" max="13830" width="15.6640625" style="795" customWidth="1"/>
    <col min="13831" max="13831" width="5.6640625" style="795" customWidth="1"/>
    <col min="13832" max="13832" width="16.6640625" style="795" customWidth="1"/>
    <col min="13833" max="13833" width="5.6640625" style="795" customWidth="1"/>
    <col min="13834" max="13834" width="15.6640625" style="795" customWidth="1"/>
    <col min="13835" max="13835" width="5.6640625" style="795" customWidth="1"/>
    <col min="13836" max="13836" width="3.109375" style="795" customWidth="1"/>
    <col min="13837" max="13842" width="4.6640625" style="795" customWidth="1"/>
    <col min="13843" max="13843" width="1.6640625" style="795" customWidth="1"/>
    <col min="13844" max="13845" width="9" style="795"/>
    <col min="13846" max="13846" width="18.44140625" style="795" bestFit="1" customWidth="1"/>
    <col min="13847" max="13847" width="29.88671875" style="795" bestFit="1" customWidth="1"/>
    <col min="13848" max="13848" width="30.33203125" style="795" bestFit="1" customWidth="1"/>
    <col min="13849" max="14080" width="9" style="795"/>
    <col min="14081" max="14081" width="1.6640625" style="795" customWidth="1"/>
    <col min="14082" max="14082" width="9.6640625" style="795" customWidth="1"/>
    <col min="14083" max="14083" width="8.6640625" style="795" customWidth="1"/>
    <col min="14084" max="14084" width="5.6640625" style="795" customWidth="1"/>
    <col min="14085" max="14086" width="15.6640625" style="795" customWidth="1"/>
    <col min="14087" max="14087" width="5.6640625" style="795" customWidth="1"/>
    <col min="14088" max="14088" width="16.6640625" style="795" customWidth="1"/>
    <col min="14089" max="14089" width="5.6640625" style="795" customWidth="1"/>
    <col min="14090" max="14090" width="15.6640625" style="795" customWidth="1"/>
    <col min="14091" max="14091" width="5.6640625" style="795" customWidth="1"/>
    <col min="14092" max="14092" width="3.109375" style="795" customWidth="1"/>
    <col min="14093" max="14098" width="4.6640625" style="795" customWidth="1"/>
    <col min="14099" max="14099" width="1.6640625" style="795" customWidth="1"/>
    <col min="14100" max="14101" width="9" style="795"/>
    <col min="14102" max="14102" width="18.44140625" style="795" bestFit="1" customWidth="1"/>
    <col min="14103" max="14103" width="29.88671875" style="795" bestFit="1" customWidth="1"/>
    <col min="14104" max="14104" width="30.33203125" style="795" bestFit="1" customWidth="1"/>
    <col min="14105" max="14336" width="9" style="795"/>
    <col min="14337" max="14337" width="1.6640625" style="795" customWidth="1"/>
    <col min="14338" max="14338" width="9.6640625" style="795" customWidth="1"/>
    <col min="14339" max="14339" width="8.6640625" style="795" customWidth="1"/>
    <col min="14340" max="14340" width="5.6640625" style="795" customWidth="1"/>
    <col min="14341" max="14342" width="15.6640625" style="795" customWidth="1"/>
    <col min="14343" max="14343" width="5.6640625" style="795" customWidth="1"/>
    <col min="14344" max="14344" width="16.6640625" style="795" customWidth="1"/>
    <col min="14345" max="14345" width="5.6640625" style="795" customWidth="1"/>
    <col min="14346" max="14346" width="15.6640625" style="795" customWidth="1"/>
    <col min="14347" max="14347" width="5.6640625" style="795" customWidth="1"/>
    <col min="14348" max="14348" width="3.109375" style="795" customWidth="1"/>
    <col min="14349" max="14354" width="4.6640625" style="795" customWidth="1"/>
    <col min="14355" max="14355" width="1.6640625" style="795" customWidth="1"/>
    <col min="14356" max="14357" width="9" style="795"/>
    <col min="14358" max="14358" width="18.44140625" style="795" bestFit="1" customWidth="1"/>
    <col min="14359" max="14359" width="29.88671875" style="795" bestFit="1" customWidth="1"/>
    <col min="14360" max="14360" width="30.33203125" style="795" bestFit="1" customWidth="1"/>
    <col min="14361" max="14592" width="9" style="795"/>
    <col min="14593" max="14593" width="1.6640625" style="795" customWidth="1"/>
    <col min="14594" max="14594" width="9.6640625" style="795" customWidth="1"/>
    <col min="14595" max="14595" width="8.6640625" style="795" customWidth="1"/>
    <col min="14596" max="14596" width="5.6640625" style="795" customWidth="1"/>
    <col min="14597" max="14598" width="15.6640625" style="795" customWidth="1"/>
    <col min="14599" max="14599" width="5.6640625" style="795" customWidth="1"/>
    <col min="14600" max="14600" width="16.6640625" style="795" customWidth="1"/>
    <col min="14601" max="14601" width="5.6640625" style="795" customWidth="1"/>
    <col min="14602" max="14602" width="15.6640625" style="795" customWidth="1"/>
    <col min="14603" max="14603" width="5.6640625" style="795" customWidth="1"/>
    <col min="14604" max="14604" width="3.109375" style="795" customWidth="1"/>
    <col min="14605" max="14610" width="4.6640625" style="795" customWidth="1"/>
    <col min="14611" max="14611" width="1.6640625" style="795" customWidth="1"/>
    <col min="14612" max="14613" width="9" style="795"/>
    <col min="14614" max="14614" width="18.44140625" style="795" bestFit="1" customWidth="1"/>
    <col min="14615" max="14615" width="29.88671875" style="795" bestFit="1" customWidth="1"/>
    <col min="14616" max="14616" width="30.33203125" style="795" bestFit="1" customWidth="1"/>
    <col min="14617" max="14848" width="9" style="795"/>
    <col min="14849" max="14849" width="1.6640625" style="795" customWidth="1"/>
    <col min="14850" max="14850" width="9.6640625" style="795" customWidth="1"/>
    <col min="14851" max="14851" width="8.6640625" style="795" customWidth="1"/>
    <col min="14852" max="14852" width="5.6640625" style="795" customWidth="1"/>
    <col min="14853" max="14854" width="15.6640625" style="795" customWidth="1"/>
    <col min="14855" max="14855" width="5.6640625" style="795" customWidth="1"/>
    <col min="14856" max="14856" width="16.6640625" style="795" customWidth="1"/>
    <col min="14857" max="14857" width="5.6640625" style="795" customWidth="1"/>
    <col min="14858" max="14858" width="15.6640625" style="795" customWidth="1"/>
    <col min="14859" max="14859" width="5.6640625" style="795" customWidth="1"/>
    <col min="14860" max="14860" width="3.109375" style="795" customWidth="1"/>
    <col min="14861" max="14866" width="4.6640625" style="795" customWidth="1"/>
    <col min="14867" max="14867" width="1.6640625" style="795" customWidth="1"/>
    <col min="14868" max="14869" width="9" style="795"/>
    <col min="14870" max="14870" width="18.44140625" style="795" bestFit="1" customWidth="1"/>
    <col min="14871" max="14871" width="29.88671875" style="795" bestFit="1" customWidth="1"/>
    <col min="14872" max="14872" width="30.33203125" style="795" bestFit="1" customWidth="1"/>
    <col min="14873" max="15104" width="9" style="795"/>
    <col min="15105" max="15105" width="1.6640625" style="795" customWidth="1"/>
    <col min="15106" max="15106" width="9.6640625" style="795" customWidth="1"/>
    <col min="15107" max="15107" width="8.6640625" style="795" customWidth="1"/>
    <col min="15108" max="15108" width="5.6640625" style="795" customWidth="1"/>
    <col min="15109" max="15110" width="15.6640625" style="795" customWidth="1"/>
    <col min="15111" max="15111" width="5.6640625" style="795" customWidth="1"/>
    <col min="15112" max="15112" width="16.6640625" style="795" customWidth="1"/>
    <col min="15113" max="15113" width="5.6640625" style="795" customWidth="1"/>
    <col min="15114" max="15114" width="15.6640625" style="795" customWidth="1"/>
    <col min="15115" max="15115" width="5.6640625" style="795" customWidth="1"/>
    <col min="15116" max="15116" width="3.109375" style="795" customWidth="1"/>
    <col min="15117" max="15122" width="4.6640625" style="795" customWidth="1"/>
    <col min="15123" max="15123" width="1.6640625" style="795" customWidth="1"/>
    <col min="15124" max="15125" width="9" style="795"/>
    <col min="15126" max="15126" width="18.44140625" style="795" bestFit="1" customWidth="1"/>
    <col min="15127" max="15127" width="29.88671875" style="795" bestFit="1" customWidth="1"/>
    <col min="15128" max="15128" width="30.33203125" style="795" bestFit="1" customWidth="1"/>
    <col min="15129" max="15360" width="9" style="795"/>
    <col min="15361" max="15361" width="1.6640625" style="795" customWidth="1"/>
    <col min="15362" max="15362" width="9.6640625" style="795" customWidth="1"/>
    <col min="15363" max="15363" width="8.6640625" style="795" customWidth="1"/>
    <col min="15364" max="15364" width="5.6640625" style="795" customWidth="1"/>
    <col min="15365" max="15366" width="15.6640625" style="795" customWidth="1"/>
    <col min="15367" max="15367" width="5.6640625" style="795" customWidth="1"/>
    <col min="15368" max="15368" width="16.6640625" style="795" customWidth="1"/>
    <col min="15369" max="15369" width="5.6640625" style="795" customWidth="1"/>
    <col min="15370" max="15370" width="15.6640625" style="795" customWidth="1"/>
    <col min="15371" max="15371" width="5.6640625" style="795" customWidth="1"/>
    <col min="15372" max="15372" width="3.109375" style="795" customWidth="1"/>
    <col min="15373" max="15378" width="4.6640625" style="795" customWidth="1"/>
    <col min="15379" max="15379" width="1.6640625" style="795" customWidth="1"/>
    <col min="15380" max="15381" width="9" style="795"/>
    <col min="15382" max="15382" width="18.44140625" style="795" bestFit="1" customWidth="1"/>
    <col min="15383" max="15383" width="29.88671875" style="795" bestFit="1" customWidth="1"/>
    <col min="15384" max="15384" width="30.33203125" style="795" bestFit="1" customWidth="1"/>
    <col min="15385" max="15616" width="9" style="795"/>
    <col min="15617" max="15617" width="1.6640625" style="795" customWidth="1"/>
    <col min="15618" max="15618" width="9.6640625" style="795" customWidth="1"/>
    <col min="15619" max="15619" width="8.6640625" style="795" customWidth="1"/>
    <col min="15620" max="15620" width="5.6640625" style="795" customWidth="1"/>
    <col min="15621" max="15622" width="15.6640625" style="795" customWidth="1"/>
    <col min="15623" max="15623" width="5.6640625" style="795" customWidth="1"/>
    <col min="15624" max="15624" width="16.6640625" style="795" customWidth="1"/>
    <col min="15625" max="15625" width="5.6640625" style="795" customWidth="1"/>
    <col min="15626" max="15626" width="15.6640625" style="795" customWidth="1"/>
    <col min="15627" max="15627" width="5.6640625" style="795" customWidth="1"/>
    <col min="15628" max="15628" width="3.109375" style="795" customWidth="1"/>
    <col min="15629" max="15634" width="4.6640625" style="795" customWidth="1"/>
    <col min="15635" max="15635" width="1.6640625" style="795" customWidth="1"/>
    <col min="15636" max="15637" width="9" style="795"/>
    <col min="15638" max="15638" width="18.44140625" style="795" bestFit="1" customWidth="1"/>
    <col min="15639" max="15639" width="29.88671875" style="795" bestFit="1" customWidth="1"/>
    <col min="15640" max="15640" width="30.33203125" style="795" bestFit="1" customWidth="1"/>
    <col min="15641" max="15872" width="9" style="795"/>
    <col min="15873" max="15873" width="1.6640625" style="795" customWidth="1"/>
    <col min="15874" max="15874" width="9.6640625" style="795" customWidth="1"/>
    <col min="15875" max="15875" width="8.6640625" style="795" customWidth="1"/>
    <col min="15876" max="15876" width="5.6640625" style="795" customWidth="1"/>
    <col min="15877" max="15878" width="15.6640625" style="795" customWidth="1"/>
    <col min="15879" max="15879" width="5.6640625" style="795" customWidth="1"/>
    <col min="15880" max="15880" width="16.6640625" style="795" customWidth="1"/>
    <col min="15881" max="15881" width="5.6640625" style="795" customWidth="1"/>
    <col min="15882" max="15882" width="15.6640625" style="795" customWidth="1"/>
    <col min="15883" max="15883" width="5.6640625" style="795" customWidth="1"/>
    <col min="15884" max="15884" width="3.109375" style="795" customWidth="1"/>
    <col min="15885" max="15890" width="4.6640625" style="795" customWidth="1"/>
    <col min="15891" max="15891" width="1.6640625" style="795" customWidth="1"/>
    <col min="15892" max="15893" width="9" style="795"/>
    <col min="15894" max="15894" width="18.44140625" style="795" bestFit="1" customWidth="1"/>
    <col min="15895" max="15895" width="29.88671875" style="795" bestFit="1" customWidth="1"/>
    <col min="15896" max="15896" width="30.33203125" style="795" bestFit="1" customWidth="1"/>
    <col min="15897" max="16128" width="9" style="795"/>
    <col min="16129" max="16129" width="1.6640625" style="795" customWidth="1"/>
    <col min="16130" max="16130" width="9.6640625" style="795" customWidth="1"/>
    <col min="16131" max="16131" width="8.6640625" style="795" customWidth="1"/>
    <col min="16132" max="16132" width="5.6640625" style="795" customWidth="1"/>
    <col min="16133" max="16134" width="15.6640625" style="795" customWidth="1"/>
    <col min="16135" max="16135" width="5.6640625" style="795" customWidth="1"/>
    <col min="16136" max="16136" width="16.6640625" style="795" customWidth="1"/>
    <col min="16137" max="16137" width="5.6640625" style="795" customWidth="1"/>
    <col min="16138" max="16138" width="15.6640625" style="795" customWidth="1"/>
    <col min="16139" max="16139" width="5.6640625" style="795" customWidth="1"/>
    <col min="16140" max="16140" width="3.109375" style="795" customWidth="1"/>
    <col min="16141" max="16146" width="4.6640625" style="795" customWidth="1"/>
    <col min="16147" max="16147" width="1.6640625" style="795" customWidth="1"/>
    <col min="16148" max="16149" width="9" style="795"/>
    <col min="16150" max="16150" width="18.44140625" style="795" bestFit="1" customWidth="1"/>
    <col min="16151" max="16151" width="29.88671875" style="795" bestFit="1" customWidth="1"/>
    <col min="16152" max="16152" width="30.33203125" style="795" bestFit="1" customWidth="1"/>
    <col min="16153" max="16384" width="9" style="795"/>
  </cols>
  <sheetData>
    <row r="1" spans="2:24">
      <c r="B1" s="793" t="s">
        <v>1632</v>
      </c>
      <c r="C1" s="794"/>
      <c r="K1" s="796" t="s">
        <v>544</v>
      </c>
      <c r="L1" s="1741"/>
      <c r="M1" s="1741"/>
      <c r="N1" s="797" t="s">
        <v>34</v>
      </c>
      <c r="O1" s="598"/>
      <c r="P1" s="797" t="s">
        <v>392</v>
      </c>
      <c r="Q1" s="598"/>
      <c r="R1" s="797" t="s">
        <v>241</v>
      </c>
    </row>
    <row r="2" spans="2:24" ht="19.2">
      <c r="B2" s="1742" t="s">
        <v>1633</v>
      </c>
      <c r="C2" s="1742"/>
      <c r="D2" s="1742"/>
      <c r="E2" s="1742"/>
      <c r="F2" s="1742"/>
      <c r="G2" s="1742"/>
      <c r="H2" s="1742"/>
      <c r="I2" s="1742"/>
      <c r="J2" s="1742"/>
      <c r="K2" s="1742"/>
      <c r="L2" s="1742"/>
      <c r="M2" s="1742"/>
      <c r="N2" s="1742"/>
      <c r="O2" s="1742"/>
      <c r="P2" s="1742"/>
      <c r="Q2" s="1742"/>
      <c r="R2" s="1742"/>
    </row>
    <row r="3" spans="2:24" ht="7.5" customHeight="1">
      <c r="B3" s="798"/>
      <c r="C3" s="798"/>
      <c r="D3" s="798"/>
      <c r="E3" s="798"/>
      <c r="F3" s="798"/>
      <c r="G3" s="798"/>
      <c r="H3" s="798"/>
      <c r="I3" s="798"/>
      <c r="J3" s="798"/>
      <c r="K3" s="798"/>
      <c r="L3" s="798"/>
      <c r="M3" s="798"/>
      <c r="N3" s="798"/>
      <c r="O3" s="798"/>
      <c r="P3" s="798"/>
      <c r="Q3" s="798"/>
      <c r="R3" s="798"/>
    </row>
    <row r="4" spans="2:24" ht="25.2" customHeight="1">
      <c r="I4" s="796" t="s">
        <v>92</v>
      </c>
      <c r="J4" s="1743"/>
      <c r="K4" s="1743"/>
      <c r="L4" s="1743"/>
      <c r="M4" s="1743"/>
      <c r="N4" s="1743"/>
      <c r="O4" s="1743"/>
      <c r="P4" s="1743"/>
      <c r="Q4" s="1743"/>
      <c r="R4" s="1743"/>
    </row>
    <row r="5" spans="2:24" ht="25.2" customHeight="1">
      <c r="I5" s="796" t="s">
        <v>1562</v>
      </c>
      <c r="J5" s="1744"/>
      <c r="K5" s="1744"/>
      <c r="L5" s="1744"/>
      <c r="M5" s="1744"/>
      <c r="N5" s="1744"/>
      <c r="O5" s="1744"/>
      <c r="P5" s="1744"/>
      <c r="Q5" s="1744"/>
      <c r="R5" s="1744"/>
    </row>
    <row r="6" spans="2:24" ht="25.2" customHeight="1">
      <c r="I6" s="796" t="s">
        <v>1634</v>
      </c>
      <c r="J6" s="1744"/>
      <c r="K6" s="1744"/>
      <c r="L6" s="1744"/>
      <c r="M6" s="1744"/>
      <c r="N6" s="1744"/>
      <c r="O6" s="1744"/>
      <c r="P6" s="1744"/>
      <c r="Q6" s="1744"/>
      <c r="R6" s="1744"/>
    </row>
    <row r="7" spans="2:24" ht="9" customHeight="1">
      <c r="I7" s="796"/>
      <c r="J7" s="799"/>
      <c r="K7" s="799"/>
      <c r="L7" s="799"/>
      <c r="M7" s="799"/>
      <c r="N7" s="799"/>
      <c r="O7" s="799"/>
      <c r="P7" s="799"/>
      <c r="Q7" s="799"/>
      <c r="R7" s="799"/>
    </row>
    <row r="8" spans="2:24">
      <c r="B8" s="1745" t="s">
        <v>1635</v>
      </c>
      <c r="C8" s="1745"/>
      <c r="D8" s="1745"/>
      <c r="E8" s="800"/>
      <c r="F8" s="1746" t="s">
        <v>1636</v>
      </c>
      <c r="G8" s="1746"/>
      <c r="H8" s="1746"/>
      <c r="I8" s="1746"/>
    </row>
    <row r="9" spans="2:24" hidden="1">
      <c r="E9" s="800"/>
      <c r="F9" s="1747" t="s">
        <v>1443</v>
      </c>
      <c r="G9" s="1747"/>
      <c r="H9" s="1747"/>
      <c r="I9" s="1747"/>
    </row>
    <row r="10" spans="2:24" ht="9" customHeight="1"/>
    <row r="11" spans="2:24">
      <c r="B11" s="801" t="s">
        <v>1637</v>
      </c>
      <c r="F11" s="1748" t="s">
        <v>1200</v>
      </c>
      <c r="G11" s="1748"/>
      <c r="H11" s="1748"/>
      <c r="I11" s="1748"/>
      <c r="J11" s="796" t="s">
        <v>1638</v>
      </c>
      <c r="K11" s="677"/>
    </row>
    <row r="12" spans="2:24" ht="9" customHeight="1"/>
    <row r="13" spans="2:24">
      <c r="B13" s="801" t="s">
        <v>1639</v>
      </c>
    </row>
    <row r="14" spans="2:24">
      <c r="B14" s="598" t="s">
        <v>121</v>
      </c>
      <c r="C14" s="1749" t="s">
        <v>1640</v>
      </c>
      <c r="D14" s="1749"/>
      <c r="E14" s="1749"/>
      <c r="F14" s="1749"/>
      <c r="G14" s="1749"/>
      <c r="H14" s="1749"/>
      <c r="I14" s="1749"/>
      <c r="J14" s="1749"/>
      <c r="K14" s="1749"/>
      <c r="M14" s="1750" t="s">
        <v>1641</v>
      </c>
      <c r="N14" s="1751"/>
      <c r="O14" s="1751"/>
      <c r="P14" s="1751"/>
      <c r="Q14" s="1751"/>
      <c r="R14" s="1752"/>
    </row>
    <row r="15" spans="2:24" ht="80.099999999999994" customHeight="1">
      <c r="B15" s="802"/>
      <c r="C15" s="1753" t="s">
        <v>1642</v>
      </c>
      <c r="D15" s="1753"/>
      <c r="E15" s="802"/>
      <c r="F15" s="1754" t="s">
        <v>1643</v>
      </c>
      <c r="G15" s="1754"/>
      <c r="H15" s="1755" t="s">
        <v>1644</v>
      </c>
      <c r="I15" s="1755"/>
      <c r="J15" s="1753" t="s">
        <v>1645</v>
      </c>
      <c r="K15" s="1753"/>
      <c r="M15" s="1756" t="str">
        <f>F8</f>
        <v>介護福祉士</v>
      </c>
      <c r="N15" s="1757"/>
      <c r="O15" s="1758"/>
      <c r="P15" s="1756" t="str">
        <f>F9</f>
        <v>介護職員</v>
      </c>
      <c r="Q15" s="1757"/>
      <c r="R15" s="1758"/>
    </row>
    <row r="16" spans="2:24" ht="26.1" customHeight="1">
      <c r="B16" s="803" t="s">
        <v>1646</v>
      </c>
      <c r="C16" s="1759"/>
      <c r="D16" s="1760" t="s">
        <v>235</v>
      </c>
      <c r="E16" s="804" t="str">
        <f>$F$8</f>
        <v>介護福祉士</v>
      </c>
      <c r="F16" s="805"/>
      <c r="G16" s="806" t="s">
        <v>89</v>
      </c>
      <c r="H16" s="805"/>
      <c r="I16" s="806" t="s">
        <v>235</v>
      </c>
      <c r="J16" s="805"/>
      <c r="K16" s="806" t="s">
        <v>235</v>
      </c>
      <c r="M16" s="1762" t="str">
        <f>IF(C16="","",F16+ROUNDDOWN((H16+J16)/C16,1))</f>
        <v/>
      </c>
      <c r="N16" s="1763"/>
      <c r="O16" s="1764"/>
      <c r="P16" s="1762" t="str">
        <f>IF(C16="","",F17+ROUNDDOWN((H17+J17)/C16,1))</f>
        <v/>
      </c>
      <c r="Q16" s="1763"/>
      <c r="R16" s="1764"/>
      <c r="V16" s="807"/>
      <c r="W16" s="676" t="s">
        <v>1647</v>
      </c>
      <c r="X16" s="676" t="s">
        <v>1648</v>
      </c>
    </row>
    <row r="17" spans="2:24" ht="26.1" customHeight="1">
      <c r="B17" s="808" t="s">
        <v>1649</v>
      </c>
      <c r="C17" s="1759"/>
      <c r="D17" s="1761"/>
      <c r="E17" s="809" t="str">
        <f>$F$9</f>
        <v>介護職員</v>
      </c>
      <c r="F17" s="810"/>
      <c r="G17" s="811" t="s">
        <v>89</v>
      </c>
      <c r="H17" s="810"/>
      <c r="I17" s="811" t="s">
        <v>235</v>
      </c>
      <c r="J17" s="810"/>
      <c r="K17" s="811" t="s">
        <v>235</v>
      </c>
      <c r="M17" s="1765"/>
      <c r="N17" s="1766"/>
      <c r="O17" s="1767"/>
      <c r="P17" s="1765"/>
      <c r="Q17" s="1766"/>
      <c r="R17" s="1767"/>
      <c r="V17" s="1768" t="s">
        <v>1650</v>
      </c>
      <c r="W17" s="807" t="s">
        <v>1636</v>
      </c>
      <c r="X17" s="807" t="s">
        <v>397</v>
      </c>
    </row>
    <row r="18" spans="2:24" ht="26.1" customHeight="1">
      <c r="B18" s="812"/>
      <c r="C18" s="1759"/>
      <c r="D18" s="1760" t="s">
        <v>235</v>
      </c>
      <c r="E18" s="813" t="str">
        <f>$F$8</f>
        <v>介護福祉士</v>
      </c>
      <c r="F18" s="814"/>
      <c r="G18" s="815" t="s">
        <v>89</v>
      </c>
      <c r="H18" s="805"/>
      <c r="I18" s="815" t="s">
        <v>235</v>
      </c>
      <c r="J18" s="805"/>
      <c r="K18" s="815" t="s">
        <v>235</v>
      </c>
      <c r="M18" s="1762" t="str">
        <f>IF(C18="","",F18+ROUNDDOWN((H18+J18)/C18,1))</f>
        <v/>
      </c>
      <c r="N18" s="1763"/>
      <c r="O18" s="1764"/>
      <c r="P18" s="1762" t="str">
        <f>IF(C18="","",F19+ROUNDDOWN((H19+J19)/C18,1))</f>
        <v/>
      </c>
      <c r="Q18" s="1763"/>
      <c r="R18" s="1764"/>
      <c r="V18" s="1769"/>
      <c r="W18" s="807" t="s">
        <v>1651</v>
      </c>
      <c r="X18" s="807" t="s">
        <v>1652</v>
      </c>
    </row>
    <row r="19" spans="2:24" ht="26.1" customHeight="1">
      <c r="B19" s="808" t="s">
        <v>1201</v>
      </c>
      <c r="C19" s="1759"/>
      <c r="D19" s="1761"/>
      <c r="E19" s="809" t="str">
        <f>$F$9</f>
        <v>介護職員</v>
      </c>
      <c r="F19" s="810"/>
      <c r="G19" s="811" t="s">
        <v>89</v>
      </c>
      <c r="H19" s="810"/>
      <c r="I19" s="811" t="s">
        <v>235</v>
      </c>
      <c r="J19" s="810"/>
      <c r="K19" s="811" t="s">
        <v>235</v>
      </c>
      <c r="M19" s="1765"/>
      <c r="N19" s="1766"/>
      <c r="O19" s="1767"/>
      <c r="P19" s="1765"/>
      <c r="Q19" s="1766"/>
      <c r="R19" s="1767"/>
      <c r="V19" s="1769"/>
      <c r="W19" s="807" t="s">
        <v>1653</v>
      </c>
      <c r="X19" s="807" t="s">
        <v>1103</v>
      </c>
    </row>
    <row r="20" spans="2:24" ht="26.1" customHeight="1">
      <c r="B20" s="812"/>
      <c r="C20" s="1759"/>
      <c r="D20" s="1760" t="s">
        <v>235</v>
      </c>
      <c r="E20" s="813" t="str">
        <f>$F$8</f>
        <v>介護福祉士</v>
      </c>
      <c r="F20" s="814"/>
      <c r="G20" s="815" t="s">
        <v>89</v>
      </c>
      <c r="H20" s="805"/>
      <c r="I20" s="815" t="s">
        <v>235</v>
      </c>
      <c r="J20" s="805"/>
      <c r="K20" s="815" t="s">
        <v>235</v>
      </c>
      <c r="M20" s="1762" t="str">
        <f>IF(C20="","",F20+ROUNDDOWN((H20+J20)/C20,1))</f>
        <v/>
      </c>
      <c r="N20" s="1763"/>
      <c r="O20" s="1764"/>
      <c r="P20" s="1762" t="str">
        <f>IF(C20="","",F21+ROUNDDOWN((H21+J21)/C20,1))</f>
        <v/>
      </c>
      <c r="Q20" s="1763"/>
      <c r="R20" s="1764"/>
      <c r="V20" s="1769"/>
      <c r="W20" s="807" t="s">
        <v>1103</v>
      </c>
      <c r="X20" s="807" t="s">
        <v>1103</v>
      </c>
    </row>
    <row r="21" spans="2:24" ht="26.1" customHeight="1">
      <c r="B21" s="808" t="s">
        <v>1202</v>
      </c>
      <c r="C21" s="1759"/>
      <c r="D21" s="1761"/>
      <c r="E21" s="809" t="str">
        <f>$F$9</f>
        <v>介護職員</v>
      </c>
      <c r="F21" s="810"/>
      <c r="G21" s="811" t="s">
        <v>89</v>
      </c>
      <c r="H21" s="810"/>
      <c r="I21" s="811" t="s">
        <v>235</v>
      </c>
      <c r="J21" s="810"/>
      <c r="K21" s="811" t="s">
        <v>235</v>
      </c>
      <c r="M21" s="1765"/>
      <c r="N21" s="1766"/>
      <c r="O21" s="1767"/>
      <c r="P21" s="1765"/>
      <c r="Q21" s="1766"/>
      <c r="R21" s="1767"/>
      <c r="V21" s="1769"/>
      <c r="W21" s="807" t="s">
        <v>1103</v>
      </c>
      <c r="X21" s="807" t="s">
        <v>1103</v>
      </c>
    </row>
    <row r="22" spans="2:24" ht="26.1" customHeight="1">
      <c r="B22" s="812"/>
      <c r="C22" s="1759"/>
      <c r="D22" s="1760" t="s">
        <v>235</v>
      </c>
      <c r="E22" s="813" t="str">
        <f>$F$8</f>
        <v>介護福祉士</v>
      </c>
      <c r="F22" s="814"/>
      <c r="G22" s="815" t="s">
        <v>89</v>
      </c>
      <c r="H22" s="805"/>
      <c r="I22" s="815" t="s">
        <v>235</v>
      </c>
      <c r="J22" s="805"/>
      <c r="K22" s="815" t="s">
        <v>235</v>
      </c>
      <c r="M22" s="1762" t="str">
        <f>IF(C22="","",F22+ROUNDDOWN((H22+J22)/C22,1))</f>
        <v/>
      </c>
      <c r="N22" s="1763"/>
      <c r="O22" s="1764"/>
      <c r="P22" s="1762" t="str">
        <f>IF(C22="","",F23+ROUNDDOWN((H23+J23)/C22,1))</f>
        <v/>
      </c>
      <c r="Q22" s="1763"/>
      <c r="R22" s="1764"/>
      <c r="V22" s="1770"/>
      <c r="W22" s="807" t="s">
        <v>1103</v>
      </c>
      <c r="X22" s="807" t="s">
        <v>1103</v>
      </c>
    </row>
    <row r="23" spans="2:24" ht="26.1" customHeight="1">
      <c r="B23" s="808" t="s">
        <v>1203</v>
      </c>
      <c r="C23" s="1759"/>
      <c r="D23" s="1761"/>
      <c r="E23" s="809" t="str">
        <f>$F$9</f>
        <v>介護職員</v>
      </c>
      <c r="F23" s="810"/>
      <c r="G23" s="811" t="s">
        <v>89</v>
      </c>
      <c r="H23" s="810"/>
      <c r="I23" s="811" t="s">
        <v>235</v>
      </c>
      <c r="J23" s="810"/>
      <c r="K23" s="811" t="s">
        <v>235</v>
      </c>
      <c r="M23" s="1765"/>
      <c r="N23" s="1766"/>
      <c r="O23" s="1767"/>
      <c r="P23" s="1765"/>
      <c r="Q23" s="1766"/>
      <c r="R23" s="1767"/>
    </row>
    <row r="24" spans="2:24" ht="26.1" customHeight="1">
      <c r="B24" s="812"/>
      <c r="C24" s="1759"/>
      <c r="D24" s="1760" t="s">
        <v>235</v>
      </c>
      <c r="E24" s="813" t="str">
        <f>$F$8</f>
        <v>介護福祉士</v>
      </c>
      <c r="F24" s="814"/>
      <c r="G24" s="815" t="s">
        <v>89</v>
      </c>
      <c r="H24" s="805"/>
      <c r="I24" s="815" t="s">
        <v>235</v>
      </c>
      <c r="J24" s="805"/>
      <c r="K24" s="815" t="s">
        <v>235</v>
      </c>
      <c r="M24" s="1762" t="str">
        <f>IF(C24="","",F24+ROUNDDOWN((H24+J24)/C24,1))</f>
        <v/>
      </c>
      <c r="N24" s="1763"/>
      <c r="O24" s="1764"/>
      <c r="P24" s="1762" t="str">
        <f>IF(C24="","",F25+ROUNDDOWN((H25+J25)/C24,1))</f>
        <v/>
      </c>
      <c r="Q24" s="1763"/>
      <c r="R24" s="1764"/>
    </row>
    <row r="25" spans="2:24" ht="26.1" customHeight="1">
      <c r="B25" s="808" t="s">
        <v>1204</v>
      </c>
      <c r="C25" s="1759"/>
      <c r="D25" s="1761"/>
      <c r="E25" s="809" t="str">
        <f>$F$9</f>
        <v>介護職員</v>
      </c>
      <c r="F25" s="810"/>
      <c r="G25" s="811" t="s">
        <v>89</v>
      </c>
      <c r="H25" s="810"/>
      <c r="I25" s="811" t="s">
        <v>235</v>
      </c>
      <c r="J25" s="810"/>
      <c r="K25" s="811" t="s">
        <v>235</v>
      </c>
      <c r="M25" s="1765"/>
      <c r="N25" s="1766"/>
      <c r="O25" s="1767"/>
      <c r="P25" s="1765"/>
      <c r="Q25" s="1766"/>
      <c r="R25" s="1767"/>
    </row>
    <row r="26" spans="2:24" ht="26.1" customHeight="1">
      <c r="B26" s="812"/>
      <c r="C26" s="1759"/>
      <c r="D26" s="1760" t="s">
        <v>235</v>
      </c>
      <c r="E26" s="813" t="str">
        <f>$F$8</f>
        <v>介護福祉士</v>
      </c>
      <c r="F26" s="814"/>
      <c r="G26" s="815" t="s">
        <v>89</v>
      </c>
      <c r="H26" s="805"/>
      <c r="I26" s="815" t="s">
        <v>235</v>
      </c>
      <c r="J26" s="805"/>
      <c r="K26" s="815" t="s">
        <v>235</v>
      </c>
      <c r="M26" s="1762" t="str">
        <f>IF(C26="","",F26+ROUNDDOWN((H26+J26)/C26,1))</f>
        <v/>
      </c>
      <c r="N26" s="1763"/>
      <c r="O26" s="1764"/>
      <c r="P26" s="1762" t="str">
        <f>IF(C26="","",F27+ROUNDDOWN((H27+J27)/C26,1))</f>
        <v/>
      </c>
      <c r="Q26" s="1763"/>
      <c r="R26" s="1764"/>
    </row>
    <row r="27" spans="2:24" ht="26.1" customHeight="1">
      <c r="B27" s="808" t="s">
        <v>1205</v>
      </c>
      <c r="C27" s="1759"/>
      <c r="D27" s="1761"/>
      <c r="E27" s="809" t="str">
        <f>$F$9</f>
        <v>介護職員</v>
      </c>
      <c r="F27" s="810"/>
      <c r="G27" s="811" t="s">
        <v>89</v>
      </c>
      <c r="H27" s="810"/>
      <c r="I27" s="811" t="s">
        <v>235</v>
      </c>
      <c r="J27" s="810"/>
      <c r="K27" s="811" t="s">
        <v>235</v>
      </c>
      <c r="M27" s="1765"/>
      <c r="N27" s="1766"/>
      <c r="O27" s="1767"/>
      <c r="P27" s="1765"/>
      <c r="Q27" s="1766"/>
      <c r="R27" s="1767"/>
    </row>
    <row r="28" spans="2:24" ht="26.1" customHeight="1">
      <c r="B28" s="812"/>
      <c r="C28" s="1759"/>
      <c r="D28" s="1760" t="s">
        <v>235</v>
      </c>
      <c r="E28" s="813" t="str">
        <f>$F$8</f>
        <v>介護福祉士</v>
      </c>
      <c r="F28" s="814"/>
      <c r="G28" s="815" t="s">
        <v>89</v>
      </c>
      <c r="H28" s="805"/>
      <c r="I28" s="815" t="s">
        <v>235</v>
      </c>
      <c r="J28" s="805"/>
      <c r="K28" s="815" t="s">
        <v>235</v>
      </c>
      <c r="M28" s="1762" t="str">
        <f>IF(C28="","",F28+ROUNDDOWN((H28+J28)/C28,1))</f>
        <v/>
      </c>
      <c r="N28" s="1763"/>
      <c r="O28" s="1764"/>
      <c r="P28" s="1762" t="str">
        <f>IF(C28="","",F29+ROUNDDOWN((H29+J29)/C28,1))</f>
        <v/>
      </c>
      <c r="Q28" s="1763"/>
      <c r="R28" s="1764"/>
    </row>
    <row r="29" spans="2:24" ht="26.1" customHeight="1">
      <c r="B29" s="808" t="s">
        <v>1206</v>
      </c>
      <c r="C29" s="1759"/>
      <c r="D29" s="1761"/>
      <c r="E29" s="809" t="str">
        <f>$F$9</f>
        <v>介護職員</v>
      </c>
      <c r="F29" s="810"/>
      <c r="G29" s="811" t="s">
        <v>89</v>
      </c>
      <c r="H29" s="810"/>
      <c r="I29" s="811" t="s">
        <v>235</v>
      </c>
      <c r="J29" s="810"/>
      <c r="K29" s="811" t="s">
        <v>235</v>
      </c>
      <c r="M29" s="1765"/>
      <c r="N29" s="1766"/>
      <c r="O29" s="1767"/>
      <c r="P29" s="1765"/>
      <c r="Q29" s="1766"/>
      <c r="R29" s="1767"/>
    </row>
    <row r="30" spans="2:24" ht="26.1" customHeight="1">
      <c r="B30" s="812"/>
      <c r="C30" s="1759"/>
      <c r="D30" s="1760" t="s">
        <v>235</v>
      </c>
      <c r="E30" s="813" t="str">
        <f>$F$8</f>
        <v>介護福祉士</v>
      </c>
      <c r="F30" s="814"/>
      <c r="G30" s="815" t="s">
        <v>89</v>
      </c>
      <c r="H30" s="805"/>
      <c r="I30" s="815" t="s">
        <v>235</v>
      </c>
      <c r="J30" s="805"/>
      <c r="K30" s="815" t="s">
        <v>235</v>
      </c>
      <c r="M30" s="1762" t="str">
        <f>IF(C30="","",F30+ROUNDDOWN((H30+J30)/C30,1))</f>
        <v/>
      </c>
      <c r="N30" s="1763"/>
      <c r="O30" s="1764"/>
      <c r="P30" s="1762" t="str">
        <f>IF(C30="","",F31+ROUNDDOWN((H31+J31)/C30,1))</f>
        <v/>
      </c>
      <c r="Q30" s="1763"/>
      <c r="R30" s="1764"/>
    </row>
    <row r="31" spans="2:24" ht="26.1" customHeight="1">
      <c r="B31" s="808" t="s">
        <v>665</v>
      </c>
      <c r="C31" s="1759"/>
      <c r="D31" s="1761"/>
      <c r="E31" s="809" t="str">
        <f>$F$9</f>
        <v>介護職員</v>
      </c>
      <c r="F31" s="810"/>
      <c r="G31" s="811" t="s">
        <v>89</v>
      </c>
      <c r="H31" s="810"/>
      <c r="I31" s="811" t="s">
        <v>235</v>
      </c>
      <c r="J31" s="810"/>
      <c r="K31" s="811" t="s">
        <v>235</v>
      </c>
      <c r="M31" s="1765"/>
      <c r="N31" s="1766"/>
      <c r="O31" s="1767"/>
      <c r="P31" s="1765"/>
      <c r="Q31" s="1766"/>
      <c r="R31" s="1767"/>
    </row>
    <row r="32" spans="2:24" ht="26.1" customHeight="1">
      <c r="B32" s="812"/>
      <c r="C32" s="1759"/>
      <c r="D32" s="1760" t="s">
        <v>235</v>
      </c>
      <c r="E32" s="813" t="str">
        <f>$F$8</f>
        <v>介護福祉士</v>
      </c>
      <c r="F32" s="814"/>
      <c r="G32" s="815" t="s">
        <v>89</v>
      </c>
      <c r="H32" s="805"/>
      <c r="I32" s="815" t="s">
        <v>235</v>
      </c>
      <c r="J32" s="805"/>
      <c r="K32" s="815" t="s">
        <v>235</v>
      </c>
      <c r="M32" s="1762" t="str">
        <f>IF(C32="","",F32+ROUNDDOWN((H32+J32)/C32,1))</f>
        <v/>
      </c>
      <c r="N32" s="1763"/>
      <c r="O32" s="1764"/>
      <c r="P32" s="1762" t="str">
        <f>IF(C32="","",F33+ROUNDDOWN((H33+J33)/C32,1))</f>
        <v/>
      </c>
      <c r="Q32" s="1763"/>
      <c r="R32" s="1764"/>
    </row>
    <row r="33" spans="2:19" ht="26.1" customHeight="1">
      <c r="B33" s="808" t="s">
        <v>666</v>
      </c>
      <c r="C33" s="1759"/>
      <c r="D33" s="1761"/>
      <c r="E33" s="809" t="str">
        <f>$F$9</f>
        <v>介護職員</v>
      </c>
      <c r="F33" s="810"/>
      <c r="G33" s="811" t="s">
        <v>89</v>
      </c>
      <c r="H33" s="810"/>
      <c r="I33" s="811" t="s">
        <v>235</v>
      </c>
      <c r="J33" s="810"/>
      <c r="K33" s="811" t="s">
        <v>235</v>
      </c>
      <c r="M33" s="1765"/>
      <c r="N33" s="1766"/>
      <c r="O33" s="1767"/>
      <c r="P33" s="1765"/>
      <c r="Q33" s="1766"/>
      <c r="R33" s="1767"/>
    </row>
    <row r="34" spans="2:19" ht="26.1" customHeight="1">
      <c r="B34" s="803" t="s">
        <v>1646</v>
      </c>
      <c r="C34" s="1759"/>
      <c r="D34" s="1760" t="s">
        <v>235</v>
      </c>
      <c r="E34" s="813" t="str">
        <f>$F$8</f>
        <v>介護福祉士</v>
      </c>
      <c r="F34" s="814"/>
      <c r="G34" s="815" t="s">
        <v>89</v>
      </c>
      <c r="H34" s="805"/>
      <c r="I34" s="815" t="s">
        <v>235</v>
      </c>
      <c r="J34" s="805"/>
      <c r="K34" s="815" t="s">
        <v>235</v>
      </c>
      <c r="M34" s="1762" t="str">
        <f>IF(C34="","",F34+ROUNDDOWN((H34+J34)/C34,1))</f>
        <v/>
      </c>
      <c r="N34" s="1763"/>
      <c r="O34" s="1764"/>
      <c r="P34" s="1762" t="str">
        <f>IF(C34="","",F35+ROUNDDOWN((H35+J35)/C34,1))</f>
        <v/>
      </c>
      <c r="Q34" s="1763"/>
      <c r="R34" s="1764"/>
    </row>
    <row r="35" spans="2:19" ht="26.1" customHeight="1">
      <c r="B35" s="808" t="s">
        <v>1207</v>
      </c>
      <c r="C35" s="1759"/>
      <c r="D35" s="1761"/>
      <c r="E35" s="809" t="str">
        <f>$F$9</f>
        <v>介護職員</v>
      </c>
      <c r="F35" s="810"/>
      <c r="G35" s="811" t="s">
        <v>89</v>
      </c>
      <c r="H35" s="810"/>
      <c r="I35" s="811" t="s">
        <v>235</v>
      </c>
      <c r="J35" s="810"/>
      <c r="K35" s="811" t="s">
        <v>235</v>
      </c>
      <c r="M35" s="1765"/>
      <c r="N35" s="1766"/>
      <c r="O35" s="1767"/>
      <c r="P35" s="1765"/>
      <c r="Q35" s="1766"/>
      <c r="R35" s="1767"/>
    </row>
    <row r="36" spans="2:19" ht="26.1" customHeight="1">
      <c r="B36" s="812"/>
      <c r="C36" s="1759"/>
      <c r="D36" s="1760" t="s">
        <v>235</v>
      </c>
      <c r="E36" s="813" t="str">
        <f>$F$8</f>
        <v>介護福祉士</v>
      </c>
      <c r="F36" s="814"/>
      <c r="G36" s="815" t="s">
        <v>89</v>
      </c>
      <c r="H36" s="805"/>
      <c r="I36" s="815" t="s">
        <v>235</v>
      </c>
      <c r="J36" s="805"/>
      <c r="K36" s="815" t="s">
        <v>235</v>
      </c>
      <c r="M36" s="1762" t="str">
        <f>IF(C36="","",F36+ROUNDDOWN((H36+J36)/C36,1))</f>
        <v/>
      </c>
      <c r="N36" s="1763"/>
      <c r="O36" s="1764"/>
      <c r="P36" s="1762" t="str">
        <f>IF(C36="","",F37+ROUNDDOWN((H37+J37)/C36,1))</f>
        <v/>
      </c>
      <c r="Q36" s="1763"/>
      <c r="R36" s="1764"/>
    </row>
    <row r="37" spans="2:19" ht="26.1" customHeight="1">
      <c r="B37" s="808" t="s">
        <v>1208</v>
      </c>
      <c r="C37" s="1759"/>
      <c r="D37" s="1761"/>
      <c r="E37" s="809" t="str">
        <f>$F$9</f>
        <v>介護職員</v>
      </c>
      <c r="F37" s="810"/>
      <c r="G37" s="811" t="s">
        <v>89</v>
      </c>
      <c r="H37" s="810"/>
      <c r="I37" s="811" t="s">
        <v>235</v>
      </c>
      <c r="J37" s="810"/>
      <c r="K37" s="811" t="s">
        <v>235</v>
      </c>
      <c r="M37" s="1765"/>
      <c r="N37" s="1766"/>
      <c r="O37" s="1767"/>
      <c r="P37" s="1765"/>
      <c r="Q37" s="1766"/>
      <c r="R37" s="1767"/>
    </row>
    <row r="38" spans="2:19" ht="6.75" customHeight="1">
      <c r="B38" s="816"/>
      <c r="C38" s="817"/>
      <c r="D38" s="816"/>
      <c r="E38" s="818"/>
      <c r="F38" s="819"/>
      <c r="G38" s="820"/>
      <c r="H38" s="819"/>
      <c r="I38" s="820"/>
      <c r="J38" s="821"/>
      <c r="K38" s="822"/>
      <c r="L38" s="822"/>
      <c r="M38" s="823"/>
      <c r="N38" s="823"/>
      <c r="O38" s="823"/>
      <c r="P38" s="823"/>
      <c r="Q38" s="823"/>
      <c r="R38" s="823"/>
    </row>
    <row r="39" spans="2:19" ht="20.100000000000001" customHeight="1">
      <c r="H39" s="797"/>
      <c r="J39" s="1761" t="s">
        <v>664</v>
      </c>
      <c r="K39" s="1761"/>
      <c r="L39" s="1761"/>
      <c r="M39" s="1765" t="str">
        <f>IF(SUM(M16:O37)=0,"",SUM(M16:O37))</f>
        <v/>
      </c>
      <c r="N39" s="1766"/>
      <c r="O39" s="1767"/>
      <c r="P39" s="1765" t="str">
        <f>IF(SUM(P16:R37)=0,"",SUM(P16:R37))</f>
        <v/>
      </c>
      <c r="Q39" s="1766"/>
      <c r="R39" s="1766"/>
      <c r="S39" s="824"/>
    </row>
    <row r="40" spans="2:19" ht="20.100000000000001" customHeight="1">
      <c r="H40" s="797"/>
      <c r="J40" s="1747" t="s">
        <v>1654</v>
      </c>
      <c r="K40" s="1747"/>
      <c r="L40" s="1747"/>
      <c r="M40" s="1771" t="str">
        <f>IF(M39="","",ROUNDDOWN(M39/$K$11,1))</f>
        <v/>
      </c>
      <c r="N40" s="1772"/>
      <c r="O40" s="1773"/>
      <c r="P40" s="1771" t="str">
        <f>IF(P39="","",ROUNDDOWN(P39/$K$11,1))</f>
        <v/>
      </c>
      <c r="Q40" s="1772"/>
      <c r="R40" s="1773"/>
    </row>
    <row r="41" spans="2:19" ht="18.75" customHeight="1">
      <c r="J41" s="1774" t="str">
        <f>$M$15</f>
        <v>介護福祉士</v>
      </c>
      <c r="K41" s="1775"/>
      <c r="L41" s="1775"/>
      <c r="M41" s="1775"/>
      <c r="N41" s="1775"/>
      <c r="O41" s="1776"/>
      <c r="P41" s="1777" t="str">
        <f>IF(M40="","",M40/P40)</f>
        <v/>
      </c>
      <c r="Q41" s="1778"/>
      <c r="R41" s="1779"/>
    </row>
    <row r="42" spans="2:19" ht="18.75" customHeight="1">
      <c r="J42" s="1783" t="s">
        <v>1655</v>
      </c>
      <c r="K42" s="1784"/>
      <c r="L42" s="1784"/>
      <c r="M42" s="1784"/>
      <c r="N42" s="1784"/>
      <c r="O42" s="1785"/>
      <c r="P42" s="1780"/>
      <c r="Q42" s="1781"/>
      <c r="R42" s="1782"/>
    </row>
    <row r="43" spans="2:19" ht="18.75" customHeight="1">
      <c r="J43" s="797"/>
      <c r="K43" s="797"/>
      <c r="L43" s="797"/>
      <c r="M43" s="797"/>
      <c r="N43" s="797"/>
      <c r="O43" s="797"/>
      <c r="P43" s="797"/>
      <c r="Q43" s="797"/>
      <c r="R43" s="825"/>
    </row>
    <row r="44" spans="2:19" ht="18.75" customHeight="1">
      <c r="B44" s="598" t="s">
        <v>121</v>
      </c>
      <c r="C44" s="1749" t="s">
        <v>1656</v>
      </c>
      <c r="D44" s="1749"/>
      <c r="E44" s="1749"/>
      <c r="F44" s="1749"/>
      <c r="G44" s="1749"/>
      <c r="H44" s="1749"/>
      <c r="I44" s="1749"/>
      <c r="J44" s="1749"/>
      <c r="K44" s="1749"/>
      <c r="M44" s="1750" t="s">
        <v>1641</v>
      </c>
      <c r="N44" s="1751"/>
      <c r="O44" s="1751"/>
      <c r="P44" s="1751"/>
      <c r="Q44" s="1751"/>
      <c r="R44" s="1752"/>
    </row>
    <row r="45" spans="2:19" ht="79.5" customHeight="1">
      <c r="B45" s="802"/>
      <c r="C45" s="1753" t="s">
        <v>1642</v>
      </c>
      <c r="D45" s="1753"/>
      <c r="E45" s="802"/>
      <c r="F45" s="1754" t="s">
        <v>1643</v>
      </c>
      <c r="G45" s="1754"/>
      <c r="H45" s="1755" t="s">
        <v>1644</v>
      </c>
      <c r="I45" s="1755"/>
      <c r="J45" s="1753" t="s">
        <v>1645</v>
      </c>
      <c r="K45" s="1753"/>
      <c r="M45" s="1756" t="str">
        <f>F8</f>
        <v>介護福祉士</v>
      </c>
      <c r="N45" s="1757"/>
      <c r="O45" s="1758"/>
      <c r="P45" s="1756" t="str">
        <f>F9</f>
        <v>介護職員</v>
      </c>
      <c r="Q45" s="1757"/>
      <c r="R45" s="1758"/>
    </row>
    <row r="46" spans="2:19" ht="25.5" customHeight="1">
      <c r="B46" s="803" t="s">
        <v>1646</v>
      </c>
      <c r="C46" s="1759"/>
      <c r="D46" s="1760" t="s">
        <v>235</v>
      </c>
      <c r="E46" s="826" t="str">
        <f>$F$8</f>
        <v>介護福祉士</v>
      </c>
      <c r="F46" s="805"/>
      <c r="G46" s="806" t="s">
        <v>89</v>
      </c>
      <c r="H46" s="805"/>
      <c r="I46" s="806" t="s">
        <v>235</v>
      </c>
      <c r="J46" s="805"/>
      <c r="K46" s="806" t="s">
        <v>235</v>
      </c>
      <c r="M46" s="1762" t="str">
        <f>IF(C46="","",F46+ROUNDDOWN((H46+J46)/C46,1))</f>
        <v/>
      </c>
      <c r="N46" s="1763"/>
      <c r="O46" s="1764"/>
      <c r="P46" s="1762" t="str">
        <f>IF(C46="","",F47+ROUNDDOWN((H47+J47)/C46,1))</f>
        <v/>
      </c>
      <c r="Q46" s="1763"/>
      <c r="R46" s="1764"/>
    </row>
    <row r="47" spans="2:19" ht="25.5" customHeight="1">
      <c r="B47" s="827" t="s">
        <v>1649</v>
      </c>
      <c r="C47" s="1759"/>
      <c r="D47" s="1761"/>
      <c r="E47" s="828" t="str">
        <f>$F$9</f>
        <v>介護職員</v>
      </c>
      <c r="F47" s="810"/>
      <c r="G47" s="811" t="s">
        <v>89</v>
      </c>
      <c r="H47" s="810"/>
      <c r="I47" s="811" t="s">
        <v>235</v>
      </c>
      <c r="J47" s="810"/>
      <c r="K47" s="811" t="s">
        <v>235</v>
      </c>
      <c r="M47" s="1765"/>
      <c r="N47" s="1766"/>
      <c r="O47" s="1767"/>
      <c r="P47" s="1765"/>
      <c r="Q47" s="1766"/>
      <c r="R47" s="1767"/>
    </row>
    <row r="48" spans="2:19" ht="25.5" customHeight="1">
      <c r="B48" s="829"/>
      <c r="C48" s="1759"/>
      <c r="D48" s="1760" t="s">
        <v>235</v>
      </c>
      <c r="E48" s="830" t="str">
        <f>$F$8</f>
        <v>介護福祉士</v>
      </c>
      <c r="F48" s="814"/>
      <c r="G48" s="815" t="s">
        <v>89</v>
      </c>
      <c r="H48" s="805"/>
      <c r="I48" s="815" t="s">
        <v>235</v>
      </c>
      <c r="J48" s="805"/>
      <c r="K48" s="815" t="s">
        <v>235</v>
      </c>
      <c r="M48" s="1762" t="str">
        <f>IF(C48="","",F48+ROUNDDOWN((H48+J48)/C48,1))</f>
        <v/>
      </c>
      <c r="N48" s="1763"/>
      <c r="O48" s="1764"/>
      <c r="P48" s="1762" t="str">
        <f>IF(C48="","",F49+ROUNDDOWN((H49+J49)/C48,1))</f>
        <v/>
      </c>
      <c r="Q48" s="1763"/>
      <c r="R48" s="1764"/>
    </row>
    <row r="49" spans="2:18" ht="25.5" customHeight="1">
      <c r="B49" s="827" t="s">
        <v>1201</v>
      </c>
      <c r="C49" s="1759"/>
      <c r="D49" s="1761"/>
      <c r="E49" s="828" t="str">
        <f>$F$9</f>
        <v>介護職員</v>
      </c>
      <c r="F49" s="810"/>
      <c r="G49" s="811" t="s">
        <v>89</v>
      </c>
      <c r="H49" s="810"/>
      <c r="I49" s="811" t="s">
        <v>235</v>
      </c>
      <c r="J49" s="810"/>
      <c r="K49" s="811" t="s">
        <v>235</v>
      </c>
      <c r="M49" s="1765"/>
      <c r="N49" s="1766"/>
      <c r="O49" s="1767"/>
      <c r="P49" s="1765"/>
      <c r="Q49" s="1766"/>
      <c r="R49" s="1767"/>
    </row>
    <row r="50" spans="2:18" ht="25.5" customHeight="1">
      <c r="B50" s="829"/>
      <c r="C50" s="1759"/>
      <c r="D50" s="1760" t="s">
        <v>235</v>
      </c>
      <c r="E50" s="830" t="str">
        <f>$F$8</f>
        <v>介護福祉士</v>
      </c>
      <c r="F50" s="814"/>
      <c r="G50" s="815" t="s">
        <v>89</v>
      </c>
      <c r="H50" s="805"/>
      <c r="I50" s="815" t="s">
        <v>235</v>
      </c>
      <c r="J50" s="805"/>
      <c r="K50" s="815" t="s">
        <v>235</v>
      </c>
      <c r="M50" s="1762" t="str">
        <f>IF(C50="","",F50+ROUNDDOWN((H50+J50)/C50,1))</f>
        <v/>
      </c>
      <c r="N50" s="1763"/>
      <c r="O50" s="1764"/>
      <c r="P50" s="1762" t="str">
        <f>IF(C50="","",F51+ROUNDDOWN((H51+J51)/C50,1))</f>
        <v/>
      </c>
      <c r="Q50" s="1763"/>
      <c r="R50" s="1764"/>
    </row>
    <row r="51" spans="2:18" ht="25.5" customHeight="1">
      <c r="B51" s="827" t="s">
        <v>1202</v>
      </c>
      <c r="C51" s="1759"/>
      <c r="D51" s="1761"/>
      <c r="E51" s="828" t="str">
        <f>$F$9</f>
        <v>介護職員</v>
      </c>
      <c r="F51" s="810"/>
      <c r="G51" s="811" t="s">
        <v>89</v>
      </c>
      <c r="H51" s="810"/>
      <c r="I51" s="811" t="s">
        <v>235</v>
      </c>
      <c r="J51" s="810"/>
      <c r="K51" s="811" t="s">
        <v>235</v>
      </c>
      <c r="M51" s="1765"/>
      <c r="N51" s="1766"/>
      <c r="O51" s="1767"/>
      <c r="P51" s="1765"/>
      <c r="Q51" s="1766"/>
      <c r="R51" s="1767"/>
    </row>
    <row r="52" spans="2:18" ht="6.75" customHeight="1">
      <c r="J52" s="797"/>
      <c r="K52" s="797"/>
      <c r="L52" s="797"/>
      <c r="M52" s="797"/>
      <c r="N52" s="797"/>
      <c r="O52" s="797"/>
      <c r="P52" s="797"/>
      <c r="Q52" s="797"/>
      <c r="R52" s="825"/>
    </row>
    <row r="53" spans="2:18" ht="20.100000000000001" customHeight="1">
      <c r="J53" s="1747" t="s">
        <v>664</v>
      </c>
      <c r="K53" s="1747"/>
      <c r="L53" s="1747"/>
      <c r="M53" s="1771" t="str">
        <f>IF(SUM(M46:O51)=0,"",SUM(M46:O51))</f>
        <v/>
      </c>
      <c r="N53" s="1772"/>
      <c r="O53" s="1773"/>
      <c r="P53" s="1771" t="str">
        <f>IF(SUM(P46:R51)=0,"",SUM(P46:R51))</f>
        <v/>
      </c>
      <c r="Q53" s="1772"/>
      <c r="R53" s="1773"/>
    </row>
    <row r="54" spans="2:18" ht="20.100000000000001" customHeight="1">
      <c r="J54" s="1747" t="s">
        <v>1654</v>
      </c>
      <c r="K54" s="1747"/>
      <c r="L54" s="1747"/>
      <c r="M54" s="1771" t="str">
        <f>IF(M53="","",ROUNDDOWN(M53/3,1))</f>
        <v/>
      </c>
      <c r="N54" s="1772"/>
      <c r="O54" s="1773"/>
      <c r="P54" s="1771" t="str">
        <f>IF(P53="","",ROUNDDOWN(P53/3,1))</f>
        <v/>
      </c>
      <c r="Q54" s="1772"/>
      <c r="R54" s="1773"/>
    </row>
    <row r="55" spans="2:18" ht="18.75" customHeight="1">
      <c r="J55" s="1774" t="str">
        <f>$M$15</f>
        <v>介護福祉士</v>
      </c>
      <c r="K55" s="1775"/>
      <c r="L55" s="1775"/>
      <c r="M55" s="1775"/>
      <c r="N55" s="1775"/>
      <c r="O55" s="1776"/>
      <c r="P55" s="1777" t="str">
        <f>IF(M54="","",M54/P54)</f>
        <v/>
      </c>
      <c r="Q55" s="1778"/>
      <c r="R55" s="1779"/>
    </row>
    <row r="56" spans="2:18" ht="18.75" customHeight="1">
      <c r="J56" s="1783" t="s">
        <v>1655</v>
      </c>
      <c r="K56" s="1784"/>
      <c r="L56" s="1784"/>
      <c r="M56" s="1784"/>
      <c r="N56" s="1784"/>
      <c r="O56" s="1785"/>
      <c r="P56" s="1780"/>
      <c r="Q56" s="1781"/>
      <c r="R56" s="1782"/>
    </row>
    <row r="57" spans="2:18" ht="18.75" customHeight="1">
      <c r="J57" s="797"/>
      <c r="K57" s="797"/>
      <c r="L57" s="797"/>
      <c r="M57" s="797"/>
      <c r="N57" s="797"/>
      <c r="O57" s="797"/>
      <c r="P57" s="797"/>
      <c r="Q57" s="797"/>
      <c r="R57" s="825"/>
    </row>
    <row r="59" spans="2:18">
      <c r="B59" s="795" t="s">
        <v>545</v>
      </c>
    </row>
    <row r="60" spans="2:18">
      <c r="B60" s="1786" t="s">
        <v>1657</v>
      </c>
      <c r="C60" s="1786"/>
      <c r="D60" s="1786"/>
      <c r="E60" s="1786"/>
      <c r="F60" s="1786"/>
      <c r="G60" s="1786"/>
      <c r="H60" s="1786"/>
      <c r="I60" s="1786"/>
      <c r="J60" s="1786"/>
      <c r="K60" s="1786"/>
      <c r="L60" s="1786"/>
      <c r="M60" s="1786"/>
      <c r="N60" s="1786"/>
      <c r="O60" s="1786"/>
      <c r="P60" s="1786"/>
      <c r="Q60" s="1786"/>
      <c r="R60" s="1786"/>
    </row>
    <row r="61" spans="2:18">
      <c r="B61" s="1786" t="s">
        <v>1658</v>
      </c>
      <c r="C61" s="1786"/>
      <c r="D61" s="1786"/>
      <c r="E61" s="1786"/>
      <c r="F61" s="1786"/>
      <c r="G61" s="1786"/>
      <c r="H61" s="1786"/>
      <c r="I61" s="1786"/>
      <c r="J61" s="1786"/>
      <c r="K61" s="1786"/>
      <c r="L61" s="1786"/>
      <c r="M61" s="1786"/>
      <c r="N61" s="1786"/>
      <c r="O61" s="1786"/>
      <c r="P61" s="1786"/>
      <c r="Q61" s="1786"/>
      <c r="R61" s="1786"/>
    </row>
    <row r="62" spans="2:18">
      <c r="B62" s="1786" t="s">
        <v>1659</v>
      </c>
      <c r="C62" s="1786"/>
      <c r="D62" s="1786"/>
      <c r="E62" s="1786"/>
      <c r="F62" s="1786"/>
      <c r="G62" s="1786"/>
      <c r="H62" s="1786"/>
      <c r="I62" s="1786"/>
      <c r="J62" s="1786"/>
      <c r="K62" s="1786"/>
      <c r="L62" s="1786"/>
      <c r="M62" s="1786"/>
      <c r="N62" s="1786"/>
      <c r="O62" s="1786"/>
      <c r="P62" s="1786"/>
      <c r="Q62" s="1786"/>
      <c r="R62" s="1786"/>
    </row>
    <row r="63" spans="2:18">
      <c r="B63" s="831" t="s">
        <v>1660</v>
      </c>
      <c r="C63" s="831"/>
      <c r="D63" s="831"/>
      <c r="E63" s="831"/>
      <c r="F63" s="831"/>
      <c r="G63" s="831"/>
      <c r="H63" s="831"/>
      <c r="I63" s="831"/>
      <c r="J63" s="831"/>
      <c r="K63" s="831"/>
      <c r="L63" s="831"/>
      <c r="M63" s="831"/>
      <c r="N63" s="831"/>
      <c r="O63" s="831"/>
      <c r="P63" s="831"/>
      <c r="Q63" s="831"/>
      <c r="R63" s="831"/>
    </row>
    <row r="64" spans="2:18">
      <c r="B64" s="1786" t="s">
        <v>1661</v>
      </c>
      <c r="C64" s="1786"/>
      <c r="D64" s="1786"/>
      <c r="E64" s="1786"/>
      <c r="F64" s="1786"/>
      <c r="G64" s="1786"/>
      <c r="H64" s="1786"/>
      <c r="I64" s="1786"/>
      <c r="J64" s="1786"/>
      <c r="K64" s="1786"/>
      <c r="L64" s="1786"/>
      <c r="M64" s="1786"/>
      <c r="N64" s="1786"/>
      <c r="O64" s="1786"/>
      <c r="P64" s="1786"/>
      <c r="Q64" s="1786"/>
      <c r="R64" s="1786"/>
    </row>
    <row r="65" spans="2:18">
      <c r="B65" s="1786" t="s">
        <v>1662</v>
      </c>
      <c r="C65" s="1786"/>
      <c r="D65" s="1786"/>
      <c r="E65" s="1786"/>
      <c r="F65" s="1786"/>
      <c r="G65" s="1786"/>
      <c r="H65" s="1786"/>
      <c r="I65" s="1786"/>
      <c r="J65" s="1786"/>
      <c r="K65" s="1786"/>
      <c r="L65" s="1786"/>
      <c r="M65" s="1786"/>
      <c r="N65" s="1786"/>
      <c r="O65" s="1786"/>
      <c r="P65" s="1786"/>
      <c r="Q65" s="1786"/>
      <c r="R65" s="1786"/>
    </row>
    <row r="66" spans="2:18">
      <c r="B66" s="1786" t="s">
        <v>1663</v>
      </c>
      <c r="C66" s="1786"/>
      <c r="D66" s="1786"/>
      <c r="E66" s="1786"/>
      <c r="F66" s="1786"/>
      <c r="G66" s="1786"/>
      <c r="H66" s="1786"/>
      <c r="I66" s="1786"/>
      <c r="J66" s="1786"/>
      <c r="K66" s="1786"/>
      <c r="L66" s="1786"/>
      <c r="M66" s="1786"/>
      <c r="N66" s="1786"/>
      <c r="O66" s="1786"/>
      <c r="P66" s="1786"/>
      <c r="Q66" s="1786"/>
      <c r="R66" s="1786"/>
    </row>
    <row r="67" spans="2:18">
      <c r="B67" s="1786" t="s">
        <v>1664</v>
      </c>
      <c r="C67" s="1786"/>
      <c r="D67" s="1786"/>
      <c r="E67" s="1786"/>
      <c r="F67" s="1786"/>
      <c r="G67" s="1786"/>
      <c r="H67" s="1786"/>
      <c r="I67" s="1786"/>
      <c r="J67" s="1786"/>
      <c r="K67" s="1786"/>
      <c r="L67" s="1786"/>
      <c r="M67" s="1786"/>
      <c r="N67" s="1786"/>
      <c r="O67" s="1786"/>
      <c r="P67" s="1786"/>
      <c r="Q67" s="1786"/>
      <c r="R67" s="1786"/>
    </row>
    <row r="68" spans="2:18">
      <c r="B68" s="1786" t="s">
        <v>1665</v>
      </c>
      <c r="C68" s="1786"/>
      <c r="D68" s="1786"/>
      <c r="E68" s="1786"/>
      <c r="F68" s="1786"/>
      <c r="G68" s="1786"/>
      <c r="H68" s="1786"/>
      <c r="I68" s="1786"/>
      <c r="J68" s="1786"/>
      <c r="K68" s="1786"/>
      <c r="L68" s="1786"/>
      <c r="M68" s="1786"/>
      <c r="N68" s="1786"/>
      <c r="O68" s="1786"/>
      <c r="P68" s="1786"/>
      <c r="Q68" s="1786"/>
      <c r="R68" s="1786"/>
    </row>
    <row r="69" spans="2:18">
      <c r="B69" s="1786" t="s">
        <v>1666</v>
      </c>
      <c r="C69" s="1786"/>
      <c r="D69" s="1786"/>
      <c r="E69" s="1786"/>
      <c r="F69" s="1786"/>
      <c r="G69" s="1786"/>
      <c r="H69" s="1786"/>
      <c r="I69" s="1786"/>
      <c r="J69" s="1786"/>
      <c r="K69" s="1786"/>
      <c r="L69" s="1786"/>
      <c r="M69" s="1786"/>
      <c r="N69" s="1786"/>
      <c r="O69" s="1786"/>
      <c r="P69" s="1786"/>
      <c r="Q69" s="1786"/>
      <c r="R69" s="1786"/>
    </row>
    <row r="70" spans="2:18">
      <c r="B70" s="1786" t="s">
        <v>1667</v>
      </c>
      <c r="C70" s="1786"/>
      <c r="D70" s="1786"/>
      <c r="E70" s="1786"/>
      <c r="F70" s="1786"/>
      <c r="G70" s="1786"/>
      <c r="H70" s="1786"/>
      <c r="I70" s="1786"/>
      <c r="J70" s="1786"/>
      <c r="K70" s="1786"/>
      <c r="L70" s="1786"/>
      <c r="M70" s="1786"/>
      <c r="N70" s="1786"/>
      <c r="O70" s="1786"/>
      <c r="P70" s="1786"/>
      <c r="Q70" s="1786"/>
      <c r="R70" s="1786"/>
    </row>
    <row r="71" spans="2:18">
      <c r="B71" s="1786" t="s">
        <v>1668</v>
      </c>
      <c r="C71" s="1786"/>
      <c r="D71" s="1786"/>
      <c r="E71" s="1786"/>
      <c r="F71" s="1786"/>
      <c r="G71" s="1786"/>
      <c r="H71" s="1786"/>
      <c r="I71" s="1786"/>
      <c r="J71" s="1786"/>
      <c r="K71" s="1786"/>
      <c r="L71" s="1786"/>
      <c r="M71" s="1786"/>
      <c r="N71" s="1786"/>
      <c r="O71" s="1786"/>
      <c r="P71" s="1786"/>
      <c r="Q71" s="1786"/>
      <c r="R71" s="1786"/>
    </row>
    <row r="72" spans="2:18">
      <c r="B72" s="1786" t="s">
        <v>1669</v>
      </c>
      <c r="C72" s="1786"/>
      <c r="D72" s="1786"/>
      <c r="E72" s="1786"/>
      <c r="F72" s="1786"/>
      <c r="G72" s="1786"/>
      <c r="H72" s="1786"/>
      <c r="I72" s="1786"/>
      <c r="J72" s="1786"/>
      <c r="K72" s="1786"/>
      <c r="L72" s="1786"/>
      <c r="M72" s="1786"/>
      <c r="N72" s="1786"/>
      <c r="O72" s="1786"/>
      <c r="P72" s="1786"/>
      <c r="Q72" s="1786"/>
      <c r="R72" s="1786"/>
    </row>
    <row r="73" spans="2:18">
      <c r="B73" s="1786" t="s">
        <v>1670</v>
      </c>
      <c r="C73" s="1786"/>
      <c r="D73" s="1786"/>
      <c r="E73" s="1786"/>
      <c r="F73" s="1786"/>
      <c r="G73" s="1786"/>
      <c r="H73" s="1786"/>
      <c r="I73" s="1786"/>
      <c r="J73" s="1786"/>
      <c r="K73" s="1786"/>
      <c r="L73" s="1786"/>
      <c r="M73" s="1786"/>
      <c r="N73" s="1786"/>
      <c r="O73" s="1786"/>
      <c r="P73" s="1786"/>
      <c r="Q73" s="1786"/>
      <c r="R73" s="1786"/>
    </row>
    <row r="74" spans="2:18">
      <c r="B74" s="1786" t="s">
        <v>1671</v>
      </c>
      <c r="C74" s="1786"/>
      <c r="D74" s="1786"/>
      <c r="E74" s="1786"/>
      <c r="F74" s="1786"/>
      <c r="G74" s="1786"/>
      <c r="H74" s="1786"/>
      <c r="I74" s="1786"/>
      <c r="J74" s="1786"/>
      <c r="K74" s="1786"/>
      <c r="L74" s="1786"/>
      <c r="M74" s="1786"/>
      <c r="N74" s="1786"/>
      <c r="O74" s="1786"/>
      <c r="P74" s="1786"/>
      <c r="Q74" s="1786"/>
      <c r="R74" s="1786"/>
    </row>
    <row r="75" spans="2:18">
      <c r="B75" s="1786" t="s">
        <v>1672</v>
      </c>
      <c r="C75" s="1786"/>
      <c r="D75" s="1786"/>
      <c r="E75" s="1786"/>
      <c r="F75" s="1786"/>
      <c r="G75" s="1786"/>
      <c r="H75" s="1786"/>
      <c r="I75" s="1786"/>
      <c r="J75" s="1786"/>
      <c r="K75" s="1786"/>
      <c r="L75" s="1786"/>
      <c r="M75" s="1786"/>
      <c r="N75" s="1786"/>
      <c r="O75" s="1786"/>
      <c r="P75" s="1786"/>
      <c r="Q75" s="1786"/>
      <c r="R75" s="1786"/>
    </row>
    <row r="76" spans="2:18">
      <c r="B76" s="1786" t="s">
        <v>1673</v>
      </c>
      <c r="C76" s="1786"/>
      <c r="D76" s="1786"/>
      <c r="E76" s="1786"/>
      <c r="F76" s="1786"/>
      <c r="G76" s="1786"/>
      <c r="H76" s="1786"/>
      <c r="I76" s="1786"/>
      <c r="J76" s="1786"/>
      <c r="K76" s="1786"/>
      <c r="L76" s="1786"/>
      <c r="M76" s="1786"/>
      <c r="N76" s="1786"/>
      <c r="O76" s="1786"/>
      <c r="P76" s="1786"/>
      <c r="Q76" s="1786"/>
      <c r="R76" s="1786"/>
    </row>
    <row r="77" spans="2:18">
      <c r="B77" s="1786" t="s">
        <v>1674</v>
      </c>
      <c r="C77" s="1786"/>
      <c r="D77" s="1786"/>
      <c r="E77" s="1786"/>
      <c r="F77" s="1786"/>
      <c r="G77" s="1786"/>
      <c r="H77" s="1786"/>
      <c r="I77" s="1786"/>
      <c r="J77" s="1786"/>
      <c r="K77" s="1786"/>
      <c r="L77" s="1786"/>
      <c r="M77" s="1786"/>
      <c r="N77" s="1786"/>
      <c r="O77" s="1786"/>
      <c r="P77" s="1786"/>
      <c r="Q77" s="1786"/>
      <c r="R77" s="1786"/>
    </row>
    <row r="78" spans="2:18">
      <c r="B78" s="1786" t="s">
        <v>1675</v>
      </c>
      <c r="C78" s="1786"/>
      <c r="D78" s="1786"/>
      <c r="E78" s="1786"/>
      <c r="F78" s="1786"/>
      <c r="G78" s="1786"/>
      <c r="H78" s="1786"/>
      <c r="I78" s="1786"/>
      <c r="J78" s="1786"/>
      <c r="K78" s="1786"/>
      <c r="L78" s="1786"/>
      <c r="M78" s="1786"/>
      <c r="N78" s="1786"/>
      <c r="O78" s="1786"/>
      <c r="P78" s="1786"/>
      <c r="Q78" s="1786"/>
      <c r="R78" s="1786"/>
    </row>
    <row r="79" spans="2:18">
      <c r="B79" s="1786" t="s">
        <v>1676</v>
      </c>
      <c r="C79" s="1786"/>
      <c r="D79" s="1786"/>
      <c r="E79" s="1786"/>
      <c r="F79" s="1786"/>
      <c r="G79" s="1786"/>
      <c r="H79" s="1786"/>
      <c r="I79" s="1786"/>
      <c r="J79" s="1786"/>
      <c r="K79" s="1786"/>
      <c r="L79" s="1786"/>
      <c r="M79" s="1786"/>
      <c r="N79" s="1786"/>
      <c r="O79" s="1786"/>
      <c r="P79" s="1786"/>
      <c r="Q79" s="1786"/>
      <c r="R79" s="1786"/>
    </row>
    <row r="80" spans="2:18">
      <c r="B80" s="1786" t="s">
        <v>1677</v>
      </c>
      <c r="C80" s="1786"/>
      <c r="D80" s="1786"/>
      <c r="E80" s="1786"/>
      <c r="F80" s="1786"/>
      <c r="G80" s="1786"/>
      <c r="H80" s="1786"/>
      <c r="I80" s="1786"/>
      <c r="J80" s="1786"/>
      <c r="K80" s="1786"/>
      <c r="L80" s="1786"/>
      <c r="M80" s="1786"/>
      <c r="N80" s="1786"/>
      <c r="O80" s="1786"/>
      <c r="P80" s="1786"/>
      <c r="Q80" s="1786"/>
      <c r="R80" s="1786"/>
    </row>
    <row r="81" spans="2:18">
      <c r="B81" s="1786" t="s">
        <v>1678</v>
      </c>
      <c r="C81" s="1786"/>
      <c r="D81" s="1786"/>
      <c r="E81" s="1786"/>
      <c r="F81" s="1786"/>
      <c r="G81" s="1786"/>
      <c r="H81" s="1786"/>
      <c r="I81" s="1786"/>
      <c r="J81" s="1786"/>
      <c r="K81" s="1786"/>
      <c r="L81" s="1786"/>
      <c r="M81" s="1786"/>
      <c r="N81" s="1786"/>
      <c r="O81" s="1786"/>
      <c r="P81" s="1786"/>
      <c r="Q81" s="1786"/>
      <c r="R81" s="1786"/>
    </row>
    <row r="82" spans="2:18">
      <c r="B82" s="1786" t="s">
        <v>1679</v>
      </c>
      <c r="C82" s="1786"/>
      <c r="D82" s="1786"/>
      <c r="E82" s="1786"/>
      <c r="F82" s="1786"/>
      <c r="G82" s="1786"/>
      <c r="H82" s="1786"/>
      <c r="I82" s="1786"/>
      <c r="J82" s="1786"/>
      <c r="K82" s="1786"/>
      <c r="L82" s="1786"/>
      <c r="M82" s="1786"/>
      <c r="N82" s="1786"/>
      <c r="O82" s="1786"/>
      <c r="P82" s="1786"/>
      <c r="Q82" s="1786"/>
      <c r="R82" s="1786"/>
    </row>
    <row r="83" spans="2:18">
      <c r="B83" s="1787" t="s">
        <v>1680</v>
      </c>
      <c r="C83" s="1786"/>
      <c r="D83" s="1786"/>
      <c r="E83" s="1786"/>
      <c r="F83" s="1786"/>
      <c r="G83" s="1786"/>
      <c r="H83" s="1786"/>
      <c r="I83" s="1786"/>
      <c r="J83" s="1786"/>
      <c r="K83" s="1786"/>
      <c r="L83" s="1786"/>
      <c r="M83" s="1786"/>
      <c r="N83" s="1786"/>
      <c r="O83" s="1786"/>
      <c r="P83" s="1786"/>
      <c r="Q83" s="1786"/>
      <c r="R83" s="1786"/>
    </row>
    <row r="84" spans="2:18">
      <c r="B84" s="1786" t="s">
        <v>1681</v>
      </c>
      <c r="C84" s="1786"/>
      <c r="D84" s="1786"/>
      <c r="E84" s="1786"/>
      <c r="F84" s="1786"/>
      <c r="G84" s="1786"/>
      <c r="H84" s="1786"/>
      <c r="I84" s="1786"/>
      <c r="J84" s="1786"/>
      <c r="K84" s="1786"/>
      <c r="L84" s="1786"/>
      <c r="M84" s="1786"/>
      <c r="N84" s="1786"/>
      <c r="O84" s="1786"/>
      <c r="P84" s="1786"/>
      <c r="Q84" s="1786"/>
      <c r="R84" s="1786"/>
    </row>
    <row r="85" spans="2:18">
      <c r="B85" s="1786" t="s">
        <v>1682</v>
      </c>
      <c r="C85" s="1786"/>
      <c r="D85" s="1786"/>
      <c r="E85" s="1786"/>
      <c r="F85" s="1786"/>
      <c r="G85" s="1786"/>
      <c r="H85" s="1786"/>
      <c r="I85" s="1786"/>
      <c r="J85" s="1786"/>
      <c r="K85" s="1786"/>
      <c r="L85" s="1786"/>
      <c r="M85" s="1786"/>
      <c r="N85" s="1786"/>
      <c r="O85" s="1786"/>
      <c r="P85" s="1786"/>
      <c r="Q85" s="1786"/>
      <c r="R85" s="1786"/>
    </row>
    <row r="86" spans="2:18">
      <c r="B86" s="1786"/>
      <c r="C86" s="1786"/>
      <c r="D86" s="1786"/>
      <c r="E86" s="1786"/>
      <c r="F86" s="1786"/>
      <c r="G86" s="1786"/>
      <c r="H86" s="1786"/>
      <c r="I86" s="1786"/>
      <c r="J86" s="1786"/>
      <c r="K86" s="1786"/>
      <c r="L86" s="1786"/>
      <c r="M86" s="1786"/>
      <c r="N86" s="1786"/>
      <c r="O86" s="1786"/>
      <c r="P86" s="1786"/>
      <c r="Q86" s="1786"/>
      <c r="R86" s="1786"/>
    </row>
    <row r="87" spans="2:18">
      <c r="B87" s="1786"/>
      <c r="C87" s="1786"/>
      <c r="D87" s="1786"/>
      <c r="E87" s="1786"/>
      <c r="F87" s="1786"/>
      <c r="G87" s="1786"/>
      <c r="H87" s="1786"/>
      <c r="I87" s="1786"/>
      <c r="J87" s="1786"/>
      <c r="K87" s="1786"/>
      <c r="L87" s="1786"/>
      <c r="M87" s="1786"/>
      <c r="N87" s="1786"/>
      <c r="O87" s="1786"/>
      <c r="P87" s="1786"/>
      <c r="Q87" s="1786"/>
      <c r="R87" s="1786"/>
    </row>
    <row r="88" spans="2:18">
      <c r="B88" s="1786"/>
      <c r="C88" s="1786"/>
      <c r="D88" s="1786"/>
      <c r="E88" s="1786"/>
      <c r="F88" s="1786"/>
      <c r="G88" s="1786"/>
      <c r="H88" s="1786"/>
      <c r="I88" s="1786"/>
      <c r="J88" s="1786"/>
      <c r="K88" s="1786"/>
      <c r="L88" s="1786"/>
      <c r="M88" s="1786"/>
      <c r="N88" s="1786"/>
      <c r="O88" s="1786"/>
      <c r="P88" s="1786"/>
      <c r="Q88" s="1786"/>
      <c r="R88" s="1786"/>
    </row>
    <row r="89" spans="2:18">
      <c r="B89" s="1786"/>
      <c r="C89" s="1786"/>
      <c r="D89" s="1786"/>
      <c r="E89" s="1786"/>
      <c r="F89" s="1786"/>
      <c r="G89" s="1786"/>
      <c r="H89" s="1786"/>
      <c r="I89" s="1786"/>
      <c r="J89" s="1786"/>
      <c r="K89" s="1786"/>
      <c r="L89" s="1786"/>
      <c r="M89" s="1786"/>
      <c r="N89" s="1786"/>
      <c r="O89" s="1786"/>
      <c r="P89" s="1786"/>
      <c r="Q89" s="1786"/>
      <c r="R89" s="1786"/>
    </row>
    <row r="90" spans="2:18">
      <c r="B90" s="1786"/>
      <c r="C90" s="1786"/>
      <c r="D90" s="1786"/>
      <c r="E90" s="1786"/>
      <c r="F90" s="1786"/>
      <c r="G90" s="1786"/>
      <c r="H90" s="1786"/>
      <c r="I90" s="1786"/>
      <c r="J90" s="1786"/>
      <c r="K90" s="1786"/>
      <c r="L90" s="1786"/>
      <c r="M90" s="1786"/>
      <c r="N90" s="1786"/>
      <c r="O90" s="1786"/>
      <c r="P90" s="1786"/>
      <c r="Q90" s="1786"/>
      <c r="R90" s="1786"/>
    </row>
    <row r="91" spans="2:18">
      <c r="B91" s="1786"/>
      <c r="C91" s="1786"/>
      <c r="D91" s="1786"/>
      <c r="E91" s="1786"/>
      <c r="F91" s="1786"/>
      <c r="G91" s="1786"/>
      <c r="H91" s="1786"/>
      <c r="I91" s="1786"/>
      <c r="J91" s="1786"/>
      <c r="K91" s="1786"/>
      <c r="L91" s="1786"/>
      <c r="M91" s="1786"/>
      <c r="N91" s="1786"/>
      <c r="O91" s="1786"/>
      <c r="P91" s="1786"/>
      <c r="Q91" s="1786"/>
      <c r="R91" s="1786"/>
    </row>
    <row r="92" spans="2:18">
      <c r="B92" s="1786"/>
      <c r="C92" s="1786"/>
      <c r="D92" s="1786"/>
      <c r="E92" s="1786"/>
      <c r="F92" s="1786"/>
      <c r="G92" s="1786"/>
      <c r="H92" s="1786"/>
      <c r="I92" s="1786"/>
      <c r="J92" s="1786"/>
      <c r="K92" s="1786"/>
      <c r="L92" s="1786"/>
      <c r="M92" s="1786"/>
      <c r="N92" s="1786"/>
      <c r="O92" s="1786"/>
      <c r="P92" s="1786"/>
      <c r="Q92" s="1786"/>
      <c r="R92" s="1786"/>
    </row>
    <row r="93" spans="2:18">
      <c r="B93" s="1786"/>
      <c r="C93" s="1786"/>
      <c r="D93" s="1786"/>
      <c r="E93" s="1786"/>
      <c r="F93" s="1786"/>
      <c r="G93" s="1786"/>
      <c r="H93" s="1786"/>
      <c r="I93" s="1786"/>
      <c r="J93" s="1786"/>
      <c r="K93" s="1786"/>
      <c r="L93" s="1786"/>
      <c r="M93" s="1786"/>
      <c r="N93" s="1786"/>
      <c r="O93" s="1786"/>
      <c r="P93" s="1786"/>
      <c r="Q93" s="1786"/>
      <c r="R93" s="1786"/>
    </row>
    <row r="94" spans="2:18">
      <c r="B94" s="1786"/>
      <c r="C94" s="1786"/>
      <c r="D94" s="1786"/>
      <c r="E94" s="1786"/>
      <c r="F94" s="1786"/>
      <c r="G94" s="1786"/>
      <c r="H94" s="1786"/>
      <c r="I94" s="1786"/>
      <c r="J94" s="1786"/>
      <c r="K94" s="1786"/>
      <c r="L94" s="1786"/>
      <c r="M94" s="1786"/>
      <c r="N94" s="1786"/>
      <c r="O94" s="1786"/>
      <c r="P94" s="1786"/>
      <c r="Q94" s="1786"/>
      <c r="R94" s="1786"/>
    </row>
    <row r="147" spans="1:1">
      <c r="A147" s="822"/>
    </row>
    <row r="183" spans="1:1">
      <c r="A183" s="832"/>
    </row>
    <row r="234" spans="1:1">
      <c r="A234" s="832"/>
    </row>
    <row r="283" spans="1:1">
      <c r="A283" s="832"/>
    </row>
    <row r="310" spans="1:1">
      <c r="A310" s="822"/>
    </row>
    <row r="360" spans="1:1">
      <c r="A360" s="832"/>
    </row>
    <row r="384" spans="1:1">
      <c r="A384" s="822"/>
    </row>
    <row r="412" spans="1:1">
      <c r="A412" s="822"/>
    </row>
    <row r="440" spans="1:1">
      <c r="A440" s="822"/>
    </row>
    <row r="464" spans="1:1">
      <c r="A464" s="822"/>
    </row>
    <row r="493" spans="1:1">
      <c r="A493" s="822"/>
    </row>
    <row r="522" spans="1:1">
      <c r="A522" s="822"/>
    </row>
    <row r="571" spans="1:1">
      <c r="A571" s="832"/>
    </row>
    <row r="602" spans="1:1">
      <c r="A602" s="832"/>
    </row>
    <row r="646" spans="1:1">
      <c r="A646" s="832"/>
    </row>
    <row r="682" spans="1:1">
      <c r="A682" s="822"/>
    </row>
    <row r="721" spans="1:1">
      <c r="A721" s="832"/>
    </row>
    <row r="750" spans="1:1">
      <c r="A750" s="832"/>
    </row>
    <row r="789" spans="1:1">
      <c r="A789" s="832"/>
    </row>
    <row r="828" spans="1:1">
      <c r="A828" s="832"/>
    </row>
    <row r="856" spans="1:1">
      <c r="A856" s="832"/>
    </row>
    <row r="896" spans="1:1">
      <c r="A896" s="832"/>
    </row>
    <row r="936" spans="1:1">
      <c r="A936" s="832"/>
    </row>
    <row r="965" spans="1:1">
      <c r="A965" s="83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3"/>
  <dataValidations count="3">
    <dataValidation type="list" allowBlank="1" showInputMessage="1" showErrorMessage="1" sqref="F8:I8 JB8:JE8 SX8:TA8 ACT8:ACW8 AMP8:AMS8 AWL8:AWO8 BGH8:BGK8 BQD8:BQG8 BZZ8:CAC8 CJV8:CJY8 CTR8:CTU8 DDN8:DDQ8 DNJ8:DNM8 DXF8:DXI8 EHB8:EHE8 EQX8:ERA8 FAT8:FAW8 FKP8:FKS8 FUL8:FUO8 GEH8:GEK8 GOD8:GOG8 GXZ8:GYC8 HHV8:HHY8 HRR8:HRU8 IBN8:IBQ8 ILJ8:ILM8 IVF8:IVI8 JFB8:JFE8 JOX8:JPA8 JYT8:JYW8 KIP8:KIS8 KSL8:KSO8 LCH8:LCK8 LMD8:LMG8 LVZ8:LWC8 MFV8:MFY8 MPR8:MPU8 MZN8:MZQ8 NJJ8:NJM8 NTF8:NTI8 ODB8:ODE8 OMX8:ONA8 OWT8:OWW8 PGP8:PGS8 PQL8:PQO8 QAH8:QAK8 QKD8:QKG8 QTZ8:QUC8 RDV8:RDY8 RNR8:RNU8 RXN8:RXQ8 SHJ8:SHM8 SRF8:SRI8 TBB8:TBE8 TKX8:TLA8 TUT8:TUW8 UEP8:UES8 UOL8:UOO8 UYH8:UYK8 VID8:VIG8 VRZ8:VSC8 WBV8:WBY8 WLR8:WLU8 WVN8:WVQ8 F65544:I65544 JB65544:JE65544 SX65544:TA65544 ACT65544:ACW65544 AMP65544:AMS65544 AWL65544:AWO65544 BGH65544:BGK65544 BQD65544:BQG65544 BZZ65544:CAC65544 CJV65544:CJY65544 CTR65544:CTU65544 DDN65544:DDQ65544 DNJ65544:DNM65544 DXF65544:DXI65544 EHB65544:EHE65544 EQX65544:ERA65544 FAT65544:FAW65544 FKP65544:FKS65544 FUL65544:FUO65544 GEH65544:GEK65544 GOD65544:GOG65544 GXZ65544:GYC65544 HHV65544:HHY65544 HRR65544:HRU65544 IBN65544:IBQ65544 ILJ65544:ILM65544 IVF65544:IVI65544 JFB65544:JFE65544 JOX65544:JPA65544 JYT65544:JYW65544 KIP65544:KIS65544 KSL65544:KSO65544 LCH65544:LCK65544 LMD65544:LMG65544 LVZ65544:LWC65544 MFV65544:MFY65544 MPR65544:MPU65544 MZN65544:MZQ65544 NJJ65544:NJM65544 NTF65544:NTI65544 ODB65544:ODE65544 OMX65544:ONA65544 OWT65544:OWW65544 PGP65544:PGS65544 PQL65544:PQO65544 QAH65544:QAK65544 QKD65544:QKG65544 QTZ65544:QUC65544 RDV65544:RDY65544 RNR65544:RNU65544 RXN65544:RXQ65544 SHJ65544:SHM65544 SRF65544:SRI65544 TBB65544:TBE65544 TKX65544:TLA65544 TUT65544:TUW65544 UEP65544:UES65544 UOL65544:UOO65544 UYH65544:UYK65544 VID65544:VIG65544 VRZ65544:VSC65544 WBV65544:WBY65544 WLR65544:WLU65544 WVN65544:WVQ65544 F131080:I131080 JB131080:JE131080 SX131080:TA131080 ACT131080:ACW131080 AMP131080:AMS131080 AWL131080:AWO131080 BGH131080:BGK131080 BQD131080:BQG131080 BZZ131080:CAC131080 CJV131080:CJY131080 CTR131080:CTU131080 DDN131080:DDQ131080 DNJ131080:DNM131080 DXF131080:DXI131080 EHB131080:EHE131080 EQX131080:ERA131080 FAT131080:FAW131080 FKP131080:FKS131080 FUL131080:FUO131080 GEH131080:GEK131080 GOD131080:GOG131080 GXZ131080:GYC131080 HHV131080:HHY131080 HRR131080:HRU131080 IBN131080:IBQ131080 ILJ131080:ILM131080 IVF131080:IVI131080 JFB131080:JFE131080 JOX131080:JPA131080 JYT131080:JYW131080 KIP131080:KIS131080 KSL131080:KSO131080 LCH131080:LCK131080 LMD131080:LMG131080 LVZ131080:LWC131080 MFV131080:MFY131080 MPR131080:MPU131080 MZN131080:MZQ131080 NJJ131080:NJM131080 NTF131080:NTI131080 ODB131080:ODE131080 OMX131080:ONA131080 OWT131080:OWW131080 PGP131080:PGS131080 PQL131080:PQO131080 QAH131080:QAK131080 QKD131080:QKG131080 QTZ131080:QUC131080 RDV131080:RDY131080 RNR131080:RNU131080 RXN131080:RXQ131080 SHJ131080:SHM131080 SRF131080:SRI131080 TBB131080:TBE131080 TKX131080:TLA131080 TUT131080:TUW131080 UEP131080:UES131080 UOL131080:UOO131080 UYH131080:UYK131080 VID131080:VIG131080 VRZ131080:VSC131080 WBV131080:WBY131080 WLR131080:WLU131080 WVN131080:WVQ131080 F196616:I196616 JB196616:JE196616 SX196616:TA196616 ACT196616:ACW196616 AMP196616:AMS196616 AWL196616:AWO196616 BGH196616:BGK196616 BQD196616:BQG196616 BZZ196616:CAC196616 CJV196616:CJY196616 CTR196616:CTU196616 DDN196616:DDQ196616 DNJ196616:DNM196616 DXF196616:DXI196616 EHB196616:EHE196616 EQX196616:ERA196616 FAT196616:FAW196616 FKP196616:FKS196616 FUL196616:FUO196616 GEH196616:GEK196616 GOD196616:GOG196616 GXZ196616:GYC196616 HHV196616:HHY196616 HRR196616:HRU196616 IBN196616:IBQ196616 ILJ196616:ILM196616 IVF196616:IVI196616 JFB196616:JFE196616 JOX196616:JPA196616 JYT196616:JYW196616 KIP196616:KIS196616 KSL196616:KSO196616 LCH196616:LCK196616 LMD196616:LMG196616 LVZ196616:LWC196616 MFV196616:MFY196616 MPR196616:MPU196616 MZN196616:MZQ196616 NJJ196616:NJM196616 NTF196616:NTI196616 ODB196616:ODE196616 OMX196616:ONA196616 OWT196616:OWW196616 PGP196616:PGS196616 PQL196616:PQO196616 QAH196616:QAK196616 QKD196616:QKG196616 QTZ196616:QUC196616 RDV196616:RDY196616 RNR196616:RNU196616 RXN196616:RXQ196616 SHJ196616:SHM196616 SRF196616:SRI196616 TBB196616:TBE196616 TKX196616:TLA196616 TUT196616:TUW196616 UEP196616:UES196616 UOL196616:UOO196616 UYH196616:UYK196616 VID196616:VIG196616 VRZ196616:VSC196616 WBV196616:WBY196616 WLR196616:WLU196616 WVN196616:WVQ196616 F262152:I262152 JB262152:JE262152 SX262152:TA262152 ACT262152:ACW262152 AMP262152:AMS262152 AWL262152:AWO262152 BGH262152:BGK262152 BQD262152:BQG262152 BZZ262152:CAC262152 CJV262152:CJY262152 CTR262152:CTU262152 DDN262152:DDQ262152 DNJ262152:DNM262152 DXF262152:DXI262152 EHB262152:EHE262152 EQX262152:ERA262152 FAT262152:FAW262152 FKP262152:FKS262152 FUL262152:FUO262152 GEH262152:GEK262152 GOD262152:GOG262152 GXZ262152:GYC262152 HHV262152:HHY262152 HRR262152:HRU262152 IBN262152:IBQ262152 ILJ262152:ILM262152 IVF262152:IVI262152 JFB262152:JFE262152 JOX262152:JPA262152 JYT262152:JYW262152 KIP262152:KIS262152 KSL262152:KSO262152 LCH262152:LCK262152 LMD262152:LMG262152 LVZ262152:LWC262152 MFV262152:MFY262152 MPR262152:MPU262152 MZN262152:MZQ262152 NJJ262152:NJM262152 NTF262152:NTI262152 ODB262152:ODE262152 OMX262152:ONA262152 OWT262152:OWW262152 PGP262152:PGS262152 PQL262152:PQO262152 QAH262152:QAK262152 QKD262152:QKG262152 QTZ262152:QUC262152 RDV262152:RDY262152 RNR262152:RNU262152 RXN262152:RXQ262152 SHJ262152:SHM262152 SRF262152:SRI262152 TBB262152:TBE262152 TKX262152:TLA262152 TUT262152:TUW262152 UEP262152:UES262152 UOL262152:UOO262152 UYH262152:UYK262152 VID262152:VIG262152 VRZ262152:VSC262152 WBV262152:WBY262152 WLR262152:WLU262152 WVN262152:WVQ262152 F327688:I327688 JB327688:JE327688 SX327688:TA327688 ACT327688:ACW327688 AMP327688:AMS327688 AWL327688:AWO327688 BGH327688:BGK327688 BQD327688:BQG327688 BZZ327688:CAC327688 CJV327688:CJY327688 CTR327688:CTU327688 DDN327688:DDQ327688 DNJ327688:DNM327688 DXF327688:DXI327688 EHB327688:EHE327688 EQX327688:ERA327688 FAT327688:FAW327688 FKP327688:FKS327688 FUL327688:FUO327688 GEH327688:GEK327688 GOD327688:GOG327688 GXZ327688:GYC327688 HHV327688:HHY327688 HRR327688:HRU327688 IBN327688:IBQ327688 ILJ327688:ILM327688 IVF327688:IVI327688 JFB327688:JFE327688 JOX327688:JPA327688 JYT327688:JYW327688 KIP327688:KIS327688 KSL327688:KSO327688 LCH327688:LCK327688 LMD327688:LMG327688 LVZ327688:LWC327688 MFV327688:MFY327688 MPR327688:MPU327688 MZN327688:MZQ327688 NJJ327688:NJM327688 NTF327688:NTI327688 ODB327688:ODE327688 OMX327688:ONA327688 OWT327688:OWW327688 PGP327688:PGS327688 PQL327688:PQO327688 QAH327688:QAK327688 QKD327688:QKG327688 QTZ327688:QUC327688 RDV327688:RDY327688 RNR327688:RNU327688 RXN327688:RXQ327688 SHJ327688:SHM327688 SRF327688:SRI327688 TBB327688:TBE327688 TKX327688:TLA327688 TUT327688:TUW327688 UEP327688:UES327688 UOL327688:UOO327688 UYH327688:UYK327688 VID327688:VIG327688 VRZ327688:VSC327688 WBV327688:WBY327688 WLR327688:WLU327688 WVN327688:WVQ327688 F393224:I393224 JB393224:JE393224 SX393224:TA393224 ACT393224:ACW393224 AMP393224:AMS393224 AWL393224:AWO393224 BGH393224:BGK393224 BQD393224:BQG393224 BZZ393224:CAC393224 CJV393224:CJY393224 CTR393224:CTU393224 DDN393224:DDQ393224 DNJ393224:DNM393224 DXF393224:DXI393224 EHB393224:EHE393224 EQX393224:ERA393224 FAT393224:FAW393224 FKP393224:FKS393224 FUL393224:FUO393224 GEH393224:GEK393224 GOD393224:GOG393224 GXZ393224:GYC393224 HHV393224:HHY393224 HRR393224:HRU393224 IBN393224:IBQ393224 ILJ393224:ILM393224 IVF393224:IVI393224 JFB393224:JFE393224 JOX393224:JPA393224 JYT393224:JYW393224 KIP393224:KIS393224 KSL393224:KSO393224 LCH393224:LCK393224 LMD393224:LMG393224 LVZ393224:LWC393224 MFV393224:MFY393224 MPR393224:MPU393224 MZN393224:MZQ393224 NJJ393224:NJM393224 NTF393224:NTI393224 ODB393224:ODE393224 OMX393224:ONA393224 OWT393224:OWW393224 PGP393224:PGS393224 PQL393224:PQO393224 QAH393224:QAK393224 QKD393224:QKG393224 QTZ393224:QUC393224 RDV393224:RDY393224 RNR393224:RNU393224 RXN393224:RXQ393224 SHJ393224:SHM393224 SRF393224:SRI393224 TBB393224:TBE393224 TKX393224:TLA393224 TUT393224:TUW393224 UEP393224:UES393224 UOL393224:UOO393224 UYH393224:UYK393224 VID393224:VIG393224 VRZ393224:VSC393224 WBV393224:WBY393224 WLR393224:WLU393224 WVN393224:WVQ393224 F458760:I458760 JB458760:JE458760 SX458760:TA458760 ACT458760:ACW458760 AMP458760:AMS458760 AWL458760:AWO458760 BGH458760:BGK458760 BQD458760:BQG458760 BZZ458760:CAC458760 CJV458760:CJY458760 CTR458760:CTU458760 DDN458760:DDQ458760 DNJ458760:DNM458760 DXF458760:DXI458760 EHB458760:EHE458760 EQX458760:ERA458760 FAT458760:FAW458760 FKP458760:FKS458760 FUL458760:FUO458760 GEH458760:GEK458760 GOD458760:GOG458760 GXZ458760:GYC458760 HHV458760:HHY458760 HRR458760:HRU458760 IBN458760:IBQ458760 ILJ458760:ILM458760 IVF458760:IVI458760 JFB458760:JFE458760 JOX458760:JPA458760 JYT458760:JYW458760 KIP458760:KIS458760 KSL458760:KSO458760 LCH458760:LCK458760 LMD458760:LMG458760 LVZ458760:LWC458760 MFV458760:MFY458760 MPR458760:MPU458760 MZN458760:MZQ458760 NJJ458760:NJM458760 NTF458760:NTI458760 ODB458760:ODE458760 OMX458760:ONA458760 OWT458760:OWW458760 PGP458760:PGS458760 PQL458760:PQO458760 QAH458760:QAK458760 QKD458760:QKG458760 QTZ458760:QUC458760 RDV458760:RDY458760 RNR458760:RNU458760 RXN458760:RXQ458760 SHJ458760:SHM458760 SRF458760:SRI458760 TBB458760:TBE458760 TKX458760:TLA458760 TUT458760:TUW458760 UEP458760:UES458760 UOL458760:UOO458760 UYH458760:UYK458760 VID458760:VIG458760 VRZ458760:VSC458760 WBV458760:WBY458760 WLR458760:WLU458760 WVN458760:WVQ458760 F524296:I524296 JB524296:JE524296 SX524296:TA524296 ACT524296:ACW524296 AMP524296:AMS524296 AWL524296:AWO524296 BGH524296:BGK524296 BQD524296:BQG524296 BZZ524296:CAC524296 CJV524296:CJY524296 CTR524296:CTU524296 DDN524296:DDQ524296 DNJ524296:DNM524296 DXF524296:DXI524296 EHB524296:EHE524296 EQX524296:ERA524296 FAT524296:FAW524296 FKP524296:FKS524296 FUL524296:FUO524296 GEH524296:GEK524296 GOD524296:GOG524296 GXZ524296:GYC524296 HHV524296:HHY524296 HRR524296:HRU524296 IBN524296:IBQ524296 ILJ524296:ILM524296 IVF524296:IVI524296 JFB524296:JFE524296 JOX524296:JPA524296 JYT524296:JYW524296 KIP524296:KIS524296 KSL524296:KSO524296 LCH524296:LCK524296 LMD524296:LMG524296 LVZ524296:LWC524296 MFV524296:MFY524296 MPR524296:MPU524296 MZN524296:MZQ524296 NJJ524296:NJM524296 NTF524296:NTI524296 ODB524296:ODE524296 OMX524296:ONA524296 OWT524296:OWW524296 PGP524296:PGS524296 PQL524296:PQO524296 QAH524296:QAK524296 QKD524296:QKG524296 QTZ524296:QUC524296 RDV524296:RDY524296 RNR524296:RNU524296 RXN524296:RXQ524296 SHJ524296:SHM524296 SRF524296:SRI524296 TBB524296:TBE524296 TKX524296:TLA524296 TUT524296:TUW524296 UEP524296:UES524296 UOL524296:UOO524296 UYH524296:UYK524296 VID524296:VIG524296 VRZ524296:VSC524296 WBV524296:WBY524296 WLR524296:WLU524296 WVN524296:WVQ524296 F589832:I589832 JB589832:JE589832 SX589832:TA589832 ACT589832:ACW589832 AMP589832:AMS589832 AWL589832:AWO589832 BGH589832:BGK589832 BQD589832:BQG589832 BZZ589832:CAC589832 CJV589832:CJY589832 CTR589832:CTU589832 DDN589832:DDQ589832 DNJ589832:DNM589832 DXF589832:DXI589832 EHB589832:EHE589832 EQX589832:ERA589832 FAT589832:FAW589832 FKP589832:FKS589832 FUL589832:FUO589832 GEH589832:GEK589832 GOD589832:GOG589832 GXZ589832:GYC589832 HHV589832:HHY589832 HRR589832:HRU589832 IBN589832:IBQ589832 ILJ589832:ILM589832 IVF589832:IVI589832 JFB589832:JFE589832 JOX589832:JPA589832 JYT589832:JYW589832 KIP589832:KIS589832 KSL589832:KSO589832 LCH589832:LCK589832 LMD589832:LMG589832 LVZ589832:LWC589832 MFV589832:MFY589832 MPR589832:MPU589832 MZN589832:MZQ589832 NJJ589832:NJM589832 NTF589832:NTI589832 ODB589832:ODE589832 OMX589832:ONA589832 OWT589832:OWW589832 PGP589832:PGS589832 PQL589832:PQO589832 QAH589832:QAK589832 QKD589832:QKG589832 QTZ589832:QUC589832 RDV589832:RDY589832 RNR589832:RNU589832 RXN589832:RXQ589832 SHJ589832:SHM589832 SRF589832:SRI589832 TBB589832:TBE589832 TKX589832:TLA589832 TUT589832:TUW589832 UEP589832:UES589832 UOL589832:UOO589832 UYH589832:UYK589832 VID589832:VIG589832 VRZ589832:VSC589832 WBV589832:WBY589832 WLR589832:WLU589832 WVN589832:WVQ589832 F655368:I655368 JB655368:JE655368 SX655368:TA655368 ACT655368:ACW655368 AMP655368:AMS655368 AWL655368:AWO655368 BGH655368:BGK655368 BQD655368:BQG655368 BZZ655368:CAC655368 CJV655368:CJY655368 CTR655368:CTU655368 DDN655368:DDQ655368 DNJ655368:DNM655368 DXF655368:DXI655368 EHB655368:EHE655368 EQX655368:ERA655368 FAT655368:FAW655368 FKP655368:FKS655368 FUL655368:FUO655368 GEH655368:GEK655368 GOD655368:GOG655368 GXZ655368:GYC655368 HHV655368:HHY655368 HRR655368:HRU655368 IBN655368:IBQ655368 ILJ655368:ILM655368 IVF655368:IVI655368 JFB655368:JFE655368 JOX655368:JPA655368 JYT655368:JYW655368 KIP655368:KIS655368 KSL655368:KSO655368 LCH655368:LCK655368 LMD655368:LMG655368 LVZ655368:LWC655368 MFV655368:MFY655368 MPR655368:MPU655368 MZN655368:MZQ655368 NJJ655368:NJM655368 NTF655368:NTI655368 ODB655368:ODE655368 OMX655368:ONA655368 OWT655368:OWW655368 PGP655368:PGS655368 PQL655368:PQO655368 QAH655368:QAK655368 QKD655368:QKG655368 QTZ655368:QUC655368 RDV655368:RDY655368 RNR655368:RNU655368 RXN655368:RXQ655368 SHJ655368:SHM655368 SRF655368:SRI655368 TBB655368:TBE655368 TKX655368:TLA655368 TUT655368:TUW655368 UEP655368:UES655368 UOL655368:UOO655368 UYH655368:UYK655368 VID655368:VIG655368 VRZ655368:VSC655368 WBV655368:WBY655368 WLR655368:WLU655368 WVN655368:WVQ655368 F720904:I720904 JB720904:JE720904 SX720904:TA720904 ACT720904:ACW720904 AMP720904:AMS720904 AWL720904:AWO720904 BGH720904:BGK720904 BQD720904:BQG720904 BZZ720904:CAC720904 CJV720904:CJY720904 CTR720904:CTU720904 DDN720904:DDQ720904 DNJ720904:DNM720904 DXF720904:DXI720904 EHB720904:EHE720904 EQX720904:ERA720904 FAT720904:FAW720904 FKP720904:FKS720904 FUL720904:FUO720904 GEH720904:GEK720904 GOD720904:GOG720904 GXZ720904:GYC720904 HHV720904:HHY720904 HRR720904:HRU720904 IBN720904:IBQ720904 ILJ720904:ILM720904 IVF720904:IVI720904 JFB720904:JFE720904 JOX720904:JPA720904 JYT720904:JYW720904 KIP720904:KIS720904 KSL720904:KSO720904 LCH720904:LCK720904 LMD720904:LMG720904 LVZ720904:LWC720904 MFV720904:MFY720904 MPR720904:MPU720904 MZN720904:MZQ720904 NJJ720904:NJM720904 NTF720904:NTI720904 ODB720904:ODE720904 OMX720904:ONA720904 OWT720904:OWW720904 PGP720904:PGS720904 PQL720904:PQO720904 QAH720904:QAK720904 QKD720904:QKG720904 QTZ720904:QUC720904 RDV720904:RDY720904 RNR720904:RNU720904 RXN720904:RXQ720904 SHJ720904:SHM720904 SRF720904:SRI720904 TBB720904:TBE720904 TKX720904:TLA720904 TUT720904:TUW720904 UEP720904:UES720904 UOL720904:UOO720904 UYH720904:UYK720904 VID720904:VIG720904 VRZ720904:VSC720904 WBV720904:WBY720904 WLR720904:WLU720904 WVN720904:WVQ720904 F786440:I786440 JB786440:JE786440 SX786440:TA786440 ACT786440:ACW786440 AMP786440:AMS786440 AWL786440:AWO786440 BGH786440:BGK786440 BQD786440:BQG786440 BZZ786440:CAC786440 CJV786440:CJY786440 CTR786440:CTU786440 DDN786440:DDQ786440 DNJ786440:DNM786440 DXF786440:DXI786440 EHB786440:EHE786440 EQX786440:ERA786440 FAT786440:FAW786440 FKP786440:FKS786440 FUL786440:FUO786440 GEH786440:GEK786440 GOD786440:GOG786440 GXZ786440:GYC786440 HHV786440:HHY786440 HRR786440:HRU786440 IBN786440:IBQ786440 ILJ786440:ILM786440 IVF786440:IVI786440 JFB786440:JFE786440 JOX786440:JPA786440 JYT786440:JYW786440 KIP786440:KIS786440 KSL786440:KSO786440 LCH786440:LCK786440 LMD786440:LMG786440 LVZ786440:LWC786440 MFV786440:MFY786440 MPR786440:MPU786440 MZN786440:MZQ786440 NJJ786440:NJM786440 NTF786440:NTI786440 ODB786440:ODE786440 OMX786440:ONA786440 OWT786440:OWW786440 PGP786440:PGS786440 PQL786440:PQO786440 QAH786440:QAK786440 QKD786440:QKG786440 QTZ786440:QUC786440 RDV786440:RDY786440 RNR786440:RNU786440 RXN786440:RXQ786440 SHJ786440:SHM786440 SRF786440:SRI786440 TBB786440:TBE786440 TKX786440:TLA786440 TUT786440:TUW786440 UEP786440:UES786440 UOL786440:UOO786440 UYH786440:UYK786440 VID786440:VIG786440 VRZ786440:VSC786440 WBV786440:WBY786440 WLR786440:WLU786440 WVN786440:WVQ786440 F851976:I851976 JB851976:JE851976 SX851976:TA851976 ACT851976:ACW851976 AMP851976:AMS851976 AWL851976:AWO851976 BGH851976:BGK851976 BQD851976:BQG851976 BZZ851976:CAC851976 CJV851976:CJY851976 CTR851976:CTU851976 DDN851976:DDQ851976 DNJ851976:DNM851976 DXF851976:DXI851976 EHB851976:EHE851976 EQX851976:ERA851976 FAT851976:FAW851976 FKP851976:FKS851976 FUL851976:FUO851976 GEH851976:GEK851976 GOD851976:GOG851976 GXZ851976:GYC851976 HHV851976:HHY851976 HRR851976:HRU851976 IBN851976:IBQ851976 ILJ851976:ILM851976 IVF851976:IVI851976 JFB851976:JFE851976 JOX851976:JPA851976 JYT851976:JYW851976 KIP851976:KIS851976 KSL851976:KSO851976 LCH851976:LCK851976 LMD851976:LMG851976 LVZ851976:LWC851976 MFV851976:MFY851976 MPR851976:MPU851976 MZN851976:MZQ851976 NJJ851976:NJM851976 NTF851976:NTI851976 ODB851976:ODE851976 OMX851976:ONA851976 OWT851976:OWW851976 PGP851976:PGS851976 PQL851976:PQO851976 QAH851976:QAK851976 QKD851976:QKG851976 QTZ851976:QUC851976 RDV851976:RDY851976 RNR851976:RNU851976 RXN851976:RXQ851976 SHJ851976:SHM851976 SRF851976:SRI851976 TBB851976:TBE851976 TKX851976:TLA851976 TUT851976:TUW851976 UEP851976:UES851976 UOL851976:UOO851976 UYH851976:UYK851976 VID851976:VIG851976 VRZ851976:VSC851976 WBV851976:WBY851976 WLR851976:WLU851976 WVN851976:WVQ851976 F917512:I917512 JB917512:JE917512 SX917512:TA917512 ACT917512:ACW917512 AMP917512:AMS917512 AWL917512:AWO917512 BGH917512:BGK917512 BQD917512:BQG917512 BZZ917512:CAC917512 CJV917512:CJY917512 CTR917512:CTU917512 DDN917512:DDQ917512 DNJ917512:DNM917512 DXF917512:DXI917512 EHB917512:EHE917512 EQX917512:ERA917512 FAT917512:FAW917512 FKP917512:FKS917512 FUL917512:FUO917512 GEH917512:GEK917512 GOD917512:GOG917512 GXZ917512:GYC917512 HHV917512:HHY917512 HRR917512:HRU917512 IBN917512:IBQ917512 ILJ917512:ILM917512 IVF917512:IVI917512 JFB917512:JFE917512 JOX917512:JPA917512 JYT917512:JYW917512 KIP917512:KIS917512 KSL917512:KSO917512 LCH917512:LCK917512 LMD917512:LMG917512 LVZ917512:LWC917512 MFV917512:MFY917512 MPR917512:MPU917512 MZN917512:MZQ917512 NJJ917512:NJM917512 NTF917512:NTI917512 ODB917512:ODE917512 OMX917512:ONA917512 OWT917512:OWW917512 PGP917512:PGS917512 PQL917512:PQO917512 QAH917512:QAK917512 QKD917512:QKG917512 QTZ917512:QUC917512 RDV917512:RDY917512 RNR917512:RNU917512 RXN917512:RXQ917512 SHJ917512:SHM917512 SRF917512:SRI917512 TBB917512:TBE917512 TKX917512:TLA917512 TUT917512:TUW917512 UEP917512:UES917512 UOL917512:UOO917512 UYH917512:UYK917512 VID917512:VIG917512 VRZ917512:VSC917512 WBV917512:WBY917512 WLR917512:WLU917512 WVN917512:WVQ917512 F983048:I983048 JB983048:JE983048 SX983048:TA983048 ACT983048:ACW983048 AMP983048:AMS983048 AWL983048:AWO983048 BGH983048:BGK983048 BQD983048:BQG983048 BZZ983048:CAC983048 CJV983048:CJY983048 CTR983048:CTU983048 DDN983048:DDQ983048 DNJ983048:DNM983048 DXF983048:DXI983048 EHB983048:EHE983048 EQX983048:ERA983048 FAT983048:FAW983048 FKP983048:FKS983048 FUL983048:FUO983048 GEH983048:GEK983048 GOD983048:GOG983048 GXZ983048:GYC983048 HHV983048:HHY983048 HRR983048:HRU983048 IBN983048:IBQ983048 ILJ983048:ILM983048 IVF983048:IVI983048 JFB983048:JFE983048 JOX983048:JPA983048 JYT983048:JYW983048 KIP983048:KIS983048 KSL983048:KSO983048 LCH983048:LCK983048 LMD983048:LMG983048 LVZ983048:LWC983048 MFV983048:MFY983048 MPR983048:MPU983048 MZN983048:MZQ983048 NJJ983048:NJM983048 NTF983048:NTI983048 ODB983048:ODE983048 OMX983048:ONA983048 OWT983048:OWW983048 PGP983048:PGS983048 PQL983048:PQO983048 QAH983048:QAK983048 QKD983048:QKG983048 QTZ983048:QUC983048 RDV983048:RDY983048 RNR983048:RNU983048 RXN983048:RXQ983048 SHJ983048:SHM983048 SRF983048:SRI983048 TBB983048:TBE983048 TKX983048:TLA983048 TUT983048:TUW983048 UEP983048:UES983048 UOL983048:UOO983048 UYH983048:UYK983048 VID983048:VIG983048 VRZ983048:VSC983048 WBV983048:WBY983048 WLR983048:WLU983048 WVN983048:WVQ983048" xr:uid="{131FEC38-AA29-4472-B048-778546C33B66}"/>
    <dataValidation type="list" allowBlank="1" showInputMessage="1" showErrorMessage="1" sqref="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xr:uid="{2FECFBBB-E338-401D-9BA1-D325CF6331A9}">
      <formula1>"前年度（３月を除く）,届出日の属する月の前３月"</formula1>
    </dataValidation>
    <dataValidation type="list" allowBlank="1" showInputMessage="1" showErrorMessage="1"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xr:uid="{33F16BB7-4E48-4F61-B603-65BA5C1E826F}">
      <formula1>"□,■"</formula1>
    </dataValidation>
  </dataValidations>
  <printOptions horizontalCentered="1"/>
  <pageMargins left="0.51181102362204722" right="0.51181102362204722" top="0.35433070866141736" bottom="0.15748031496062992" header="0.31496062992125984" footer="0.31496062992125984"/>
  <pageSetup paperSize="9" scale="67" fitToWidth="0" fitToHeight="0" orientation="portrait" blackAndWhite="1" cellComments="asDisplayed" r:id="rId1"/>
  <headerFooter alignWithMargins="0"/>
  <rowBreaks count="1" manualBreakCount="1">
    <brk id="56" max="18"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2DA299AC048A4B8EA9C1D19079C1A3220079CAAE98945DFA408B5A0E7E7BCB4887" ma:contentTypeVersion="2" ma:contentTypeDescription="" ma:contentTypeScope="" ma:versionID="e3f49c624fbb88490ff7f32bd9fc76f3">
  <xsd:schema xmlns:xsd="http://www.w3.org/2001/XMLSchema" xmlns:p="http://schemas.microsoft.com/office/2006/metadata/properties" xmlns:ns2="8B97BE19-CDDD-400E-817A-CFDD13F7EC12" targetNamespace="http://schemas.microsoft.com/office/2006/metadata/properties" ma:root="true" ma:fieldsID="6dfb103be64c84caafc238fb89ca001b" ns2:_="">
    <xsd:import namespace="8B97BE19-CDDD-400E-817A-CFDD13F7EC12"/>
    <xsd:element name="properties">
      <xsd:complexType>
        <xsd:sequence>
          <xsd:element name="documentManagement">
            <xsd:complexType>
              <xsd:all>
                <xsd:element ref="ns2:ClassLarge" minOccurs="0"/>
                <xsd:element ref="ns2:ClassMedium" minOccurs="0"/>
                <xsd:element ref="ns2:ClassSmall" minOccurs="0"/>
                <xsd:element ref="ns2:GyoseiFile" minOccurs="0"/>
                <xsd:element ref="ns2:CreatedBy" minOccurs="0"/>
                <xsd:element ref="ns2:PreservationPeriod" minOccurs="0"/>
                <xsd:element ref="ns2:PreservationPeriodExpire" minOccurs="0"/>
                <xsd:element ref="ns2:CreatedDate" minOccurs="0"/>
                <xsd:element ref="ns2:FixationStatus" minOccurs="0"/>
                <xsd:element ref="ns2:EditorWithSpace" minOccurs="0"/>
              </xsd:all>
            </xsd:complexType>
          </xsd:element>
        </xsd:sequence>
      </xsd:complexType>
    </xsd:element>
  </xsd:schema>
  <xsd:schema xmlns:xsd="http://www.w3.org/2001/XMLSchema" xmlns:dms="http://schemas.microsoft.com/office/2006/documentManagement/types" targetNamespace="8B97BE19-CDDD-400E-817A-CFDD13F7EC12" elementFormDefault="qualified">
    <xsd:import namespace="http://schemas.microsoft.com/office/2006/documentManagement/types"/>
    <xsd:element name="ClassLarge" ma:index="8" nillable="true" ma:displayName="大分類" ma:hidden="true" ma:internalName="ClassLarge" ma:readOnly="true">
      <xsd:simpleType>
        <xsd:restriction base="dms:Unknown"/>
      </xsd:simpleType>
    </xsd:element>
    <xsd:element name="ClassMedium" ma:index="9" nillable="true" ma:displayName="中分類" ma:hidden="true" ma:internalName="ClassMedium" ma:readOnly="true">
      <xsd:simpleType>
        <xsd:restriction base="dms:Unknown"/>
      </xsd:simpleType>
    </xsd:element>
    <xsd:element name="ClassSmall" ma:index="10" nillable="true" ma:displayName="小分類" ma:hidden="true" ma:internalName="ClassSmall" ma:readOnly="true">
      <xsd:simpleType>
        <xsd:restriction base="dms:Unknown"/>
      </xsd:simpleType>
    </xsd:element>
    <xsd:element name="GyoseiFile" ma:index="11" nillable="true" ma:displayName="行政文書ファイル名" ma:hidden="true" ma:internalName="GyoseiFile" ma:readOnly="true">
      <xsd:simpleType>
        <xsd:restriction base="dms:Unknown"/>
      </xsd:simpleType>
    </xsd:element>
    <xsd:element name="CreatedBy" ma:index="12" nillable="true" ma:displayName="作成課/係・作成者" ma:hidden="true" ma:internalName="CreatedBy" ma:readOnly="true">
      <xsd:simpleType>
        <xsd:restriction base="dms:Unknown"/>
      </xsd:simpleType>
    </xsd:element>
    <xsd:element name="PreservationPeriod" ma:index="13" nillable="true" ma:displayName="保存期間" ma:hidden="true" ma:internalName="PreservationPeriod" ma:readOnly="true">
      <xsd:simpleType>
        <xsd:restriction base="dms:Unknown"/>
      </xsd:simpleType>
    </xsd:element>
    <xsd:element name="PreservationPeriodExpire" ma:index="14" nillable="true" ma:displayName="保存期間満了時期" ma:format="DateOnly" ma:hidden="true" ma:internalName="PreservationPeriodExpire" ma:readOnly="true">
      <xsd:simpleType>
        <xsd:restriction base="dms:Unknown"/>
      </xsd:simpleType>
    </xsd:element>
    <xsd:element name="CreatedDate" ma:index="15" nillable="true" ma:displayName="作成年月日" ma:hidden="true" ma:internalName="CreatedDate" ma:readOnly="true">
      <xsd:simpleType>
        <xsd:restriction base="dms:Unknown"/>
      </xsd:simpleType>
    </xsd:element>
    <xsd:element name="FixationStatus" ma:index="16" nillable="true" ma:displayName="確定状況" ma:hidden="true" ma:internalName="FixationStatus" ma:readOnly="true">
      <xsd:simpleType>
        <xsd:restriction base="dms:Unknown"/>
      </xsd:simpleType>
    </xsd:element>
    <xsd:element name="EditorWithSpace" ma:index="18" nillable="true" ma:displayName="更新者　　　　　　" ma:hidden="true" ma:internalName="EditorWithSpace"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ma:readOnly="true"/>
        <xsd:element ref="dc:title" minOccurs="0" maxOccurs="1" ma:index="17" ma:displayName="タイトル" ma:readOnly="tru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337D6F51-EB0B-42BD-A2C2-BFD80B6FAF6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F5953BE-AB95-4771-8551-0F5D0FE8F605}">
  <ds:schemaRefs>
    <ds:schemaRef ds:uri="http://schemas.microsoft.com/sharepoint/v3/contenttype/forms"/>
  </ds:schemaRefs>
</ds:datastoreItem>
</file>

<file path=customXml/itemProps3.xml><?xml version="1.0" encoding="utf-8"?>
<ds:datastoreItem xmlns:ds="http://schemas.openxmlformats.org/officeDocument/2006/customXml" ds:itemID="{C4E90385-4C72-4490-B478-F424078F9E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97BE19-CDDD-400E-817A-CFDD13F7EC12"/>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38</vt:i4>
      </vt:variant>
    </vt:vector>
  </HeadingPairs>
  <TitlesOfParts>
    <vt:vector size="78" baseType="lpstr">
      <vt:lpstr>手続き</vt:lpstr>
      <vt:lpstr>一覧</vt:lpstr>
      <vt:lpstr>一覧（取り下げ）</vt:lpstr>
      <vt:lpstr>別紙１－１ </vt:lpstr>
      <vt:lpstr>別紙１－２</vt:lpstr>
      <vt:lpstr>別紙2</vt:lpstr>
      <vt:lpstr>別紙6</vt:lpstr>
      <vt:lpstr>別紙7</vt:lpstr>
      <vt:lpstr>別紙7－2</vt:lpstr>
      <vt:lpstr>別紙11</vt:lpstr>
      <vt:lpstr>別紙12-2</vt:lpstr>
      <vt:lpstr>別紙14－2</vt:lpstr>
      <vt:lpstr>別紙14－3</vt:lpstr>
      <vt:lpstr>別紙14－4</vt:lpstr>
      <vt:lpstr>別紙20</vt:lpstr>
      <vt:lpstr>別紙22</vt:lpstr>
      <vt:lpstr>別紙22ー２</vt:lpstr>
      <vt:lpstr>別紙24</vt:lpstr>
      <vt:lpstr>別紙28</vt:lpstr>
      <vt:lpstr>別紙２ 成果の確認の根拠データ</vt:lpstr>
      <vt:lpstr>別紙29</vt:lpstr>
      <vt:lpstr>別紙29－2</vt:lpstr>
      <vt:lpstr>別紙29-3</vt:lpstr>
      <vt:lpstr>別紙35</vt:lpstr>
      <vt:lpstr>別紙38</vt:lpstr>
      <vt:lpstr>別紙40</vt:lpstr>
      <vt:lpstr>別紙41</vt:lpstr>
      <vt:lpstr>届出様式</vt:lpstr>
      <vt:lpstr>（参考）利用延人員数計算シート</vt:lpstr>
      <vt:lpstr>勤務一覧（夜勤加算用）</vt:lpstr>
      <vt:lpstr>勤務一覧（夜勤加算用）記入例</vt:lpstr>
      <vt:lpstr>付表第一号（十一）</vt:lpstr>
      <vt:lpstr>参考１</vt:lpstr>
      <vt:lpstr>参考２</vt:lpstr>
      <vt:lpstr>参考３</vt:lpstr>
      <vt:lpstr>様式5</vt:lpstr>
      <vt:lpstr>様式6</vt:lpstr>
      <vt:lpstr>様式8</vt:lpstr>
      <vt:lpstr>様式9</vt:lpstr>
      <vt:lpstr>別紙●24</vt:lpstr>
      <vt:lpstr>'（参考）利用延人員数計算シート'!Print_Area</vt:lpstr>
      <vt:lpstr>一覧!Print_Area</vt:lpstr>
      <vt:lpstr>'一覧（取り下げ）'!Print_Area</vt:lpstr>
      <vt:lpstr>'勤務一覧（夜勤加算用）'!Print_Area</vt:lpstr>
      <vt:lpstr>'勤務一覧（夜勤加算用）記入例'!Print_Area</vt:lpstr>
      <vt:lpstr>参考１!Print_Area</vt:lpstr>
      <vt:lpstr>参考２!Print_Area</vt:lpstr>
      <vt:lpstr>参考３!Print_Area</vt:lpstr>
      <vt:lpstr>手続き!Print_Area</vt:lpstr>
      <vt:lpstr>届出様式!Print_Area</vt:lpstr>
      <vt:lpstr>'付表第一号（十一）'!Print_Area</vt:lpstr>
      <vt:lpstr>別紙●24!Print_Area</vt:lpstr>
      <vt:lpstr>'別紙１－１ '!Print_Area</vt:lpstr>
      <vt:lpstr>'別紙１－２'!Print_Area</vt:lpstr>
      <vt:lpstr>'別紙12-2'!Print_Area</vt:lpstr>
      <vt:lpstr>'別紙14－2'!Print_Area</vt:lpstr>
      <vt:lpstr>'別紙14－3'!Print_Area</vt:lpstr>
      <vt:lpstr>'別紙14－4'!Print_Area</vt:lpstr>
      <vt:lpstr>'別紙２ 成果の確認の根拠データ'!Print_Area</vt:lpstr>
      <vt:lpstr>別紙20!Print_Area</vt:lpstr>
      <vt:lpstr>別紙22!Print_Area</vt:lpstr>
      <vt:lpstr>別紙22ー２!Print_Area</vt:lpstr>
      <vt:lpstr>別紙24!Print_Area</vt:lpstr>
      <vt:lpstr>'別紙29-3'!Print_Area</vt:lpstr>
      <vt:lpstr>別紙35!Print_Area</vt:lpstr>
      <vt:lpstr>別紙38!Print_Area</vt:lpstr>
      <vt:lpstr>別紙40!Print_Area</vt:lpstr>
      <vt:lpstr>別紙41!Print_Area</vt:lpstr>
      <vt:lpstr>別紙6!Print_Area</vt:lpstr>
      <vt:lpstr>別紙7!Print_Area</vt:lpstr>
      <vt:lpstr>'別紙7－2'!Print_Area</vt:lpstr>
      <vt:lpstr>様式5!Print_Area</vt:lpstr>
      <vt:lpstr>様式6!Print_Area</vt:lpstr>
      <vt:lpstr>様式8!Print_Area</vt:lpstr>
      <vt:lpstr>様式9!Print_Area</vt:lpstr>
      <vt:lpstr>一覧!Print_Titles</vt:lpstr>
      <vt:lpstr>'一覧（取り下げ）'!Print_Titles</vt:lpstr>
      <vt:lpstr>'勤務一覧（夜勤加算用）'!Print_Titles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吉原　胡桃</cp:lastModifiedBy>
  <cp:lastPrinted>2025-03-31T01:42:38Z</cp:lastPrinted>
  <dcterms:created xsi:type="dcterms:W3CDTF">1997-01-08T22:48:59Z</dcterms:created>
  <dcterms:modified xsi:type="dcterms:W3CDTF">2025-06-30T04:48:43Z</dcterms:modified>
</cp:coreProperties>
</file>